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ária Hanková\Documents\SAMWOO\Samwoo Alenka\uzávierka 2017\"/>
    </mc:Choice>
  </mc:AlternateContent>
  <xr:revisionPtr revIDLastSave="0" documentId="10_ncr:8100000_{EC7EAF9C-C21E-49F1-9142-39F944EF8D95}" xr6:coauthVersionLast="32" xr6:coauthVersionMax="32" xr10:uidLastSave="{00000000-0000-0000-0000-000000000000}"/>
  <bookViews>
    <workbookView xWindow="108" yWindow="108" windowWidth="10008" windowHeight="7008" firstSheet="7" activeTab="7" xr2:uid="{00000000-000D-0000-FFFF-FFFF00000000}"/>
  </bookViews>
  <sheets>
    <sheet name="Popis" sheetId="1" r:id="rId1"/>
    <sheet name="Suvaha_BO" sheetId="2" r:id="rId2"/>
    <sheet name="Suvaha_PO" sheetId="3" r:id="rId3"/>
    <sheet name="HK_BO" sheetId="4" r:id="rId4"/>
    <sheet name="HK_PO" sheetId="5" r:id="rId5"/>
    <sheet name="OPO_BO" sheetId="6" r:id="rId6"/>
    <sheet name="OPO_PO" sheetId="7" r:id="rId7"/>
    <sheet name="Uvod" sheetId="8" r:id="rId8"/>
    <sheet name="A." sheetId="9" r:id="rId9"/>
    <sheet name="B." sheetId="10" r:id="rId10"/>
    <sheet name="C. D." sheetId="11" r:id="rId11"/>
    <sheet name="E." sheetId="12" r:id="rId12"/>
    <sheet name="F. a) 1)" sheetId="13" r:id="rId13"/>
    <sheet name="F. a) 2)" sheetId="14" r:id="rId14"/>
    <sheet name="F. b) - h)" sheetId="15" r:id="rId15"/>
    <sheet name="F. i)" sheetId="16" r:id="rId16"/>
    <sheet name="F. j)" sheetId="17" r:id="rId17"/>
    <sheet name="F. j) - m)" sheetId="18" r:id="rId18"/>
    <sheet name="F.n) - p)" sheetId="19" r:id="rId19"/>
    <sheet name="F.q)" sheetId="20" r:id="rId20"/>
    <sheet name="F.r)" sheetId="21" r:id="rId21"/>
    <sheet name="F.w)-z)" sheetId="22" r:id="rId22"/>
    <sheet name="G.a)-b)" sheetId="23" r:id="rId23"/>
    <sheet name="G.c)-i)" sheetId="24" r:id="rId24"/>
    <sheet name="G.j)-m)" sheetId="25" r:id="rId25"/>
    <sheet name="H." sheetId="26" r:id="rId26"/>
    <sheet name="I." sheetId="27" r:id="rId27"/>
    <sheet name="J." sheetId="28" r:id="rId28"/>
    <sheet name="K." sheetId="29" r:id="rId29"/>
    <sheet name="L." sheetId="30" r:id="rId30"/>
    <sheet name="M." sheetId="31" r:id="rId31"/>
    <sheet name="N." sheetId="32" r:id="rId32"/>
    <sheet name="O." sheetId="33" r:id="rId33"/>
    <sheet name="P." sheetId="34" r:id="rId34"/>
  </sheets>
  <definedNames>
    <definedName name="_xlnm.Print_Area" localSheetId="11">E.!$A$1:$J$123</definedName>
  </definedNames>
  <calcPr calcId="162913"/>
</workbook>
</file>

<file path=xl/calcChain.xml><?xml version="1.0" encoding="utf-8"?>
<calcChain xmlns="http://schemas.openxmlformats.org/spreadsheetml/2006/main">
  <c r="G44" i="21" l="1"/>
  <c r="G41" i="21"/>
  <c r="I22" i="28" l="1"/>
  <c r="G25" i="28"/>
  <c r="E25" i="28"/>
  <c r="I75" i="24"/>
  <c r="L20" i="32" l="1"/>
  <c r="I20" i="32"/>
  <c r="J25" i="28" l="1"/>
  <c r="L23" i="28"/>
  <c r="L22" i="28"/>
  <c r="L21" i="28"/>
  <c r="L25" i="28" s="1"/>
  <c r="G33" i="27"/>
  <c r="G28" i="27" s="1"/>
  <c r="G27" i="27"/>
  <c r="G24" i="27"/>
  <c r="G18" i="27"/>
  <c r="K28" i="27"/>
  <c r="K24" i="27"/>
  <c r="K23" i="27" s="1"/>
  <c r="G82" i="26"/>
  <c r="G80" i="26"/>
  <c r="K86" i="26"/>
  <c r="G54" i="26"/>
  <c r="G51" i="26"/>
  <c r="G50" i="26" s="1"/>
  <c r="K51" i="26"/>
  <c r="K50" i="26"/>
  <c r="G23" i="27" l="1"/>
  <c r="K21" i="26"/>
  <c r="M23" i="26"/>
  <c r="E23" i="26"/>
  <c r="E21" i="26"/>
  <c r="E20" i="26"/>
  <c r="I23" i="26"/>
  <c r="G20" i="26"/>
  <c r="G23" i="26" s="1"/>
  <c r="K10" i="26"/>
  <c r="K53" i="24"/>
  <c r="K55" i="24" s="1"/>
  <c r="K7" i="24"/>
  <c r="K9" i="24" s="1"/>
  <c r="K5" i="24"/>
  <c r="K6" i="24" s="1"/>
  <c r="M68" i="23"/>
  <c r="G68" i="23"/>
  <c r="G69" i="23"/>
  <c r="M61" i="22"/>
  <c r="S62" i="22" l="1"/>
  <c r="S61" i="22"/>
  <c r="Q5" i="22"/>
  <c r="Q9" i="22" s="1"/>
  <c r="E5" i="15"/>
  <c r="E25" i="10" l="1"/>
  <c r="F25" i="10"/>
  <c r="G25" i="10"/>
  <c r="I25" i="10"/>
  <c r="E39" i="10"/>
  <c r="F39" i="10"/>
  <c r="G39" i="10"/>
  <c r="I39" i="10"/>
  <c r="B9" i="13"/>
  <c r="B13" i="13" s="1"/>
  <c r="C9" i="13"/>
  <c r="D9" i="13"/>
  <c r="D13" i="13" s="1"/>
  <c r="E9" i="13"/>
  <c r="F9" i="13"/>
  <c r="G9" i="13"/>
  <c r="H9" i="13"/>
  <c r="B10" i="13"/>
  <c r="C10" i="13"/>
  <c r="C13" i="13" s="1"/>
  <c r="D10" i="13"/>
  <c r="E10" i="13"/>
  <c r="F10" i="13"/>
  <c r="G10" i="13"/>
  <c r="G13" i="13" s="1"/>
  <c r="H10" i="13"/>
  <c r="B11" i="13"/>
  <c r="C11" i="13"/>
  <c r="D11" i="13"/>
  <c r="E11" i="13"/>
  <c r="F11" i="13"/>
  <c r="G11" i="13"/>
  <c r="H11" i="13"/>
  <c r="I12" i="13"/>
  <c r="E13" i="13"/>
  <c r="B15" i="13"/>
  <c r="I15" i="13" s="1"/>
  <c r="C15" i="13"/>
  <c r="D15" i="13"/>
  <c r="D18" i="13" s="1"/>
  <c r="E15" i="13"/>
  <c r="F15" i="13"/>
  <c r="B16" i="13"/>
  <c r="C16" i="13"/>
  <c r="D16" i="13"/>
  <c r="E16" i="13"/>
  <c r="F16" i="13"/>
  <c r="B17" i="13"/>
  <c r="C17" i="13"/>
  <c r="D17" i="13"/>
  <c r="E17" i="13"/>
  <c r="F17" i="13"/>
  <c r="B20" i="13"/>
  <c r="C20" i="13"/>
  <c r="D20" i="13"/>
  <c r="E20" i="13"/>
  <c r="E25" i="13" s="1"/>
  <c r="F20" i="13"/>
  <c r="G20" i="13"/>
  <c r="G23" i="13" s="1"/>
  <c r="H20" i="13"/>
  <c r="B21" i="13"/>
  <c r="C21" i="13"/>
  <c r="D21" i="13"/>
  <c r="E21" i="13"/>
  <c r="F21" i="13"/>
  <c r="G21" i="13"/>
  <c r="H21" i="13"/>
  <c r="B22" i="13"/>
  <c r="C22" i="13"/>
  <c r="D22" i="13"/>
  <c r="E22" i="13"/>
  <c r="F22" i="13"/>
  <c r="G22" i="13"/>
  <c r="H22" i="13"/>
  <c r="C23" i="13"/>
  <c r="G25" i="13"/>
  <c r="B47" i="13"/>
  <c r="C47" i="13"/>
  <c r="D47" i="13"/>
  <c r="E47" i="13"/>
  <c r="F47" i="13"/>
  <c r="G47" i="13"/>
  <c r="H47" i="13"/>
  <c r="B48" i="13"/>
  <c r="B51" i="13" s="1"/>
  <c r="C48" i="13"/>
  <c r="D48" i="13"/>
  <c r="E48" i="13"/>
  <c r="F48" i="13"/>
  <c r="G48" i="13"/>
  <c r="H48" i="13"/>
  <c r="B49" i="13"/>
  <c r="C49" i="13"/>
  <c r="D49" i="13"/>
  <c r="E49" i="13"/>
  <c r="F49" i="13"/>
  <c r="G49" i="13"/>
  <c r="H49" i="13"/>
  <c r="I50" i="13"/>
  <c r="F51" i="13"/>
  <c r="B53" i="13"/>
  <c r="C53" i="13"/>
  <c r="D53" i="13"/>
  <c r="E53" i="13"/>
  <c r="E63" i="13" s="1"/>
  <c r="F53" i="13"/>
  <c r="B54" i="13"/>
  <c r="C54" i="13"/>
  <c r="D54" i="13"/>
  <c r="I54" i="13" s="1"/>
  <c r="E54" i="13"/>
  <c r="F54" i="13"/>
  <c r="B55" i="13"/>
  <c r="C55" i="13"/>
  <c r="D55" i="13"/>
  <c r="E55" i="13"/>
  <c r="F55" i="13"/>
  <c r="C56" i="13"/>
  <c r="B58" i="13"/>
  <c r="B61" i="13" s="1"/>
  <c r="C58" i="13"/>
  <c r="D58" i="13"/>
  <c r="D63" i="13" s="1"/>
  <c r="E58" i="13"/>
  <c r="F58" i="13"/>
  <c r="F63" i="13" s="1"/>
  <c r="G58" i="13"/>
  <c r="H58" i="13"/>
  <c r="B59" i="13"/>
  <c r="C59" i="13"/>
  <c r="D59" i="13"/>
  <c r="E59" i="13"/>
  <c r="F59" i="13"/>
  <c r="G59" i="13"/>
  <c r="H59" i="13"/>
  <c r="B60" i="13"/>
  <c r="C60" i="13"/>
  <c r="D60" i="13"/>
  <c r="E60" i="13"/>
  <c r="F60" i="13"/>
  <c r="G60" i="13"/>
  <c r="H60" i="13"/>
  <c r="D61" i="13"/>
  <c r="B8" i="14"/>
  <c r="C8" i="14"/>
  <c r="D8" i="14"/>
  <c r="D24" i="14" s="1"/>
  <c r="E8" i="14"/>
  <c r="F8" i="14"/>
  <c r="G8" i="14"/>
  <c r="H8" i="14"/>
  <c r="H24" i="14" s="1"/>
  <c r="I8" i="14"/>
  <c r="B9" i="14"/>
  <c r="C9" i="14"/>
  <c r="D9" i="14"/>
  <c r="E9" i="14"/>
  <c r="F9" i="14"/>
  <c r="G9" i="14"/>
  <c r="H9" i="14"/>
  <c r="I9" i="14"/>
  <c r="B10" i="14"/>
  <c r="C10" i="14"/>
  <c r="D10" i="14"/>
  <c r="E10" i="14"/>
  <c r="F10" i="14"/>
  <c r="G10" i="14"/>
  <c r="H10" i="14"/>
  <c r="H12" i="14" s="1"/>
  <c r="I10" i="14"/>
  <c r="J11" i="14"/>
  <c r="C12" i="14"/>
  <c r="G12" i="14"/>
  <c r="C14" i="14"/>
  <c r="D14" i="14"/>
  <c r="D17" i="14" s="1"/>
  <c r="E14" i="14"/>
  <c r="F14" i="14"/>
  <c r="G14" i="14"/>
  <c r="C15" i="14"/>
  <c r="D15" i="14"/>
  <c r="E15" i="14"/>
  <c r="E17" i="14" s="1"/>
  <c r="F15" i="14"/>
  <c r="G15" i="14"/>
  <c r="G17" i="14" s="1"/>
  <c r="C16" i="14"/>
  <c r="D16" i="14"/>
  <c r="E16" i="14"/>
  <c r="F16" i="14"/>
  <c r="G16" i="14"/>
  <c r="B19" i="14"/>
  <c r="B22" i="14" s="1"/>
  <c r="C19" i="14"/>
  <c r="D19" i="14"/>
  <c r="E19" i="14"/>
  <c r="F19" i="14"/>
  <c r="G19" i="14"/>
  <c r="H19" i="14"/>
  <c r="I19" i="14"/>
  <c r="B20" i="14"/>
  <c r="C20" i="14"/>
  <c r="E20" i="14"/>
  <c r="F20" i="14"/>
  <c r="G20" i="14"/>
  <c r="H20" i="14"/>
  <c r="I20" i="14"/>
  <c r="B21" i="14"/>
  <c r="C21" i="14"/>
  <c r="D21" i="14"/>
  <c r="E21" i="14"/>
  <c r="F21" i="14"/>
  <c r="G21" i="14"/>
  <c r="H21" i="14"/>
  <c r="I21" i="14"/>
  <c r="F22" i="14"/>
  <c r="G24" i="14"/>
  <c r="I24" i="14"/>
  <c r="B45" i="14"/>
  <c r="C45" i="14"/>
  <c r="D45" i="14"/>
  <c r="E45" i="14"/>
  <c r="E61" i="14" s="1"/>
  <c r="F45" i="14"/>
  <c r="G45" i="14"/>
  <c r="H45" i="14"/>
  <c r="I45" i="14"/>
  <c r="I61" i="14" s="1"/>
  <c r="B46" i="14"/>
  <c r="C46" i="14"/>
  <c r="D46" i="14"/>
  <c r="E46" i="14"/>
  <c r="F46" i="14"/>
  <c r="G46" i="14"/>
  <c r="H46" i="14"/>
  <c r="I46" i="14"/>
  <c r="B47" i="14"/>
  <c r="C47" i="14"/>
  <c r="D47" i="14"/>
  <c r="E47" i="14"/>
  <c r="F47" i="14"/>
  <c r="G47" i="14"/>
  <c r="H47" i="14"/>
  <c r="I47" i="14"/>
  <c r="J48" i="14"/>
  <c r="D49" i="14"/>
  <c r="H49" i="14"/>
  <c r="C51" i="14"/>
  <c r="D51" i="14"/>
  <c r="D54" i="14" s="1"/>
  <c r="E51" i="14"/>
  <c r="F51" i="14"/>
  <c r="G51" i="14"/>
  <c r="C52" i="14"/>
  <c r="D52" i="14"/>
  <c r="E52" i="14"/>
  <c r="F52" i="14"/>
  <c r="G52" i="14"/>
  <c r="C53" i="14"/>
  <c r="D53" i="14"/>
  <c r="E53" i="14"/>
  <c r="F53" i="14"/>
  <c r="G53" i="14"/>
  <c r="B56" i="14"/>
  <c r="B61" i="14" s="1"/>
  <c r="C56" i="14"/>
  <c r="D56" i="14"/>
  <c r="E56" i="14"/>
  <c r="F56" i="14"/>
  <c r="F61" i="14" s="1"/>
  <c r="G56" i="14"/>
  <c r="H56" i="14"/>
  <c r="I56" i="14"/>
  <c r="B57" i="14"/>
  <c r="C57" i="14"/>
  <c r="D57" i="14"/>
  <c r="E57" i="14"/>
  <c r="F57" i="14"/>
  <c r="G57" i="14"/>
  <c r="H57" i="14"/>
  <c r="I57" i="14"/>
  <c r="B58" i="14"/>
  <c r="C58" i="14"/>
  <c r="D58" i="14"/>
  <c r="E58" i="14"/>
  <c r="F58" i="14"/>
  <c r="G58" i="14"/>
  <c r="H58" i="14"/>
  <c r="H59" i="14" s="1"/>
  <c r="I58" i="14"/>
  <c r="G59" i="14"/>
  <c r="D61" i="14"/>
  <c r="H61" i="14"/>
  <c r="L22" i="16"/>
  <c r="B8" i="17"/>
  <c r="C8" i="17"/>
  <c r="D8" i="17"/>
  <c r="E8" i="17"/>
  <c r="E19" i="17" s="1"/>
  <c r="F8" i="17"/>
  <c r="G8" i="17"/>
  <c r="H8" i="17"/>
  <c r="I8" i="17"/>
  <c r="I19" i="17" s="1"/>
  <c r="B9" i="17"/>
  <c r="C9" i="17"/>
  <c r="D9" i="17"/>
  <c r="E9" i="17"/>
  <c r="F9" i="17"/>
  <c r="G9" i="17"/>
  <c r="H9" i="17"/>
  <c r="I9" i="17"/>
  <c r="B10" i="17"/>
  <c r="C10" i="17"/>
  <c r="D10" i="17"/>
  <c r="E10" i="17"/>
  <c r="E12" i="17" s="1"/>
  <c r="F10" i="17"/>
  <c r="G10" i="17"/>
  <c r="H10" i="17"/>
  <c r="H12" i="17" s="1"/>
  <c r="I10" i="17"/>
  <c r="I12" i="17" s="1"/>
  <c r="J11" i="17"/>
  <c r="C12" i="17"/>
  <c r="D12" i="17"/>
  <c r="B14" i="17"/>
  <c r="C14" i="17"/>
  <c r="D14" i="17"/>
  <c r="E14" i="17"/>
  <c r="F14" i="17"/>
  <c r="G14" i="17"/>
  <c r="H14" i="17"/>
  <c r="H19" i="17" s="1"/>
  <c r="I14" i="17"/>
  <c r="B15" i="17"/>
  <c r="C15" i="17"/>
  <c r="D15" i="17"/>
  <c r="E15" i="17"/>
  <c r="F15" i="17"/>
  <c r="G15" i="17"/>
  <c r="H15" i="17"/>
  <c r="I15" i="17"/>
  <c r="B16" i="17"/>
  <c r="C16" i="17"/>
  <c r="D16" i="17"/>
  <c r="D17" i="17" s="1"/>
  <c r="D20" i="17" s="1"/>
  <c r="E16" i="17"/>
  <c r="F16" i="17"/>
  <c r="G16" i="17"/>
  <c r="H16" i="17"/>
  <c r="H17" i="17" s="1"/>
  <c r="I16" i="17"/>
  <c r="C17" i="17"/>
  <c r="G17" i="17"/>
  <c r="B19" i="17"/>
  <c r="B47" i="17"/>
  <c r="B58" i="17" s="1"/>
  <c r="C47" i="17"/>
  <c r="D47" i="17"/>
  <c r="E47" i="17"/>
  <c r="F47" i="17"/>
  <c r="F58" i="17" s="1"/>
  <c r="G47" i="17"/>
  <c r="H47" i="17"/>
  <c r="I47" i="17"/>
  <c r="B48" i="17"/>
  <c r="C48" i="17"/>
  <c r="D48" i="17"/>
  <c r="E48" i="17"/>
  <c r="F48" i="17"/>
  <c r="G48" i="17"/>
  <c r="H48" i="17"/>
  <c r="I48" i="17"/>
  <c r="I51" i="17" s="1"/>
  <c r="B49" i="17"/>
  <c r="B51" i="17" s="1"/>
  <c r="C49" i="17"/>
  <c r="D49" i="17"/>
  <c r="E49" i="17"/>
  <c r="F49" i="17"/>
  <c r="F51" i="17" s="1"/>
  <c r="G49" i="17"/>
  <c r="H49" i="17"/>
  <c r="I49" i="17"/>
  <c r="J50" i="17"/>
  <c r="D51" i="17"/>
  <c r="E51" i="17"/>
  <c r="H51" i="17"/>
  <c r="B53" i="17"/>
  <c r="C53" i="17"/>
  <c r="D53" i="17"/>
  <c r="E53" i="17"/>
  <c r="F53" i="17"/>
  <c r="G53" i="17"/>
  <c r="H53" i="17"/>
  <c r="I53" i="17"/>
  <c r="B54" i="17"/>
  <c r="C54" i="17"/>
  <c r="D54" i="17"/>
  <c r="E54" i="17"/>
  <c r="F54" i="17"/>
  <c r="G54" i="17"/>
  <c r="H54" i="17"/>
  <c r="I54" i="17"/>
  <c r="B55" i="17"/>
  <c r="C55" i="17"/>
  <c r="D55" i="17"/>
  <c r="E55" i="17"/>
  <c r="F55" i="17"/>
  <c r="G55" i="17"/>
  <c r="H55" i="17"/>
  <c r="I55" i="17"/>
  <c r="I56" i="17" s="1"/>
  <c r="C58" i="17"/>
  <c r="E58" i="17"/>
  <c r="G58" i="17"/>
  <c r="I58" i="17"/>
  <c r="G6" i="18"/>
  <c r="G7" i="18"/>
  <c r="G8" i="18"/>
  <c r="G9" i="18"/>
  <c r="C10" i="18"/>
  <c r="D10" i="18"/>
  <c r="E10" i="18"/>
  <c r="F10" i="18"/>
  <c r="G16" i="18"/>
  <c r="G17" i="18"/>
  <c r="G18" i="18"/>
  <c r="G19" i="18"/>
  <c r="C20" i="18"/>
  <c r="D20" i="18"/>
  <c r="E20" i="18"/>
  <c r="F20" i="18"/>
  <c r="E13" i="19"/>
  <c r="D14" i="19"/>
  <c r="D20" i="19" s="1"/>
  <c r="E14" i="19"/>
  <c r="F14" i="19"/>
  <c r="E15" i="19"/>
  <c r="H15" i="19" s="1"/>
  <c r="E16" i="19"/>
  <c r="D17" i="19"/>
  <c r="E17" i="19"/>
  <c r="F17" i="19"/>
  <c r="H18" i="19"/>
  <c r="E19" i="19"/>
  <c r="G20" i="19"/>
  <c r="D8" i="20"/>
  <c r="F8" i="20"/>
  <c r="H8" i="20"/>
  <c r="D25" i="20"/>
  <c r="F25" i="20"/>
  <c r="H25" i="20"/>
  <c r="I7" i="21"/>
  <c r="E8" i="21"/>
  <c r="F8" i="21"/>
  <c r="G8" i="21"/>
  <c r="E9" i="21"/>
  <c r="F9" i="21"/>
  <c r="G9" i="21"/>
  <c r="G12" i="21" s="1"/>
  <c r="E10" i="21"/>
  <c r="F10" i="21"/>
  <c r="G10" i="21"/>
  <c r="E11" i="21"/>
  <c r="F11" i="21"/>
  <c r="G11" i="21"/>
  <c r="H12" i="21"/>
  <c r="H19" i="21"/>
  <c r="H20" i="21"/>
  <c r="H21" i="21"/>
  <c r="H22" i="21"/>
  <c r="H23" i="21"/>
  <c r="D24" i="21"/>
  <c r="F24" i="21"/>
  <c r="H26" i="21"/>
  <c r="H27" i="21"/>
  <c r="H28" i="21"/>
  <c r="H29" i="21"/>
  <c r="H30" i="21"/>
  <c r="H31" i="21"/>
  <c r="H32" i="21"/>
  <c r="D41" i="21"/>
  <c r="I9" i="22"/>
  <c r="I21" i="22"/>
  <c r="M21" i="22"/>
  <c r="Q21" i="22"/>
  <c r="U21" i="22"/>
  <c r="E29" i="22"/>
  <c r="I29" i="22"/>
  <c r="M29" i="22"/>
  <c r="Q29" i="22"/>
  <c r="U29" i="22"/>
  <c r="G51" i="22"/>
  <c r="M51" i="22"/>
  <c r="S51" i="22"/>
  <c r="G80" i="22"/>
  <c r="J80" i="22"/>
  <c r="M80" i="22"/>
  <c r="P80" i="22"/>
  <c r="S80" i="22"/>
  <c r="V80" i="22"/>
  <c r="I31" i="23"/>
  <c r="I44" i="23"/>
  <c r="I55" i="23"/>
  <c r="L55" i="23"/>
  <c r="M63" i="23"/>
  <c r="M64" i="23"/>
  <c r="M65" i="23"/>
  <c r="M66" i="23"/>
  <c r="M67" i="23"/>
  <c r="M69" i="23"/>
  <c r="M70" i="23"/>
  <c r="M71" i="23"/>
  <c r="M72" i="23"/>
  <c r="M73" i="23"/>
  <c r="M81" i="23"/>
  <c r="M82" i="23"/>
  <c r="G53" i="24"/>
  <c r="G55" i="24" s="1"/>
  <c r="G57" i="25"/>
  <c r="K57" i="25"/>
  <c r="C67" i="25"/>
  <c r="E67" i="25"/>
  <c r="G67" i="25"/>
  <c r="I67" i="25"/>
  <c r="K67" i="25"/>
  <c r="M67" i="25"/>
  <c r="C13" i="26"/>
  <c r="E13" i="26"/>
  <c r="G13" i="26"/>
  <c r="I13" i="26"/>
  <c r="K13" i="26"/>
  <c r="M13" i="26"/>
  <c r="K23" i="26"/>
  <c r="K28" i="26" s="1"/>
  <c r="M28" i="26"/>
  <c r="I75" i="26"/>
  <c r="L75" i="26"/>
  <c r="G86" i="26"/>
  <c r="G26" i="13" l="1"/>
  <c r="D56" i="17"/>
  <c r="J49" i="17"/>
  <c r="F20" i="19"/>
  <c r="J46" i="14"/>
  <c r="F13" i="13"/>
  <c r="I11" i="21"/>
  <c r="E12" i="21"/>
  <c r="G20" i="18"/>
  <c r="I59" i="17"/>
  <c r="D19" i="17"/>
  <c r="C59" i="14"/>
  <c r="C62" i="14" s="1"/>
  <c r="J8" i="14"/>
  <c r="F61" i="13"/>
  <c r="E61" i="13"/>
  <c r="I61" i="13" s="1"/>
  <c r="E56" i="13"/>
  <c r="D51" i="13"/>
  <c r="B63" i="13"/>
  <c r="E23" i="13"/>
  <c r="I23" i="13" s="1"/>
  <c r="H23" i="13"/>
  <c r="D23" i="13"/>
  <c r="F18" i="13"/>
  <c r="B18" i="13"/>
  <c r="B26" i="13" s="1"/>
  <c r="E18" i="13"/>
  <c r="E26" i="13" s="1"/>
  <c r="H56" i="17"/>
  <c r="G12" i="17"/>
  <c r="G20" i="17" s="1"/>
  <c r="J15" i="14"/>
  <c r="F12" i="14"/>
  <c r="B12" i="14"/>
  <c r="B25" i="14" s="1"/>
  <c r="I9" i="21"/>
  <c r="H17" i="19"/>
  <c r="F19" i="17"/>
  <c r="J52" i="14"/>
  <c r="F54" i="14"/>
  <c r="E24" i="14"/>
  <c r="H61" i="13"/>
  <c r="G61" i="13"/>
  <c r="C61" i="13"/>
  <c r="E51" i="13"/>
  <c r="E64" i="13" s="1"/>
  <c r="H63" i="13"/>
  <c r="F23" i="13"/>
  <c r="B23" i="13"/>
  <c r="I16" i="13"/>
  <c r="C18" i="13"/>
  <c r="C26" i="13" s="1"/>
  <c r="E20" i="19"/>
  <c r="H59" i="17"/>
  <c r="F17" i="17"/>
  <c r="B17" i="17"/>
  <c r="B20" i="17" s="1"/>
  <c r="F12" i="17"/>
  <c r="J12" i="17" s="1"/>
  <c r="B12" i="17"/>
  <c r="G61" i="14"/>
  <c r="J45" i="14"/>
  <c r="J21" i="14"/>
  <c r="G22" i="14"/>
  <c r="G25" i="14" s="1"/>
  <c r="J20" i="14"/>
  <c r="J19" i="14"/>
  <c r="J10" i="14"/>
  <c r="I22" i="13"/>
  <c r="F12" i="21"/>
  <c r="I8" i="21"/>
  <c r="H19" i="19"/>
  <c r="H14" i="19"/>
  <c r="G56" i="17"/>
  <c r="J53" i="17"/>
  <c r="I17" i="17"/>
  <c r="I20" i="17" s="1"/>
  <c r="E17" i="17"/>
  <c r="E20" i="17" s="1"/>
  <c r="F59" i="14"/>
  <c r="B59" i="14"/>
  <c r="J53" i="14"/>
  <c r="G49" i="14"/>
  <c r="I49" i="14"/>
  <c r="E49" i="14"/>
  <c r="F49" i="14"/>
  <c r="B49" i="14"/>
  <c r="B62" i="14" s="1"/>
  <c r="C17" i="14"/>
  <c r="I58" i="13"/>
  <c r="I55" i="13"/>
  <c r="I48" i="13"/>
  <c r="C25" i="13"/>
  <c r="I17" i="13"/>
  <c r="I10" i="13"/>
  <c r="D26" i="13"/>
  <c r="H24" i="21"/>
  <c r="J54" i="17"/>
  <c r="B56" i="17"/>
  <c r="B59" i="17" s="1"/>
  <c r="F56" i="17"/>
  <c r="F59" i="17" s="1"/>
  <c r="D59" i="17"/>
  <c r="H58" i="17"/>
  <c r="J47" i="17"/>
  <c r="J58" i="17" s="1"/>
  <c r="J15" i="17"/>
  <c r="I59" i="14"/>
  <c r="E59" i="14"/>
  <c r="I22" i="14"/>
  <c r="E22" i="14"/>
  <c r="J14" i="14"/>
  <c r="I59" i="13"/>
  <c r="I49" i="13"/>
  <c r="B25" i="13"/>
  <c r="I20" i="13"/>
  <c r="F26" i="13"/>
  <c r="I11" i="13"/>
  <c r="H13" i="13"/>
  <c r="I10" i="21"/>
  <c r="I12" i="21" s="1"/>
  <c r="H16" i="19"/>
  <c r="G10" i="18"/>
  <c r="J55" i="17"/>
  <c r="G51" i="17"/>
  <c r="G59" i="17" s="1"/>
  <c r="J48" i="17"/>
  <c r="J16" i="17"/>
  <c r="C20" i="17"/>
  <c r="G19" i="17"/>
  <c r="J8" i="17"/>
  <c r="H62" i="14"/>
  <c r="J58" i="14"/>
  <c r="E54" i="14"/>
  <c r="J54" i="14" s="1"/>
  <c r="G54" i="14"/>
  <c r="C54" i="14"/>
  <c r="C49" i="14"/>
  <c r="C24" i="14"/>
  <c r="J24" i="14" s="1"/>
  <c r="H22" i="14"/>
  <c r="H25" i="14" s="1"/>
  <c r="D22" i="14"/>
  <c r="J16" i="14"/>
  <c r="I12" i="14"/>
  <c r="I25" i="14" s="1"/>
  <c r="E12" i="14"/>
  <c r="F24" i="14"/>
  <c r="B24" i="14"/>
  <c r="I60" i="13"/>
  <c r="D56" i="13"/>
  <c r="D64" i="13" s="1"/>
  <c r="F56" i="13"/>
  <c r="F64" i="13" s="1"/>
  <c r="B56" i="13"/>
  <c r="B64" i="13" s="1"/>
  <c r="H51" i="13"/>
  <c r="H64" i="13" s="1"/>
  <c r="G51" i="13"/>
  <c r="G64" i="13" s="1"/>
  <c r="I47" i="13"/>
  <c r="F25" i="13"/>
  <c r="I21" i="13"/>
  <c r="I9" i="13"/>
  <c r="H20" i="17"/>
  <c r="I18" i="13"/>
  <c r="F25" i="14"/>
  <c r="F20" i="17"/>
  <c r="H13" i="19"/>
  <c r="D58" i="17"/>
  <c r="E56" i="17"/>
  <c r="E59" i="17" s="1"/>
  <c r="C19" i="17"/>
  <c r="J10" i="17"/>
  <c r="C61" i="14"/>
  <c r="J61" i="14" s="1"/>
  <c r="D59" i="14"/>
  <c r="D62" i="14" s="1"/>
  <c r="J57" i="14"/>
  <c r="J51" i="14"/>
  <c r="J47" i="14"/>
  <c r="C22" i="14"/>
  <c r="J9" i="14"/>
  <c r="G63" i="13"/>
  <c r="C63" i="13"/>
  <c r="I53" i="13"/>
  <c r="C51" i="13"/>
  <c r="C64" i="13" s="1"/>
  <c r="H25" i="13"/>
  <c r="D25" i="13"/>
  <c r="J56" i="14"/>
  <c r="J14" i="17"/>
  <c r="J9" i="17"/>
  <c r="C56" i="17"/>
  <c r="C51" i="17"/>
  <c r="F17" i="14"/>
  <c r="D12" i="14"/>
  <c r="I63" i="13" l="1"/>
  <c r="H26" i="13"/>
  <c r="I26" i="13" s="1"/>
  <c r="F62" i="14"/>
  <c r="I25" i="13"/>
  <c r="I13" i="13"/>
  <c r="J17" i="14"/>
  <c r="E25" i="14"/>
  <c r="J19" i="17"/>
  <c r="J49" i="14"/>
  <c r="I64" i="13"/>
  <c r="J17" i="17"/>
  <c r="J20" i="17" s="1"/>
  <c r="I62" i="14"/>
  <c r="H20" i="19"/>
  <c r="I56" i="13"/>
  <c r="E62" i="14"/>
  <c r="J62" i="14" s="1"/>
  <c r="C59" i="17"/>
  <c r="G62" i="14"/>
  <c r="C25" i="14"/>
  <c r="J22" i="14"/>
  <c r="J56" i="17"/>
  <c r="J51" i="17"/>
  <c r="I51" i="13"/>
  <c r="D25" i="14"/>
  <c r="J12" i="14"/>
  <c r="J59" i="14"/>
  <c r="J25" i="14" l="1"/>
  <c r="J59" i="17"/>
</calcChain>
</file>

<file path=xl/sharedStrings.xml><?xml version="1.0" encoding="utf-8"?>
<sst xmlns="http://schemas.openxmlformats.org/spreadsheetml/2006/main" count="2948" uniqueCount="1440">
  <si>
    <t>c/ rozpracované v časti G.</t>
  </si>
  <si>
    <t>F.h) Prehľad o výskumnej a vývojovej činnosti v bežnom období</t>
  </si>
  <si>
    <t>E. Informácie o účtovných zásadách a účtovných metódach</t>
  </si>
  <si>
    <t>Stav OP na konci účtovného obdobia</t>
  </si>
  <si>
    <t>194-194*</t>
  </si>
  <si>
    <t>391-391*</t>
  </si>
  <si>
    <t>416-416*</t>
  </si>
  <si>
    <t>Opravy a udržiavanie</t>
  </si>
  <si>
    <t>Príjmy budúcich období</t>
  </si>
  <si>
    <t>Záväzky sociálneho fondu (472)</t>
  </si>
  <si>
    <t>474-474*</t>
  </si>
  <si>
    <t>Dodávatelia tuzemskí</t>
  </si>
  <si>
    <t>štatutárnych</t>
  </si>
  <si>
    <t>315100</t>
  </si>
  <si>
    <t>419100</t>
  </si>
  <si>
    <t>Príjmy spoločníkov a členov zo závislej činnosti</t>
  </si>
  <si>
    <t>Iné záväzky - ostatné</t>
  </si>
  <si>
    <t>H. f) Mimoriadne výnosy, týkajúce sa bežného obdobia a týkajúce sa minulých období</t>
  </si>
  <si>
    <t>Časť 2 - Bezprostredne predchádzajúce účtovné obdobie</t>
  </si>
  <si>
    <t>Pestovateľské celky trval. porastov (025) - /085, 092A/</t>
  </si>
  <si>
    <t>Iné záväzky (372A, 379A, 474A, 475A, 479A, 47XA)</t>
  </si>
  <si>
    <t>Dočasné rozdiely medzi účtovnou hodnotou záväzkov a daňovou základňou, z toho</t>
  </si>
  <si>
    <t>A. c) Priemerný počet zamestnancov počas účtovného obdobia</t>
  </si>
  <si>
    <t>Bankové účty termínované</t>
  </si>
  <si>
    <t>025-025*</t>
  </si>
  <si>
    <t>123100</t>
  </si>
  <si>
    <t>Pohľadávky z derivátov</t>
  </si>
  <si>
    <t>052343</t>
  </si>
  <si>
    <t>b</t>
  </si>
  <si>
    <t>Očakávané budúce obchody dosiaľ zmluvne nezabezpečené</t>
  </si>
  <si>
    <t>A. f) Dátum schválenia účtovnej závierky za predchádzajúce obdobie:</t>
  </si>
  <si>
    <t>518610</t>
  </si>
  <si>
    <t>Prevod do nerozdeleného zisku minulých rokov</t>
  </si>
  <si>
    <t>Rozsah účtov</t>
  </si>
  <si>
    <t>Zmena základného imania (+/- 419)</t>
  </si>
  <si>
    <t>Ostatné sociálne náklady</t>
  </si>
  <si>
    <t>Urazové poistenie osôb</t>
  </si>
  <si>
    <t>-</t>
  </si>
  <si>
    <t>Zmena spoločníkov účtovnej jednotky</t>
  </si>
  <si>
    <t>Položka vlastného imania</t>
  </si>
  <si>
    <t>Oceňovacie rozdiely z precenenia pri zlúčení, splynutí a rozdelení (+/- 416)</t>
  </si>
  <si>
    <t>Záväzky voči spoločníkom a združeniu (364, 365, 366, 367, 368, 398A, 478A, 479A)</t>
  </si>
  <si>
    <t>Do 1 roku</t>
  </si>
  <si>
    <t>Inventár</t>
  </si>
  <si>
    <t>612100</t>
  </si>
  <si>
    <t>j/ rozpracované v časti O.</t>
  </si>
  <si>
    <t>Ostatné významné položky výnosov z hospodárskej činnosti, z toho:</t>
  </si>
  <si>
    <t>Iné záväzky - krátkodobé splátkové</t>
  </si>
  <si>
    <t>Poskytnuté preddavky</t>
  </si>
  <si>
    <t>Hodnota vlastných akcií vlastnená účtovnou jednotkou alebo ňou ovládanými osobami, v ktorých má účtovná jednotka podstatný vplyv</t>
  </si>
  <si>
    <t>Poskyt- nuté preddav- ky na DFM</t>
  </si>
  <si>
    <t>V prípade, ak nie, uviesť dôvod</t>
  </si>
  <si>
    <t>336600</t>
  </si>
  <si>
    <t>Stav OP na začiatku účt. Obdobia</t>
  </si>
  <si>
    <t>Iné záväzky - kovové vozíky</t>
  </si>
  <si>
    <t>Platnosť zmluvy od - do</t>
  </si>
  <si>
    <t>Poistený majetok</t>
  </si>
  <si>
    <t>Sociálna poisťovňa</t>
  </si>
  <si>
    <t>G. h) Vydané dlhopisy</t>
  </si>
  <si>
    <t>383-383*</t>
  </si>
  <si>
    <t>082300</t>
  </si>
  <si>
    <t>Poštovné</t>
  </si>
  <si>
    <t>548900</t>
  </si>
  <si>
    <t>544100</t>
  </si>
  <si>
    <t>DIČ</t>
  </si>
  <si>
    <t>DPH z leasingovej splátky</t>
  </si>
  <si>
    <t>Iné pohľadávky - DPH CZ</t>
  </si>
  <si>
    <t>335300</t>
  </si>
  <si>
    <t>311200</t>
  </si>
  <si>
    <t>518810</t>
  </si>
  <si>
    <t>Ostatné rezervy (323A,32X, 459A, 45XA)</t>
  </si>
  <si>
    <t>Daň z príjmov</t>
  </si>
  <si>
    <t>Odložený daňová záväzok</t>
  </si>
  <si>
    <t>091-091*</t>
  </si>
  <si>
    <t>Ostatné pohľadávky voči spoločníkom a členom</t>
  </si>
  <si>
    <t>323100</t>
  </si>
  <si>
    <t>Obstarávanie krátkodobého finanč. majetku</t>
  </si>
  <si>
    <t>Stav zamestnancov ku dňu, ku ktorému sa zostavuje účtovná závierka, z toho:</t>
  </si>
  <si>
    <t>Výdavky budúcich období krátkodobé, z toho</t>
  </si>
  <si>
    <t>Ostatné pohľadávky v rámci podielovej účasti okrem pohľadávok voči prepojeným účtovným jednotkám (351A) - 391A</t>
  </si>
  <si>
    <t>601200</t>
  </si>
  <si>
    <t>Vyradenie pôžičky z účtovníctva v účtovnom období</t>
  </si>
  <si>
    <t>Výnosy budúcich období krátkodobé, z toho</t>
  </si>
  <si>
    <t>Prídel do zákonného rezervného fondu</t>
  </si>
  <si>
    <t>Poistenie auta ZA142FM</t>
  </si>
  <si>
    <t>Bezpečnostné služby</t>
  </si>
  <si>
    <t>Materiál na sklade</t>
  </si>
  <si>
    <t>Práva z licenčných zmlúv</t>
  </si>
  <si>
    <t>5) Podiely na základnom imaní spoločnosti, cenné papiere a deriváty oceňoval:</t>
  </si>
  <si>
    <t>351-351*</t>
  </si>
  <si>
    <t>Dlhodobý finančný majetok</t>
  </si>
  <si>
    <t>474300</t>
  </si>
  <si>
    <t>Dcérska účtovná jednotka / Materská účtovná jednotka</t>
  </si>
  <si>
    <t>Dát.zmeny</t>
  </si>
  <si>
    <t>Štatutárne fondy (423, 42X)</t>
  </si>
  <si>
    <t>Účtovná strata</t>
  </si>
  <si>
    <t>Konečný zostatok ostatok</t>
  </si>
  <si>
    <t>511200</t>
  </si>
  <si>
    <t>Suma odloženej dane z príjmov, ktorá sa vzťahuje na položky účtované priamo na účty vlastného imania bez účtovania na účty nákladov a výnosov</t>
  </si>
  <si>
    <t>H. b) Zmena stavy vnútroorganizačných zásob</t>
  </si>
  <si>
    <t>395-395*</t>
  </si>
  <si>
    <t>412-412*</t>
  </si>
  <si>
    <t>528100</t>
  </si>
  <si>
    <t>501400</t>
  </si>
  <si>
    <t>N. a) Zoznam obchodov medzi účtovnou jednotkou a spriaznenými osobami</t>
  </si>
  <si>
    <t>Z poskytnutých záruk</t>
  </si>
  <si>
    <t>Dlhodobý nehmotný majetok, na ktorý je zriadené záložné právo</t>
  </si>
  <si>
    <t>321-322*; 324-325*; 326-326*</t>
  </si>
  <si>
    <t>Zmena stavu výrobkov - aktivácia</t>
  </si>
  <si>
    <t>Pokladňa CZK</t>
  </si>
  <si>
    <t>Obstará- vaný DFM</t>
  </si>
  <si>
    <t>Náklady budúcich období krátkodobé, z toho:</t>
  </si>
  <si>
    <t>471200</t>
  </si>
  <si>
    <t>Pohľadávky voči zamestnancom p.Yoon - PK 8035</t>
  </si>
  <si>
    <t>Zvýšenie hodnoty</t>
  </si>
  <si>
    <t>Dlhové CP držané do splatnosti</t>
  </si>
  <si>
    <t>individuálnej účtovnej závierky</t>
  </si>
  <si>
    <t>335304</t>
  </si>
  <si>
    <t>7) Zásoby vytvorené vlastnou výrobou podnik oceňoval vlastnými nákladmi</t>
  </si>
  <si>
    <t>384100</t>
  </si>
  <si>
    <t>Obstar. hodnota</t>
  </si>
  <si>
    <t>Číslo telefónu</t>
  </si>
  <si>
    <t>Kurzové zisky, z toho:</t>
  </si>
  <si>
    <t>dozorných</t>
  </si>
  <si>
    <t>Názov obce</t>
  </si>
  <si>
    <t>343900</t>
  </si>
  <si>
    <t>502100</t>
  </si>
  <si>
    <t>021-021*</t>
  </si>
  <si>
    <t>Odberatelia - intercompany, sestry</t>
  </si>
  <si>
    <t>POZNÁMKY</t>
  </si>
  <si>
    <t>Pôžičky ÚJ v kons. Celku</t>
  </si>
  <si>
    <t>N. Informácie k údajom o ekonomických vzťahoch so spriaznenými osobami</t>
  </si>
  <si>
    <t>Poskytnuté preddavky na dlhodobý hmotný majetok (052) - 095A</t>
  </si>
  <si>
    <t>043-043*</t>
  </si>
  <si>
    <t>Ostatné pohľadávky z obchodného styku (311A, 312A, 313A, 314A, 315A, 31XA) - 391A</t>
  </si>
  <si>
    <t>Predaný tovar</t>
  </si>
  <si>
    <t>Iné záväzky-exekúcie, depozit</t>
  </si>
  <si>
    <t>F.i) Štruktúra dlhodobého finančného majetku podľa položiek súvahy</t>
  </si>
  <si>
    <t>Krátkodobé finančné výpomoci</t>
  </si>
  <si>
    <t>h</t>
  </si>
  <si>
    <t>662100</t>
  </si>
  <si>
    <t>Obstaranie materiálu</t>
  </si>
  <si>
    <t>Technické zariadenia</t>
  </si>
  <si>
    <t>Poskytnuté preddavky na dlhodobý nehm. majetok (051) - 095A</t>
  </si>
  <si>
    <t>097-097*; 098-098*</t>
  </si>
  <si>
    <t>518220</t>
  </si>
  <si>
    <t>Nevyfakturované dodávky</t>
  </si>
  <si>
    <t>379100</t>
  </si>
  <si>
    <t>Zmluvné pokuty, penále a úroky z omeškania</t>
  </si>
  <si>
    <t>Dôvod na zostavenie mimoriadnej účtovnej závierky:</t>
  </si>
  <si>
    <t>Peňažné preddavky</t>
  </si>
  <si>
    <t>379100</t>
  </si>
  <si>
    <t>Nevyfakturované dodávky</t>
  </si>
  <si>
    <t>PS</t>
  </si>
  <si>
    <t>419-419*</t>
  </si>
  <si>
    <t>PS</t>
  </si>
  <si>
    <t>Predaný materiál</t>
  </si>
  <si>
    <t>Spoločník, akcionár do dňa zmeny v štruktúre spoločníkov, akcionárov</t>
  </si>
  <si>
    <t>Dátum založenia:</t>
  </si>
  <si>
    <t>Suma istiny v príslušnej mene za bežné účtovné obdobie</t>
  </si>
  <si>
    <t>Zmeny hodnoty majetku pri použití metódy vlastného imania</t>
  </si>
  <si>
    <t>124-124*</t>
  </si>
  <si>
    <t>C. a)</t>
  </si>
  <si>
    <t>Ostatné fondy (427, 42X)</t>
  </si>
  <si>
    <t>Dátum vzniku:</t>
  </si>
  <si>
    <t>F.c) 2) Prehľad o dlhodobom hmotnom majetku, na ktorý je zriadené záložné právo, alebo pri ktorom má účtovná jednotka obmedzené právo s ním nakladať</t>
  </si>
  <si>
    <t>Obstará- vaný DNM</t>
  </si>
  <si>
    <t>Vplyv ocenenia na výsledok hospodárenia bežného účtovného obdobia</t>
  </si>
  <si>
    <t>Pôžičky v rámci podielovej účasti okrem prepojeným účtovným jednotkám  (066A) - 096A</t>
  </si>
  <si>
    <t>648100</t>
  </si>
  <si>
    <t>Opravy a udržiavanie - poistné udalosti</t>
  </si>
  <si>
    <t>Pestova- teľské celky trvalých porastov</t>
  </si>
  <si>
    <t>Pohľadávky voči spoločníkom, členom a združeniu</t>
  </si>
  <si>
    <t>Suma odloženej daňovej pohľadávky týkajúca sa umorenia daňovej straty, nevyužitých daňových dopočtov a iných nárokov, ako aj dočasných rozdielov predchádzajúcich účtovných období, ku ktorým sa v predchádzajúcich účtovných obdobiach odložená daňová pohľadávka neúčtovala</t>
  </si>
  <si>
    <t>051-051*</t>
  </si>
  <si>
    <t>527200</t>
  </si>
  <si>
    <t>372-373*; 377-377*; 379-379*; 479-479*</t>
  </si>
  <si>
    <t>512900</t>
  </si>
  <si>
    <t>Zdravotná poisťovňa Dôvera</t>
  </si>
  <si>
    <t>518500</t>
  </si>
  <si>
    <t>Účtovné a mzdové služby</t>
  </si>
  <si>
    <t>G.b) 2.)Tvorba a čerpanie rezerv v bezprostredne predchádzajúcom roku</t>
  </si>
  <si>
    <t>Oceňovacie rozdiely z precenenia majetku a záväzkov</t>
  </si>
  <si>
    <t>Krátkodobé finančné výpomoci (241, 249, 24X, 473A, /-/255A)</t>
  </si>
  <si>
    <t>D celkový</t>
  </si>
  <si>
    <t>Nepeňažné príjmy</t>
  </si>
  <si>
    <t>111110</t>
  </si>
  <si>
    <t>Ostatné výnosy z hospodárskej činnosti -poistné udalosti</t>
  </si>
  <si>
    <t>095-095*</t>
  </si>
  <si>
    <t>Ostatné záväzky z obchodného styku (321A, 322A, 324A, 325A, 326A, 32XA, 475A, 476A, 478A, 47XA)</t>
  </si>
  <si>
    <t>Mat.na sklade  - kovové palety</t>
  </si>
  <si>
    <t>f</t>
  </si>
  <si>
    <t>Pohľ. voči spoločníkom, členom a združeniu (354A, 355A, 358A, 35XA, 398A) - 391A</t>
  </si>
  <si>
    <t>221100</t>
  </si>
  <si>
    <t>427-427*</t>
  </si>
  <si>
    <t>Výsledok hospodárenia pred zdanením, z toho</t>
  </si>
  <si>
    <t>Dlhodobý finančný majetok, na ktorý je zriadené záložné právo</t>
  </si>
  <si>
    <t>Prírastky</t>
  </si>
  <si>
    <t>Dlhodobé zmenky na úhradu (478A)</t>
  </si>
  <si>
    <t>Adresa registrového súdu, ktorý vedie obchodný register, v ktorom sa uložia tieto kosolidované účtovné závierky:</t>
  </si>
  <si>
    <t>Podnik oceňoval peňažné prostriedky, ceniny, pohľadávky, záväzky</t>
  </si>
  <si>
    <t>Aktivované náklady na vývoj</t>
  </si>
  <si>
    <t>335302</t>
  </si>
  <si>
    <t>Účtovné jednotky s podstatným vplyvom</t>
  </si>
  <si>
    <t>642200</t>
  </si>
  <si>
    <t>Názov orgánu</t>
  </si>
  <si>
    <t>Krátkodobý finančný majetok spolu</t>
  </si>
  <si>
    <t>Účtovný zisk</t>
  </si>
  <si>
    <t>Opravná položka k materiálu</t>
  </si>
  <si>
    <t>Odpisy dlhodobého hmotného majetku</t>
  </si>
  <si>
    <t>Odberatelia - zahraniční</t>
  </si>
  <si>
    <t>Kurzové zisky ku dňu, ku ktorému sa zostavuje účtovná závierka</t>
  </si>
  <si>
    <t>Názov vydaného dlhopisu</t>
  </si>
  <si>
    <t>Počiatočný účet súvahový</t>
  </si>
  <si>
    <t>Zmena základného imania</t>
  </si>
  <si>
    <t>J. Informácie k údajom o daniach z príjmov</t>
  </si>
  <si>
    <t>Vplyv ocenenia na vlastné imanie</t>
  </si>
  <si>
    <t>481-481*</t>
  </si>
  <si>
    <t>014-014*</t>
  </si>
  <si>
    <t>Zníženie hodnoty</t>
  </si>
  <si>
    <t>Samos- tatné hnuteľné veci a súbory hn. vecí</t>
  </si>
  <si>
    <t>Prijatie rozhodnutia o predaji účtovnej jednotky alebo jej časti</t>
  </si>
  <si>
    <t>Poistenie ostatné</t>
  </si>
  <si>
    <t>548101</t>
  </si>
  <si>
    <t>381100</t>
  </si>
  <si>
    <t>501500</t>
  </si>
  <si>
    <t>DPH zúčtovanie s daňovým úradom</t>
  </si>
  <si>
    <t>668200</t>
  </si>
  <si>
    <t>341100</t>
  </si>
  <si>
    <t>Pohľadávky v rámci konsolidovaného celku</t>
  </si>
  <si>
    <t>668200</t>
  </si>
  <si>
    <t>Pohľadávky za upísané vlastné imanie</t>
  </si>
  <si>
    <t>Náklady na zákazkovú výrobu</t>
  </si>
  <si>
    <t>Ostatné rezervy</t>
  </si>
  <si>
    <t>Oceňovacie rozdiely z precenenia pri zlúčení, splynutí a rozdelení</t>
  </si>
  <si>
    <t>l/ rozpracované v časti R.</t>
  </si>
  <si>
    <t>Právne služby</t>
  </si>
  <si>
    <t>474200</t>
  </si>
  <si>
    <t>378200</t>
  </si>
  <si>
    <t>Dlhodobý hmotný majetok</t>
  </si>
  <si>
    <t>G. m) Majetok prenajatý formou finančného prenájmu - u nájomcu</t>
  </si>
  <si>
    <t>112101</t>
  </si>
  <si>
    <t>Ostatný DNM</t>
  </si>
  <si>
    <t>Dlhodobé bankové úvery</t>
  </si>
  <si>
    <t>Tvorba sociálneho fondu zo zisku</t>
  </si>
  <si>
    <t>Pohľadávky voči zamestnancom p.Seo - PK 9608 (0610)</t>
  </si>
  <si>
    <t>531100</t>
  </si>
  <si>
    <t>Zmena odloženého daňového záväzku</t>
  </si>
  <si>
    <t>Dočasné rozdiely medzi účtovnou hodnotou majetku a daňovou základňou, z toho</t>
  </si>
  <si>
    <t>od</t>
  </si>
  <si>
    <t>Dlhodobý hmotný majetok, na ktorý je zriadené záložné právo</t>
  </si>
  <si>
    <t>518400</t>
  </si>
  <si>
    <t>Vnútorné zúčtovanie</t>
  </si>
  <si>
    <t>527300</t>
  </si>
  <si>
    <t>021100</t>
  </si>
  <si>
    <t>/</t>
  </si>
  <si>
    <t>Zostavené dňa:</t>
  </si>
  <si>
    <t>Ostatné dotácie</t>
  </si>
  <si>
    <t>Oceniteľné práva</t>
  </si>
  <si>
    <t>Krátkodobé pohľadávky spolu</t>
  </si>
  <si>
    <t>Konečný zostatok</t>
  </si>
  <si>
    <t>Súvisiace audítorské služby</t>
  </si>
  <si>
    <t>Dopravné prostriedky</t>
  </si>
  <si>
    <t>343120</t>
  </si>
  <si>
    <t>Spotreba plynu</t>
  </si>
  <si>
    <t>Schválené dňa:</t>
  </si>
  <si>
    <t>Druh podmieneného záväzku</t>
  </si>
  <si>
    <t>F.j. 3) Štruktúra dlhových cenných papierov držaných do splatnosti</t>
  </si>
  <si>
    <t>Výnosy zo zákazkovej výroby</t>
  </si>
  <si>
    <t>Bezprostredne predchá- dzajúce účtovné obdobie</t>
  </si>
  <si>
    <t>Spriaznenými osobami sú právnické osoby, ktoré sú vo vzťahu k účtovnej jednotke ovládanou osobou alebo ovládajúcou osobou, ktoré vykonávajú podstatný vplyv v účtovnej jednotke alebo je v nich vykonávaný podstatný vplyv účtovnou jednotkou, fyzické osoby, prostredníctvom ktorých vykonáva iná osoba v účtovnej jednotke podstatný vplyv, zamestnanci, zodpovední za riadenie a kontrolu činnosti účtovnej jednotky a ich blízke osoby a osoby zodpovedné za riadenie a kontrolu činnosti účtovnej jednotky, ktoré nie sú zamestnancami a ich blízke osoby, právnické osoby, v ktorých fyzické osoby horeuvedené vykonávajú podstatný vplyv a to aj sprostredkovane, osoby, ktoré vykonávajú v účtovnej jednotke a súčasne v inej účtovnej jednotke prostredníctvom členov štatutárnych orgánov, dozorných orgánov a iných orgánov taký vplyv, že súschopné ovplyvniť ekonomické zámery oboch účtovných jednotiek, osoby, ktoré poskytli účtovnej jednotke úver, a z tohto dôvodu sú schopné ovplyvniť ekonomické vzťahy s účtovnou jednotkou, osoby, s ktorými účtovná jednotka realizuje taký objem obchodov, že je od týchto osôb hospodársky závislá, vplyvom sa rozumie priamy aj sprostredkovaný vplyv.</t>
  </si>
  <si>
    <t>Suma istiny v príslušnej mene za bezprostredne predchádzajúce účtovné obdobie</t>
  </si>
  <si>
    <t>Tovar na sklade</t>
  </si>
  <si>
    <t>022400</t>
  </si>
  <si>
    <t>Majetok</t>
  </si>
  <si>
    <t>Úhrada straty spoločníkmi</t>
  </si>
  <si>
    <t>364-368*</t>
  </si>
  <si>
    <t>121-122*</t>
  </si>
  <si>
    <t>022400</t>
  </si>
  <si>
    <t>Spotreba elektrickej energie</t>
  </si>
  <si>
    <t>Ostatný DFM</t>
  </si>
  <si>
    <t>Mena</t>
  </si>
  <si>
    <t>261-261*</t>
  </si>
  <si>
    <t>Ostatné priame dane</t>
  </si>
  <si>
    <t>A. d) Podniky, v ktorých je podnik neobmedzene ručiacim spoločníkom</t>
  </si>
  <si>
    <t xml:space="preserve">zostavenej k </t>
  </si>
  <si>
    <t>Podielové CP a podiely v spoloč- nosti s podstat- ným vplyvom</t>
  </si>
  <si>
    <t>Splatnosť</t>
  </si>
  <si>
    <t>Náklady na reprezentáciu</t>
  </si>
  <si>
    <t>Materiál na údržbu, náhradné diely</t>
  </si>
  <si>
    <t>Meno, Priezvisko, (obch. meno) člena</t>
  </si>
  <si>
    <t>Vlastné akcie a vlastné obchodné podiely</t>
  </si>
  <si>
    <t>F.q.4) Prehľad o zákazkovej výstavbe nehnuteľnosti určenej na predaj</t>
  </si>
  <si>
    <t>423-423*</t>
  </si>
  <si>
    <t>Stavby</t>
  </si>
  <si>
    <t>M. Informácie k údajom o príjmoch členov orgánov spoločnosti</t>
  </si>
  <si>
    <t>d</t>
  </si>
  <si>
    <t>Tržby za výrobky tuzemsko</t>
  </si>
  <si>
    <t>501690</t>
  </si>
  <si>
    <t>Spotreba materiálu - ZA142FM</t>
  </si>
  <si>
    <t>d/ rozpracované v časti H.</t>
  </si>
  <si>
    <t>Zo súdnych rozhodnutí</t>
  </si>
  <si>
    <t>Oprávky</t>
  </si>
  <si>
    <t>j</t>
  </si>
  <si>
    <t>331100</t>
  </si>
  <si>
    <t>Dlhodobý nehmotný majetok</t>
  </si>
  <si>
    <t>Dlhodobý hmotný majetok, pri ktorom má účtovná jednotka obmedzené právo s ním nakladať</t>
  </si>
  <si>
    <t>065-065*; 069-069*</t>
  </si>
  <si>
    <t>Oprávky technické zariadenia</t>
  </si>
  <si>
    <t>F.b) Spôsob a výška poistenia dlhodobého majetku</t>
  </si>
  <si>
    <t>Mimoriadne výnosy, z toho:</t>
  </si>
  <si>
    <t>Tržby z predaja služieb</t>
  </si>
  <si>
    <t>548600</t>
  </si>
  <si>
    <t>Sadzba odpisov</t>
  </si>
  <si>
    <t>G. i. 1) Bankové úvery</t>
  </si>
  <si>
    <t>Podiel ÚJ na hlasovacích právach v %</t>
  </si>
  <si>
    <t>072-072*</t>
  </si>
  <si>
    <t>541100</t>
  </si>
  <si>
    <t>F.j. 1) Štruktúra dlhodobého finančného majetku a jeho zmena stavu</t>
  </si>
  <si>
    <t>431-431*</t>
  </si>
  <si>
    <t>Počet akcií (a.s.)</t>
  </si>
  <si>
    <t>Hodnota zákazkovej výroby</t>
  </si>
  <si>
    <t>Ostatatné realizovateľné cenné papiere a podiely (063A) - 096A</t>
  </si>
  <si>
    <t>Pohľadávky voči zamestnancom p.Jung - PK 5679</t>
  </si>
  <si>
    <t>Splatná daň z príjmov z bežnej činnosti</t>
  </si>
  <si>
    <t>Spotreba materiálu - nedaňový výdavok</t>
  </si>
  <si>
    <t>Zvieratá</t>
  </si>
  <si>
    <t>Práva z investovania prostriedkov získaných oslobodením od dane z príjmov</t>
  </si>
  <si>
    <t>428-428*</t>
  </si>
  <si>
    <t>Materiál na ceste</t>
  </si>
  <si>
    <t>Spotrebný materiál - ochr.prac.prost.</t>
  </si>
  <si>
    <t>501130</t>
  </si>
  <si>
    <t>3) Dlhodobý hmotný majetok nakupovaný oceňoval podnik obstarávacou cenou v zložení:</t>
  </si>
  <si>
    <t>311300</t>
  </si>
  <si>
    <t>Nemeňte názov týchto hárkov, inak nebudú správne fungovať vzorce, zabezpečujúce prenos údajov do tabuliek v Poznámkach.</t>
  </si>
  <si>
    <t>Zmena stavu výrobkov - opravná položka k výrobkom</t>
  </si>
  <si>
    <t>335200</t>
  </si>
  <si>
    <t>326100</t>
  </si>
  <si>
    <t>mesiac</t>
  </si>
  <si>
    <t>501610</t>
  </si>
  <si>
    <t>viac ako päť rokov</t>
  </si>
  <si>
    <t>Pohľadávky voči zamestnancom p.Hwang - PK 3390</t>
  </si>
  <si>
    <t>PHM ZA637FN</t>
  </si>
  <si>
    <t>604200</t>
  </si>
  <si>
    <t>Bezprostredne predchádzajúce obdobie</t>
  </si>
  <si>
    <t>082200</t>
  </si>
  <si>
    <t>Záväzky zo sociálneho poistenia (336A)</t>
  </si>
  <si>
    <t>Poplatky RTVS</t>
  </si>
  <si>
    <t>F. Informácie k údajom vykázaným na strane aktív súvahy</t>
  </si>
  <si>
    <t>PHM ZA281FV - nedaňové 20%</t>
  </si>
  <si>
    <t>373-373*; 377-377*</t>
  </si>
  <si>
    <t>Konečný zostatok sociálneho fondu</t>
  </si>
  <si>
    <t>131100</t>
  </si>
  <si>
    <t>474110</t>
  </si>
  <si>
    <t>Goodwill</t>
  </si>
  <si>
    <t>Zúčtovanie OP z dôvodu zániku opodstatne- nosti</t>
  </si>
  <si>
    <t>Spôsob výpočtu hodnoty</t>
  </si>
  <si>
    <t>A. Základné informácie o účtovnej jednotke</t>
  </si>
  <si>
    <t>B. Informácie o členoch štatutárnych orgánov, dozorných orgánov a iných orgánov účtovnej jednotky</t>
  </si>
  <si>
    <t>079-079*</t>
  </si>
  <si>
    <t>471050</t>
  </si>
  <si>
    <t>501170</t>
  </si>
  <si>
    <t>Odpis pohľadávky</t>
  </si>
  <si>
    <t>518120</t>
  </si>
  <si>
    <t>501900</t>
  </si>
  <si>
    <t>G. Informácie k údajom vykázaným na strane pasív súvahy</t>
  </si>
  <si>
    <t>501900</t>
  </si>
  <si>
    <t>Opravné položky k pohľadávkam</t>
  </si>
  <si>
    <t>Tržby za tovar zahraničie</t>
  </si>
  <si>
    <t>518120</t>
  </si>
  <si>
    <t>Opravné položky k pohľadávkam</t>
  </si>
  <si>
    <t>381-382*</t>
  </si>
  <si>
    <t>Nerozdelený zisk minulých rokov (428)</t>
  </si>
  <si>
    <t>Dodávatelia - intercompany sestry</t>
  </si>
  <si>
    <t>K. Informácie k údajom na podsúvahových účtoch</t>
  </si>
  <si>
    <t>Názov položky</t>
  </si>
  <si>
    <t>343320</t>
  </si>
  <si>
    <t>Podielové cenné papiere a podiely podielovou účasťou okrem v prepojených účtovných jednotkách (062A) - 096A</t>
  </si>
  <si>
    <t>067-067*</t>
  </si>
  <si>
    <t>379200</t>
  </si>
  <si>
    <t>Výška dotácie</t>
  </si>
  <si>
    <t>*) Vyznačuje sa krížikom</t>
  </si>
  <si>
    <t>Nerozdelený zisk minulých rokov</t>
  </si>
  <si>
    <t>F.o.2) Nehnuteľnosti na predaj</t>
  </si>
  <si>
    <t>Náhrady pri PN</t>
  </si>
  <si>
    <t>Výrobky na sklade</t>
  </si>
  <si>
    <t>Výsledok hospodárenia bežného účtovného obdobia</t>
  </si>
  <si>
    <t>Podpisový záznam člena štatutárneho orgánu účtovnej jednotky alebo fyzickej osoby, ktorá je účt. jednotkou:</t>
  </si>
  <si>
    <t>Obchodné meno a sídlo spoločnosti, v ktorej má ÚJ umiestnený DFM</t>
  </si>
  <si>
    <t>527100</t>
  </si>
  <si>
    <t>648200</t>
  </si>
  <si>
    <t>361100</t>
  </si>
  <si>
    <t>Ostatné významné položky nákladov za poskytnuté služby, z toho:</t>
  </si>
  <si>
    <t>Čistý obrat celkom</t>
  </si>
  <si>
    <t>A. e) Právny dôvod na zostavenie účtovnej závierky</t>
  </si>
  <si>
    <t>predchádzajúce obdobie</t>
  </si>
  <si>
    <t>331-331*; 333-333*</t>
  </si>
  <si>
    <t>Pokladňa EUR</t>
  </si>
  <si>
    <t>Záväzky so zostatkovou dobou splatnosti do jedného roka vrátane</t>
  </si>
  <si>
    <t>Náklady budúcich období dlhodobé, z toho:</t>
  </si>
  <si>
    <t>Stav na začiatku účtovného obdobia</t>
  </si>
  <si>
    <t>Z hárku Suvaha_BO - F. a) 1), F. a) 2), F. j), F. o), F. r)</t>
  </si>
  <si>
    <t>518600</t>
  </si>
  <si>
    <t>Ocenenie</t>
  </si>
  <si>
    <t>Bezpr. predch .obdobie</t>
  </si>
  <si>
    <t>Bežné účtovné obdobie</t>
  </si>
  <si>
    <t>511100</t>
  </si>
  <si>
    <t>-priame náklady</t>
  </si>
  <si>
    <t>Číslo</t>
  </si>
  <si>
    <t>075-075*</t>
  </si>
  <si>
    <t>Bankové úvery</t>
  </si>
  <si>
    <t>Zamestnanci</t>
  </si>
  <si>
    <t>Iné pohľadávky</t>
  </si>
  <si>
    <t>Kurzové straty ku dňu, ku ktorému sa zostavuje účtovná závierka</t>
  </si>
  <si>
    <t>Vyradenie dlhového CP z účtovníctva v účtovnom období</t>
  </si>
  <si>
    <t>Náklady</t>
  </si>
  <si>
    <t>381300</t>
  </si>
  <si>
    <t>501700</t>
  </si>
  <si>
    <t>Odstupné</t>
  </si>
  <si>
    <t>Záväzky po lehote splatnosti</t>
  </si>
  <si>
    <t>Iné položky</t>
  </si>
  <si>
    <t>Dlhodobé prijaté preddavky (475A)</t>
  </si>
  <si>
    <t>Ostatné realizovateľné CP</t>
  </si>
  <si>
    <t>mimoradna</t>
  </si>
  <si>
    <t>Za obdobie</t>
  </si>
  <si>
    <t>F.zc) Majetok prenajatý formou finančného prenájmu</t>
  </si>
  <si>
    <t>Stavby (021) - /081, 092A/</t>
  </si>
  <si>
    <t>Materiál (112, 119, 11X) - /191, 19X/</t>
  </si>
  <si>
    <t>Leasing ZA142 FM - istina</t>
  </si>
  <si>
    <t>Ostatné dlhodobé CP a podiely</t>
  </si>
  <si>
    <t>Bezprostredne predchádzajúce účtovné obdobie</t>
  </si>
  <si>
    <t>Zdravotná poisťovňa UNION</t>
  </si>
  <si>
    <t>Účty v bankách (221A, 22X +/-261)</t>
  </si>
  <si>
    <t>MD kladný</t>
  </si>
  <si>
    <t>471100</t>
  </si>
  <si>
    <t>518800</t>
  </si>
  <si>
    <t>Čistiace a hygienické prostriedky</t>
  </si>
  <si>
    <t>Prvotné ocenenie</t>
  </si>
  <si>
    <t>Odložená daň z príjmov</t>
  </si>
  <si>
    <t>Oceniteľné práva (014) - /074, 091A/</t>
  </si>
  <si>
    <t>Druh majetku</t>
  </si>
  <si>
    <t>Zamestnanci-Agentúrni</t>
  </si>
  <si>
    <t>Podielové cenné papiere a podiely v prepojených účtovných jednotkách (061A, 062A, 063A) - 096A</t>
  </si>
  <si>
    <t>502200</t>
  </si>
  <si>
    <t>Ostatné dôležité skutočnosti</t>
  </si>
  <si>
    <t>G.a. 5) Prehľad o zisku a strate, ktorá nebola účtovaná ako náklad alebo výnos, ale priamo na účty vlastného imania</t>
  </si>
  <si>
    <t>Poskytnuté preddavky na DNM</t>
  </si>
  <si>
    <t>Dôvod</t>
  </si>
  <si>
    <t>Peniaze na ceste</t>
  </si>
  <si>
    <t>Zmeny významných položiek dlhodobého finančného majetku</t>
  </si>
  <si>
    <t>Tovar (132, 133, 13X, 139) - /196, 19X/</t>
  </si>
  <si>
    <t>336500</t>
  </si>
  <si>
    <t>Dlhodobé záväzky v rámci konsolidovaného-ostatné</t>
  </si>
  <si>
    <t>063-063*</t>
  </si>
  <si>
    <t>Odpočet vstup samozdanenie 20%</t>
  </si>
  <si>
    <t>Peniaze na ceste</t>
  </si>
  <si>
    <t>Krátkodobé rezervy, z toho:</t>
  </si>
  <si>
    <t>PHM ZA637FN - nedaňové 20%</t>
  </si>
  <si>
    <t>Ostatné významné položky finančných nákladov, z toho:</t>
  </si>
  <si>
    <t>Peňažné príjmy</t>
  </si>
  <si>
    <t>Hodnota splateného základného imania</t>
  </si>
  <si>
    <t>501410</t>
  </si>
  <si>
    <t>Záväzok vykázaný v súvahe</t>
  </si>
  <si>
    <t>Tvorba</t>
  </si>
  <si>
    <t>odpočítateľné</t>
  </si>
  <si>
    <t>Opr. položka k nadobudnutému majetku (+/- 097) +/- 098</t>
  </si>
  <si>
    <t>F.a) 1) Prehľad o pohybe dlhodobého nehmotného majetku</t>
  </si>
  <si>
    <t>Reprezentačné</t>
  </si>
  <si>
    <t>Záložným právom</t>
  </si>
  <si>
    <t>i/ rozpracované v časti M. a N.</t>
  </si>
  <si>
    <t>Náklady na zákazkovú výstavbu nehnuteľnosti určenej na predaj</t>
  </si>
  <si>
    <t>F.y) Krátkodobý finančný majetok, na ktorý bolo zriadené záložné právo, alebo pri ktorom má účtovná jednotka obmedzené právo s ním nakladať</t>
  </si>
  <si>
    <t>Emisné kvóty (komodity)</t>
  </si>
  <si>
    <t>Zmena stavu výrobkov - opravná položka k</t>
  </si>
  <si>
    <t>311100</t>
  </si>
  <si>
    <t>311100</t>
  </si>
  <si>
    <t>Odberatelia - intercompany, matka</t>
  </si>
  <si>
    <t>Krátkodobé bankové úvery</t>
  </si>
  <si>
    <t>J. f),  g) Porovnanie splatnej a odloženej dane z príjmov s daňou z výsledku hospodárenia pred zdanením</t>
  </si>
  <si>
    <t>F.q.1) Prehľad o zákazkovej výrobe</t>
  </si>
  <si>
    <t>Softvér</t>
  </si>
  <si>
    <t>333400</t>
  </si>
  <si>
    <t>Krátkodobé bankové úvery</t>
  </si>
  <si>
    <t>601100</t>
  </si>
  <si>
    <t>Úbytky</t>
  </si>
  <si>
    <t>Bežné účt. obdobie</t>
  </si>
  <si>
    <t>2) Výsledné hárky (Uvod až P.)</t>
  </si>
  <si>
    <t>Mimoriadne udalosti - živelné pohromy</t>
  </si>
  <si>
    <t>Zúčtovanie OP z dôvodu zániku opodstatnenosti</t>
  </si>
  <si>
    <t>Iné</t>
  </si>
  <si>
    <t>371-371*</t>
  </si>
  <si>
    <t>Čistá hodnota zákazky  (316A)</t>
  </si>
  <si>
    <t>6) Nakupované zásoby oceňoval podnik obstarávacou cenou v zložení:</t>
  </si>
  <si>
    <t>Náklady súvisiace s obstaraním zásob:</t>
  </si>
  <si>
    <t>Hodnota upísaného vlastného imania</t>
  </si>
  <si>
    <t>Príjmy budúcich období dlhodobé, z toho:</t>
  </si>
  <si>
    <t>Zmena stavu polotovarov</t>
  </si>
  <si>
    <t>548400</t>
  </si>
  <si>
    <t>501490</t>
  </si>
  <si>
    <t>Krátkodobý finančný majetok</t>
  </si>
  <si>
    <t>DPH z poskytnutých preddavkov</t>
  </si>
  <si>
    <t>Poznámka</t>
  </si>
  <si>
    <t>v eurocentoch</t>
  </si>
  <si>
    <t>Záväzky so zostatkovou dobou splatnosti nad päť rokov</t>
  </si>
  <si>
    <t>O. Informácie o skutočnostiach, ktoré nastali po dni, ku ktorému sa zostavuje účtovná závierka do dňa zostavenia účtovnej závierky</t>
  </si>
  <si>
    <t>013-013*</t>
  </si>
  <si>
    <t>Vysporiadanie účtovnej straty</t>
  </si>
  <si>
    <t>e/ rozpracované v časti I.</t>
  </si>
  <si>
    <t>Nerozdelená strata minulých rokov (/-/429)</t>
  </si>
  <si>
    <t>Leasing ZA 637 FN - istina</t>
  </si>
  <si>
    <t>Z ručenia</t>
  </si>
  <si>
    <t>Tieto hárky obsahujú sformátované údaje pre tlač poznámok.</t>
  </si>
  <si>
    <t>Zúčtovanie OP z dôvodu vyradenia majetku z účtovníctva</t>
  </si>
  <si>
    <t>Začiatočný stav</t>
  </si>
  <si>
    <t>111100</t>
  </si>
  <si>
    <t>Nákup materiálu - výroba - prepravné a colné poplatky</t>
  </si>
  <si>
    <t>od jedného roka do patich rokov vrátane</t>
  </si>
  <si>
    <t>518510</t>
  </si>
  <si>
    <t>Spolu</t>
  </si>
  <si>
    <t>Zákonný rezervný fond a Nedeliteľný fond (417A, 418, 421A, 422)</t>
  </si>
  <si>
    <t>F.c) 1) Prehľad o dlhodobom nehmotnom majetku, na ktorý je zriadené záložné právo, alebo pri ktorom má účtovná jednotka obmedzené právo s ním nakladať</t>
  </si>
  <si>
    <t>092-092*</t>
  </si>
  <si>
    <t>Pohľadávky voči dcérskej účtovnej jednotke a materskej účtovnej jednotke</t>
  </si>
  <si>
    <t>Práva z poistných zmlúv</t>
  </si>
  <si>
    <t>Z hárku Suvaha_PO - F. a) 1), F. a) 2), F. j), F. o), F. r)</t>
  </si>
  <si>
    <t>F.v) Odložená daňová pohľadávka</t>
  </si>
  <si>
    <t>122100</t>
  </si>
  <si>
    <t>Pozemky</t>
  </si>
  <si>
    <t>E. c) Spôsob oceňovania jednotlivých zložiek majetku a záväzkov:</t>
  </si>
  <si>
    <t>Pôžičky s dobou splatnosti najviac jeden rok</t>
  </si>
  <si>
    <t>Emisné kvóty</t>
  </si>
  <si>
    <t>Výnosy budúcich období dlhodobé (384A)</t>
  </si>
  <si>
    <t>Vlastné akcie a vlastné obchodné podiely (252)</t>
  </si>
  <si>
    <t>Stravovanie zamestnancov nad limit</t>
  </si>
  <si>
    <t>335100</t>
  </si>
  <si>
    <t>Druh podmieneného majetku</t>
  </si>
  <si>
    <t>Podnik tvoril vlastnou činnosťou dlhodobý nehmotný majetok</t>
  </si>
  <si>
    <t>Suma MD</t>
  </si>
  <si>
    <t>D záporný</t>
  </si>
  <si>
    <t>Ostatné služby</t>
  </si>
  <si>
    <t>Prepravné služby</t>
  </si>
  <si>
    <t>Obstarávanie krátkodobého finančného majetku</t>
  </si>
  <si>
    <t>iných</t>
  </si>
  <si>
    <t>Záväzky z leasingu</t>
  </si>
  <si>
    <t>Iné prípady</t>
  </si>
  <si>
    <t>082100</t>
  </si>
  <si>
    <t>123-123*</t>
  </si>
  <si>
    <t>Istina</t>
  </si>
  <si>
    <t>Po lehote</t>
  </si>
  <si>
    <t>Závázky skupina - úroky pôžička</t>
  </si>
  <si>
    <t>Príjmy členov orgánov</t>
  </si>
  <si>
    <t>Goodwill (015) - /075, 091A/</t>
  </si>
  <si>
    <t>Daň z nehnuteľností</t>
  </si>
  <si>
    <t>604100</t>
  </si>
  <si>
    <t>501510</t>
  </si>
  <si>
    <t>NBO-DPH z leasingu ZA142FM</t>
  </si>
  <si>
    <t>042100</t>
  </si>
  <si>
    <t>Zabezpečovacia položka</t>
  </si>
  <si>
    <t>Celková daň z príjmov</t>
  </si>
  <si>
    <t>Hodnota za bežné účtovné obdobie</t>
  </si>
  <si>
    <t>Emisný kurz</t>
  </si>
  <si>
    <t>E.d) Spôsob zostavenia odpisového plánu dlhodobého majetku</t>
  </si>
  <si>
    <t>Software</t>
  </si>
  <si>
    <t>413100</t>
  </si>
  <si>
    <t>474210</t>
  </si>
  <si>
    <t>Náklady voči audítorovi, audítorskej spoločnosti, z toho:</t>
  </si>
  <si>
    <t>Spôsob nadobudnutia goodwillu</t>
  </si>
  <si>
    <t>Dlhodobé pohľadávky spolu</t>
  </si>
  <si>
    <t>314100</t>
  </si>
  <si>
    <t>Obstarávaný krátkodobý finančný majetok (259, 314A) - 291A</t>
  </si>
  <si>
    <t>592100</t>
  </si>
  <si>
    <t>Spôsob zostavenia účtovného odpisového plánu pre dlhodobý majetok a použité účtovné odpisové metódy pri stanovení účtovných odpisov:</t>
  </si>
  <si>
    <t>Finančný vklad</t>
  </si>
  <si>
    <t>b/ rozpracované v časti F.</t>
  </si>
  <si>
    <t>Vydané dlhopisy (473A /-/255A)</t>
  </si>
  <si>
    <t>Zvýšenie / zníženie hodnoty (+/-)</t>
  </si>
  <si>
    <t>Základné imanie celkom</t>
  </si>
  <si>
    <t>Po lehote splatnosti</t>
  </si>
  <si>
    <t>Iné:</t>
  </si>
  <si>
    <t>026-026*</t>
  </si>
  <si>
    <t>Výdavky budúcich období</t>
  </si>
  <si>
    <t>Za bezprostredne</t>
  </si>
  <si>
    <t>do</t>
  </si>
  <si>
    <t>Iné uisťovacie audítorské služby</t>
  </si>
  <si>
    <t>rok</t>
  </si>
  <si>
    <t>H. c), d), e) Významné položky výnosov pri aktivácii nákladov a o výnosoch z hospodárskej činnosti, finančnej činnosti a mimoriadnej činnosti</t>
  </si>
  <si>
    <t>Spotreba materiálu ZA 281  FV</t>
  </si>
  <si>
    <t>331200</t>
  </si>
  <si>
    <t>Iné záväzky</t>
  </si>
  <si>
    <t>Výdavky budúcich období dlhodobé, z toho</t>
  </si>
  <si>
    <t>Ostatné kapitálové fondy</t>
  </si>
  <si>
    <t>613100</t>
  </si>
  <si>
    <t>501590</t>
  </si>
  <si>
    <t>Dcérske účtovné jednotky</t>
  </si>
  <si>
    <t>415-415*</t>
  </si>
  <si>
    <t>321400</t>
  </si>
  <si>
    <t>Prevod do neuhradenej straty z minulých rokov</t>
  </si>
  <si>
    <t>G. f) Informácie o odloženom daňovom záväzku</t>
  </si>
  <si>
    <t>N. b) Zoznam obchodov podľa bodu N.a) ktoré sú rovnakého druhu kumulovane</t>
  </si>
  <si>
    <t>Tržby za tovar</t>
  </si>
  <si>
    <t>Výdavky budúcich období dlhodobé (383A)</t>
  </si>
  <si>
    <t>548500</t>
  </si>
  <si>
    <t>Tvorba OP</t>
  </si>
  <si>
    <t>545100</t>
  </si>
  <si>
    <t>013100</t>
  </si>
  <si>
    <t>Ostatné služby- Agentúrni zamenstanci</t>
  </si>
  <si>
    <t>Výrobky na sklade- Overhead</t>
  </si>
  <si>
    <t>Poskytnuté preddavky na dlhodobý finančný majetok (053) - 095A</t>
  </si>
  <si>
    <t>Zásoby</t>
  </si>
  <si>
    <t>518700</t>
  </si>
  <si>
    <t>Prenajatý majetok</t>
  </si>
  <si>
    <t>Názov</t>
  </si>
  <si>
    <t>Prídel na zvýšenie základného imania</t>
  </si>
  <si>
    <t>Poskytnuté preddavky na zásoby</t>
  </si>
  <si>
    <t>052-052*</t>
  </si>
  <si>
    <t>Telekomunikačné služby</t>
  </si>
  <si>
    <t>Iné podmienené záväzky</t>
  </si>
  <si>
    <t>F.n) Ocenenie dlhodobého finančného majetku ku dňu zostavenia účtovnej závierky</t>
  </si>
  <si>
    <t>Vyfaktúrované nároky za vykonanú prácu na zákazkovej výrobe</t>
  </si>
  <si>
    <t>Odpisová metóda</t>
  </si>
  <si>
    <t>Dary</t>
  </si>
  <si>
    <t>648300</t>
  </si>
  <si>
    <t>Spotreba materiálu - obalový materiál</t>
  </si>
  <si>
    <t>Umorenie daňovej straty</t>
  </si>
  <si>
    <t>Zákonné sociálne poistenie</t>
  </si>
  <si>
    <t>Dary</t>
  </si>
  <si>
    <t>345100</t>
  </si>
  <si>
    <t>C. c )</t>
  </si>
  <si>
    <t>096-096*</t>
  </si>
  <si>
    <t>385100</t>
  </si>
  <si>
    <t>112130</t>
  </si>
  <si>
    <t>Záväzky so zostatkovou dobou splatnosti jeden rok až päť rokov</t>
  </si>
  <si>
    <t>G. k. 2) Významné položky derivátov</t>
  </si>
  <si>
    <t>029-029*</t>
  </si>
  <si>
    <t>Výdavky platené za iný subjekt</t>
  </si>
  <si>
    <t>379300</t>
  </si>
  <si>
    <t>Ostatné dane a poplatky</t>
  </si>
  <si>
    <t>Inou formou zabezpečenia</t>
  </si>
  <si>
    <t>461-461*</t>
  </si>
  <si>
    <t>Reklamácie</t>
  </si>
  <si>
    <t>G.b) 1.)Tvorba a čerpanie rezerv v bežnom roku</t>
  </si>
  <si>
    <t>384-384*</t>
  </si>
  <si>
    <t>Opis predmetu záložného práva</t>
  </si>
  <si>
    <t>478-478*</t>
  </si>
  <si>
    <t>Zákonné rezervy (323A, 451A)</t>
  </si>
  <si>
    <t>522100</t>
  </si>
  <si>
    <t>Úprava nárokov podľa stupňa dokončenia alebo metódou nulového zisku</t>
  </si>
  <si>
    <t>Hodnota a percentuálna výška ich podielu na základnom imaní. Výška podielu na ostatných položkách vlastného imania sa uvádza v prípade, ak sa percentuálny podiel spoločníkov na základnom imaní odlišuje od podielu spoločníkov na ostatných položkách vlastného imania.</t>
  </si>
  <si>
    <t>Materiál</t>
  </si>
  <si>
    <t>Prídel do štatutárnych a ostatných fondov</t>
  </si>
  <si>
    <t>Ostatné záväzky</t>
  </si>
  <si>
    <t>Kurzové straty, z toho:</t>
  </si>
  <si>
    <t>G. l) Majetok a záväzky zabezpečené derivátmi</t>
  </si>
  <si>
    <t>Hodnota zákazkovej výstavby nehnuteľnosti určenej na predaj</t>
  </si>
  <si>
    <t>642100</t>
  </si>
  <si>
    <t>502300</t>
  </si>
  <si>
    <t>Ostatný dlhodobý nehmotný majetok (019, 01X) - /079, 07X, 091A/</t>
  </si>
  <si>
    <t>Kurzové zisky</t>
  </si>
  <si>
    <t>G.a. 3. 1) Rozdelenie účtovného zisku alebo vysporiadanie účtovnej straty</t>
  </si>
  <si>
    <t>Nominálna hodnota 1 akcie (a.s.)</t>
  </si>
  <si>
    <t>Kurzové zisky</t>
  </si>
  <si>
    <t>Podnik nakupoval v danom roku dlhodobý nehmotný majetok</t>
  </si>
  <si>
    <t>Dlhodobé CP so splatnosťou do jedného roka obdržané do splatnosti</t>
  </si>
  <si>
    <t>F.w. 2) Krátkodobý finančný majetok</t>
  </si>
  <si>
    <t>Cestovné do limitu</t>
  </si>
  <si>
    <t>501120</t>
  </si>
  <si>
    <t>Podnik nakupoval zásoby</t>
  </si>
  <si>
    <t>Daňové pohľadávky a dotácie</t>
  </si>
  <si>
    <t>Výnosy budúcich období dlhodobé, z toho</t>
  </si>
  <si>
    <t>354-355*; 358-358*</t>
  </si>
  <si>
    <t>518900</t>
  </si>
  <si>
    <t>213100</t>
  </si>
  <si>
    <t>Účtovanie obstarania a úbytku zásob.</t>
  </si>
  <si>
    <t>Počet</t>
  </si>
  <si>
    <t>V lehote splatnosti</t>
  </si>
  <si>
    <t>022-022*</t>
  </si>
  <si>
    <t>x</t>
  </si>
  <si>
    <t>Manká a škody</t>
  </si>
  <si>
    <t>Ostatné kapitálové fondy (413)</t>
  </si>
  <si>
    <t>663100</t>
  </si>
  <si>
    <t>PSČ</t>
  </si>
  <si>
    <t>663100</t>
  </si>
  <si>
    <t>381200</t>
  </si>
  <si>
    <t>501600</t>
  </si>
  <si>
    <t>Zrušenie</t>
  </si>
  <si>
    <t>Kód SK NACE</t>
  </si>
  <si>
    <t>G.a. 3. 2) Rozdelenie účtovného zisku alebo straty z predchádzajúceho roka</t>
  </si>
  <si>
    <t>Pohľadávky z leasingu</t>
  </si>
  <si>
    <t>Základné stádo a ťažné zvieratá (026) - /086, 092A/</t>
  </si>
  <si>
    <t>501160</t>
  </si>
  <si>
    <t>Hodnota celkom</t>
  </si>
  <si>
    <t>Zisk na akciu alebo podiel na základnom imaní</t>
  </si>
  <si>
    <t>Úrok p.a. v %</t>
  </si>
  <si>
    <t>473-473*</t>
  </si>
  <si>
    <t>Daňové záväzky a dotácie (341, 342, 343, 345, 346, 347, 34X)</t>
  </si>
  <si>
    <t>Zákonné rezervy (451A)</t>
  </si>
  <si>
    <t>474100</t>
  </si>
  <si>
    <t>Iný podiel na ostatných položkách VI ako na ZI v %</t>
  </si>
  <si>
    <t>Zásoby, pri ktorých má účtovná jednotka obmedzené právo s nimi nakladať</t>
  </si>
  <si>
    <t>411-411*</t>
  </si>
  <si>
    <t>378100</t>
  </si>
  <si>
    <t>Finančné výnosy, z toho:</t>
  </si>
  <si>
    <t>KS</t>
  </si>
  <si>
    <t>Pohľadávky so zostatkovou dobou splatnosti do jedného roka</t>
  </si>
  <si>
    <t>DDS - ING - Tatry Sympatia</t>
  </si>
  <si>
    <t>Pri vyskladnení zásob sa používal</t>
  </si>
  <si>
    <t>Pohľadávky za upísané vlastné imanie (/-/353)</t>
  </si>
  <si>
    <t>F.s.2) Pohľadávky podľa zostatkovej doby splatnosti</t>
  </si>
  <si>
    <t>Reklamné služby</t>
  </si>
  <si>
    <t>546100</t>
  </si>
  <si>
    <t>343310</t>
  </si>
  <si>
    <t>halierové vyrovnanie</t>
  </si>
  <si>
    <t>Sumár od začiatku zákazkovej výroby až do konca bežného účtovného obdobia</t>
  </si>
  <si>
    <t>Ostatný dlhodobý hmotný majetok (029, 02X, 032) - /089, 08X, 092A/</t>
  </si>
  <si>
    <t>398-398*</t>
  </si>
  <si>
    <t>Spotreba materiálu ZA637FN</t>
  </si>
  <si>
    <t>G. g) Záväzky zo sociálneho fondu</t>
  </si>
  <si>
    <t>Sídlo</t>
  </si>
  <si>
    <t>Nákup materiálu - výroba</t>
  </si>
  <si>
    <t>Za bezprostredne predchádzajúce účtovné obdobie</t>
  </si>
  <si>
    <t>F.f) Charakteristika Goodwillu</t>
  </si>
  <si>
    <t>341-341*; 342-342*; 343-343*; 345-345*; 346-346*; 347-347*</t>
  </si>
  <si>
    <t>518110</t>
  </si>
  <si>
    <t>V lehote</t>
  </si>
  <si>
    <t>093-093*</t>
  </si>
  <si>
    <t>Obstarávaný dlhodobý hmotný majetok (042) - 094</t>
  </si>
  <si>
    <t>F.q.2) Prehľad o zákazkovej výrobe</t>
  </si>
  <si>
    <t>Doba odpisovania</t>
  </si>
  <si>
    <t>251-251*; 253-253*; 256-256*; 257-257*</t>
  </si>
  <si>
    <t>321100</t>
  </si>
  <si>
    <t>Výsledok hospodárenia v schvaľovaní</t>
  </si>
  <si>
    <t>Finančné náklady, z toho:</t>
  </si>
  <si>
    <t>Získanie alebo odobratie licencie alebo iného povolenia významného pre činnosť</t>
  </si>
  <si>
    <t>Podielové CP a podiely v DÚJ</t>
  </si>
  <si>
    <t>252-252*</t>
  </si>
  <si>
    <t>Pohľadávky voči zamestnancom p.Seo - KK 0849</t>
  </si>
  <si>
    <t>Iné práva</t>
  </si>
  <si>
    <t>Menovitá hodnota</t>
  </si>
  <si>
    <t>Poskyt- nuté preddav- ky na DHM</t>
  </si>
  <si>
    <t>Neuhradená strata minulých rokov</t>
  </si>
  <si>
    <t>Dlhové CP držané do splatnosti spolu</t>
  </si>
  <si>
    <t>Krátkodobé pohľadávky</t>
  </si>
  <si>
    <t>Záväzky z opcií derivátov</t>
  </si>
  <si>
    <t>Nedeliteľný fond</t>
  </si>
  <si>
    <t>Dátum vzniku účtovnej jednotky</t>
  </si>
  <si>
    <t>551100</t>
  </si>
  <si>
    <t>591100</t>
  </si>
  <si>
    <t>g</t>
  </si>
  <si>
    <t>IČO:</t>
  </si>
  <si>
    <t>196-196*</t>
  </si>
  <si>
    <t>B. b. 1) Štruktúra spoločníkov a akcionárov ku dňu, ku ktorému sa zostavuje účtovná závierka</t>
  </si>
  <si>
    <t>414-414*</t>
  </si>
  <si>
    <t>335400</t>
  </si>
  <si>
    <t>Spotreba pitnej vody</t>
  </si>
  <si>
    <t>Leasing ZA 637 FN - platby</t>
  </si>
  <si>
    <t>648101</t>
  </si>
  <si>
    <t>081100</t>
  </si>
  <si>
    <t>Pohľadávky z obchodného styku</t>
  </si>
  <si>
    <t>Ostatné neaudítorské služby</t>
  </si>
  <si>
    <t>Halierové vyrovnanie</t>
  </si>
  <si>
    <t>568200</t>
  </si>
  <si>
    <t>Výrobky</t>
  </si>
  <si>
    <t>Rozdelenie účtovného zisku</t>
  </si>
  <si>
    <t>Náklady na výskum</t>
  </si>
  <si>
    <t>G. i. 2) Pôžičky, krátkodobé finančné výpomoci</t>
  </si>
  <si>
    <t>Oceňovacie rozdiely z precenenia majetku a záväzkov (+/- 414)</t>
  </si>
  <si>
    <t>Ostatné záväzky voči prepojeným účtovným jednotkám (361A, 36XA, 471A, 47XA)</t>
  </si>
  <si>
    <t>Kancelárske potreby a drobný materiál</t>
  </si>
  <si>
    <t>K. Podsúvahové účty</t>
  </si>
  <si>
    <t>Hodnota</t>
  </si>
  <si>
    <t>336100</t>
  </si>
  <si>
    <t>Prenajaté auto</t>
  </si>
  <si>
    <t>431100</t>
  </si>
  <si>
    <t>Ceniny</t>
  </si>
  <si>
    <t>1) Dlhodobý nehmotný majetok nakupovaný, podnik oceňoval obstarávacou cenou v zložení:</t>
  </si>
  <si>
    <t>Zásoby, na ktoré je zriadené záložné právo</t>
  </si>
  <si>
    <t>Pohľadávky voči ostatným zamestnancom</t>
  </si>
  <si>
    <t>Práva zo servisných zmlúv</t>
  </si>
  <si>
    <t>i</t>
  </si>
  <si>
    <t>081-081*</t>
  </si>
  <si>
    <t>259-259*</t>
  </si>
  <si>
    <t>335-335*; 374-374*; 375-375*; 378-378*</t>
  </si>
  <si>
    <t>Súčasní členovia orgánov</t>
  </si>
  <si>
    <t>Ostatné významné položky nákladov z hospodárskej činnosti, z toho:</t>
  </si>
  <si>
    <t>Tvorba sociálneho fondu na ťarchu nákladov</t>
  </si>
  <si>
    <t>E-mailová adresa</t>
  </si>
  <si>
    <t>Spoločník, akcionár</t>
  </si>
  <si>
    <t>082400</t>
  </si>
  <si>
    <t>c</t>
  </si>
  <si>
    <t>Kód druhu obchodu</t>
  </si>
  <si>
    <t>Pohľadávky z derivátových operácií (373A, 376A)</t>
  </si>
  <si>
    <t>231100</t>
  </si>
  <si>
    <t>Administratívne a prekladateľské služby</t>
  </si>
  <si>
    <t>Dlhodobé rezervy, z toho:</t>
  </si>
  <si>
    <t>F.j. 4) a l) Štruktúra poskytnutých dlhodobých pôžičiek</t>
  </si>
  <si>
    <t>a/ rozpracované v časti E.</t>
  </si>
  <si>
    <t>Samostatné hnuteľné veci a súbory hnuteľných vecí (022) - /082, 092A/</t>
  </si>
  <si>
    <t>385-385*</t>
  </si>
  <si>
    <t>323-323*</t>
  </si>
  <si>
    <t>Polotovary vlastnej výroby -Overhead</t>
  </si>
  <si>
    <t>504200</t>
  </si>
  <si>
    <t>Tvorba sociálneho fondu</t>
  </si>
  <si>
    <t>123101</t>
  </si>
  <si>
    <t>F.s.1) Veková štruktúra pohľadávok</t>
  </si>
  <si>
    <t>F.za) Ocenenie dlhodobého finančného  majetku ku dňu zostavenia účtovnej závierky reálnou hodnotou</t>
  </si>
  <si>
    <t>123101</t>
  </si>
  <si>
    <t>E. b) Zmeny účtovných zásad a metód</t>
  </si>
  <si>
    <t>I. Informácie k údajom vykázaným v nákladoch</t>
  </si>
  <si>
    <t>Oceňovacie rozdiely z kapitálových účastín (+/- 415)</t>
  </si>
  <si>
    <t>Účtovná hodnota DFM</t>
  </si>
  <si>
    <t>053-053*</t>
  </si>
  <si>
    <t>391100</t>
  </si>
  <si>
    <t>Tržby za tovar tuzemsko</t>
  </si>
  <si>
    <t>031-031*</t>
  </si>
  <si>
    <t>351100</t>
  </si>
  <si>
    <t>641100</t>
  </si>
  <si>
    <t>Spotrebný materiál - náradie</t>
  </si>
  <si>
    <t>Zaúčtovaná ako zníženie nákladov</t>
  </si>
  <si>
    <t>501300</t>
  </si>
  <si>
    <t>PHM ZA142FM - nedaňové 20%</t>
  </si>
  <si>
    <t>Pohľadávky po lehote splatnosti</t>
  </si>
  <si>
    <t>Dlhodobé záväzky spolu</t>
  </si>
  <si>
    <t>Uplatnená daňová pohľadávka</t>
  </si>
  <si>
    <t>521100</t>
  </si>
  <si>
    <t>Úrok</t>
  </si>
  <si>
    <t>521100</t>
  </si>
  <si>
    <t>Účtovná závierka:*)</t>
  </si>
  <si>
    <t>Spotrebný materiál</t>
  </si>
  <si>
    <t>zaokruhlenie výnosy</t>
  </si>
  <si>
    <t>zaokruhlenie výnosy</t>
  </si>
  <si>
    <t>Sociálne poistenie</t>
  </si>
  <si>
    <t>Spotrebný materiál</t>
  </si>
  <si>
    <t>527500</t>
  </si>
  <si>
    <t>Základné stádo a ťažné zvieratá</t>
  </si>
  <si>
    <t>Pohľadávky so zostatkovou dobou splatnosti jeden rok až 5 rokov</t>
  </si>
  <si>
    <t>Formát súboru musí byť xls (Excel 97 - 2003), kvôli exportu z Magicu.</t>
  </si>
  <si>
    <t>353-353*</t>
  </si>
  <si>
    <t>Obstarávaný DFM na účely vykonania vplyvu v inej ÚJ</t>
  </si>
  <si>
    <t>záväzku</t>
  </si>
  <si>
    <t>Obstará- vaný DHM</t>
  </si>
  <si>
    <t>335301</t>
  </si>
  <si>
    <t>472-472*</t>
  </si>
  <si>
    <t>Bankový účet Tatrabanka</t>
  </si>
  <si>
    <t>F.r) Opravné položky k pohľadávkam</t>
  </si>
  <si>
    <t>518200</t>
  </si>
  <si>
    <t>031100</t>
  </si>
  <si>
    <t>Z nerozdeleného zisku minulých rokov</t>
  </si>
  <si>
    <t>P. Informácie k údajom o zmenách vlastného imania</t>
  </si>
  <si>
    <t>Softvér (013) - /073, 091A/</t>
  </si>
  <si>
    <t>085-085*</t>
  </si>
  <si>
    <t>022200</t>
  </si>
  <si>
    <t>481100</t>
  </si>
  <si>
    <t>Odložená daň z príjmov z bežnej činnosti</t>
  </si>
  <si>
    <t>NBO-DPH z leasingu ZA637FN</t>
  </si>
  <si>
    <t>Splatná daň z príjmov</t>
  </si>
  <si>
    <t>Daňové poradenstvo</t>
  </si>
  <si>
    <t>Poskytnuté úvery</t>
  </si>
  <si>
    <t>Náklady budúcich období dlhodobé (381A, 382A)</t>
  </si>
  <si>
    <t>041-041*</t>
  </si>
  <si>
    <t>Tržby za vlastné výrobky</t>
  </si>
  <si>
    <t>schválená</t>
  </si>
  <si>
    <t>191100</t>
  </si>
  <si>
    <t>DPH výstup</t>
  </si>
  <si>
    <t>Ostatné položky vlastného imania</t>
  </si>
  <si>
    <t>Druh CP</t>
  </si>
  <si>
    <t>316-316*</t>
  </si>
  <si>
    <t>231-232*</t>
  </si>
  <si>
    <t>Bývalí členovia orgánov</t>
  </si>
  <si>
    <t>do jedného roka vrátane</t>
  </si>
  <si>
    <t>Dlhodobý finančný majetok, pri ktorom má účtovná jednotka obmedzené právo s ním nakladať</t>
  </si>
  <si>
    <t>Zákonný rezervný fond (nedeliteľný fond) z kapitálových vkladov</t>
  </si>
  <si>
    <t>Sídlo:</t>
  </si>
  <si>
    <t>Ostatný DHM</t>
  </si>
  <si>
    <t>501200</t>
  </si>
  <si>
    <t>Hodnota pohľadávky</t>
  </si>
  <si>
    <t>479100</t>
  </si>
  <si>
    <t>538100</t>
  </si>
  <si>
    <t>Podiel ÚJ na ZI v %</t>
  </si>
  <si>
    <t>F.d) Prehľad o dlhodobom nehmotnom a hmotnom majetku, pri ktorom vlastnícke práva nadobudol veriteľ zmluvou o zabezpečovacom prevode práva, alebo ktorý užíva účtovná jednotka na základe zmluvy o výpožičke</t>
  </si>
  <si>
    <t>Peniaze (211, 213, 21X)</t>
  </si>
  <si>
    <t>472100</t>
  </si>
  <si>
    <t>Teoretická daň</t>
  </si>
  <si>
    <t>Hodnota podielov podľa spoločníkov (obchodná spoločnosť)</t>
  </si>
  <si>
    <t>Oblasť odbytu</t>
  </si>
  <si>
    <t>Napĺňajú sa automaticky prevodom zo zdrojových hárkov podľa nadefinovaného vzorca alebo manuálne.</t>
  </si>
  <si>
    <t>Významné položky pri aktivácii nákladov, z toho:</t>
  </si>
  <si>
    <t>B. b. 2) Štruktúra spoločníkov a akcionárov do dňa jej zmeny vzniknutej v priebehu účtovného obdobia</t>
  </si>
  <si>
    <t>f/ rozpracované v časti J.</t>
  </si>
  <si>
    <t>Zo zmluvy o podriadenom záväzku</t>
  </si>
  <si>
    <t>e</t>
  </si>
  <si>
    <t>Oprávky stroje</t>
  </si>
  <si>
    <t>Poskytnuté preddavky na dlhodobý hmotný majetok</t>
  </si>
  <si>
    <t>066-066*</t>
  </si>
  <si>
    <t>131-131*; 132-132*; 133-133*; 139-139*</t>
  </si>
  <si>
    <t>211-213*</t>
  </si>
  <si>
    <t>512100</t>
  </si>
  <si>
    <t>Tržby za materiál tuzemsko</t>
  </si>
  <si>
    <t>Školenia pre zamestnancov</t>
  </si>
  <si>
    <t>Hrubý zisk / hrubá strata</t>
  </si>
  <si>
    <t>Tovar</t>
  </si>
  <si>
    <t>Suma odloženého daňového záväzku, ktorý vznikol z dôvodu neúčtovania tej časti odloženej daňovej pohľadávky v bežnom účtovnom období, o ktorej sa účtovalo v predchádzajúcich účtovných obdobiach</t>
  </si>
  <si>
    <t>Oceňovacie rozdiely z kapitálových účastín</t>
  </si>
  <si>
    <t>Nedokončená výroba a polotovary vlastnej výroby</t>
  </si>
  <si>
    <t>Práva z koncesionálnych zmlúv</t>
  </si>
  <si>
    <t>Nákup pomocného materiálu</t>
  </si>
  <si>
    <t>F.w. 1) Krátkodobý finančný majetok</t>
  </si>
  <si>
    <t>Sídlo účtovnej jednotky</t>
  </si>
  <si>
    <t>Výnosy zo zákazkovej výstavby nehnuteľnosti určenej na predaj</t>
  </si>
  <si>
    <t>Účet 491 - Vlastné imanie fyzickej osoby - podnikateľa</t>
  </si>
  <si>
    <t>Do splatnosti od jedného roka do troch rokov vrátane</t>
  </si>
  <si>
    <t>211200</t>
  </si>
  <si>
    <t>Ostatné sociálne poistenie</t>
  </si>
  <si>
    <t>Zo štatutárnych a ostatných fondov</t>
  </si>
  <si>
    <t>Druh formy zabezpečenia záväzku</t>
  </si>
  <si>
    <t>MD záporný</t>
  </si>
  <si>
    <t>524100</t>
  </si>
  <si>
    <t>Daň z úrokov</t>
  </si>
  <si>
    <t>F.q.3) Prehľad o zákazkovej výstavbe nehnuteľnosti určenej na predaj</t>
  </si>
  <si>
    <t>Možnosť umorovať daňovú stratu v budúcnosti</t>
  </si>
  <si>
    <t>Zaúčtovaná ako náklad</t>
  </si>
  <si>
    <t>022300</t>
  </si>
  <si>
    <t>518300</t>
  </si>
  <si>
    <t>Hodnota a percentuálna výška ich podielu na základnom imaní v prípade ich zmeny v účtovnom období. Výška podielu na ostatných položkách vlastného imania sa uvádza v prípade, ak sa percentuálny podiel spoločníkov na základnom imaní odlišuje od podielu spoločníkov na ostatných položkách vlastného imania.</t>
  </si>
  <si>
    <t>Do splatnosti od troch rokov do piatich rokov vrátane</t>
  </si>
  <si>
    <t>Hodnotové vyjadrenie obchodu</t>
  </si>
  <si>
    <t>074-074*</t>
  </si>
  <si>
    <t>Výrobky (123) - 194</t>
  </si>
  <si>
    <t>Zmeny základného imania</t>
  </si>
  <si>
    <t>Pohľadávky voči zamestnancom p.Yoon - PK 1161</t>
  </si>
  <si>
    <t>Do splatnosti do jedného roka vrátane</t>
  </si>
  <si>
    <t>194100</t>
  </si>
  <si>
    <t>335201</t>
  </si>
  <si>
    <t>Tvorba a zúčtovanie opravných položiek k zásobám</t>
  </si>
  <si>
    <t>343100</t>
  </si>
  <si>
    <t>Odberatelia - tuzemskí</t>
  </si>
  <si>
    <t>Materiál na sklade - nevýrobný,ostatný</t>
  </si>
  <si>
    <t>502900</t>
  </si>
  <si>
    <t>383100</t>
  </si>
  <si>
    <t>Podnik tvoril v bežnom roku zásoby vlastnou výrobou</t>
  </si>
  <si>
    <t>527400</t>
  </si>
  <si>
    <t>505100</t>
  </si>
  <si>
    <t>Ostatné výnosy z hospodárskej činnosti</t>
  </si>
  <si>
    <t>112100</t>
  </si>
  <si>
    <t>Finančný výnos</t>
  </si>
  <si>
    <t>Pohľadávky so zostatkovou dobou splatnosti dlhšou ako 5 rokov</t>
  </si>
  <si>
    <t>Náklady na obstarávanie nehnuteľností na predaj za účtovné obdobie</t>
  </si>
  <si>
    <t>451-451*</t>
  </si>
  <si>
    <t>119100</t>
  </si>
  <si>
    <t>Použitie</t>
  </si>
  <si>
    <t>Podpisový záznam osoby zodpovednej za vedenie účtovníctva:</t>
  </si>
  <si>
    <t>Práva z privatizácie</t>
  </si>
  <si>
    <t>Dlhodobé pôžičky</t>
  </si>
  <si>
    <t>Pozemky (031) - 092A</t>
  </si>
  <si>
    <t>H. a) Tržby za vlastné výkony a tovar</t>
  </si>
  <si>
    <t>Ostatná tvorba sociálneho fondu</t>
  </si>
  <si>
    <t>Začiatočný stav sociálneho fondu</t>
  </si>
  <si>
    <t>Hodnota pohľadávok, na ktoré sa zriadilo záložné právo</t>
  </si>
  <si>
    <t>548100</t>
  </si>
  <si>
    <t>Bankové poplatky</t>
  </si>
  <si>
    <t>543100</t>
  </si>
  <si>
    <t>Oprávky inventár</t>
  </si>
  <si>
    <t>Zmena stavu vnútroorganizačných zásob vo výkaze ziskov a strát</t>
  </si>
  <si>
    <t>P. a) až n. 1) Zmeny zložiek vlastného imania</t>
  </si>
  <si>
    <t>-časť nepriamych nákladov, súvisiaca s ich vytváraním</t>
  </si>
  <si>
    <t>112140</t>
  </si>
  <si>
    <t>absolútne</t>
  </si>
  <si>
    <t>Pohľadávky spolu</t>
  </si>
  <si>
    <t>062-062*</t>
  </si>
  <si>
    <t>Sadzba dane z príjmov (v %)</t>
  </si>
  <si>
    <t>Podnik má novozistený majetok pri inventarizácii</t>
  </si>
  <si>
    <t>Ostatné realizovateľné CP a podiely</t>
  </si>
  <si>
    <t>Dlhové CP na obchodovanie</t>
  </si>
  <si>
    <t>Zost. hodnota</t>
  </si>
  <si>
    <t>Stav OP na začiatku účtovného obdobia</t>
  </si>
  <si>
    <t>Odpočet vstup samozd. 10%</t>
  </si>
  <si>
    <t>Náklady vynaložené v bežnom období na vývoj - neaktivované</t>
  </si>
  <si>
    <t>Suma odloženého daňového záväzku, účtovaného ako náklad alebo výnos, vyplývajúci zo zmeny sadzby dane z príjmov</t>
  </si>
  <si>
    <t>562100</t>
  </si>
  <si>
    <t>335303</t>
  </si>
  <si>
    <t>314343</t>
  </si>
  <si>
    <t>Hodnota vplyvu na príslušnú zložku bilancie</t>
  </si>
  <si>
    <t>Krátkodobý finančný majetok, pri ktorom bolo obmedzené právo s ním nakladať</t>
  </si>
  <si>
    <t>Zlúčenie, splynutie, rozdelenie a zmena právnej formy</t>
  </si>
  <si>
    <t>Krátkodobý finančný majetok v prepojených účtovných jednotkách (251A, 253A, 256A, 257A, 25XA) - /291A, 29XA/</t>
  </si>
  <si>
    <t>Obstaranie materiálu - prepravné a colné poplatky</t>
  </si>
  <si>
    <t>Ostatné významné položky finančných výnosov, z toho:</t>
  </si>
  <si>
    <t>Majetok vykázaný v súvahe</t>
  </si>
  <si>
    <t>Tržby z predaja dlhodobého nehmotného a hmotného majetku</t>
  </si>
  <si>
    <t>501110</t>
  </si>
  <si>
    <t>Nemeňte poradie týchto hárkov v dokumente, musia byť na pozícii 2 až 5, inak nebude export fungovať správne.</t>
  </si>
  <si>
    <t>Presuny</t>
  </si>
  <si>
    <t>066-066*; 067-067*; 069-069*</t>
  </si>
  <si>
    <t>Leasing Kyocera TaskAlfa 3051ci</t>
  </si>
  <si>
    <t>PHM ZA 281 FV</t>
  </si>
  <si>
    <t>Zmena stavu vnútroorganizačných zásob</t>
  </si>
  <si>
    <t>Vydanie dlhopisov a iných cenných papierov</t>
  </si>
  <si>
    <t>421-421*</t>
  </si>
  <si>
    <t>Dohodnutá cena podkladového nástroja</t>
  </si>
  <si>
    <t>G. e) Hodnota záväzkov zabezpečená záložným právom</t>
  </si>
  <si>
    <t>Časť 1 - Bežné účtovné obdobie</t>
  </si>
  <si>
    <t>G. j) Významné položky časového rozlíšenia na strane pasív</t>
  </si>
  <si>
    <t>a</t>
  </si>
  <si>
    <t>Tvorba a zúčtovanie opravných položiek k pohľadávkam</t>
  </si>
  <si>
    <t>Nájomné</t>
  </si>
  <si>
    <t>501150</t>
  </si>
  <si>
    <t>Poskytnuté preddavky - zaplatená DPH</t>
  </si>
  <si>
    <t>IČO</t>
  </si>
  <si>
    <t>.</t>
  </si>
  <si>
    <t>Podpisový záznam osoby zodpovednej za zostavenie účtovnej závierky:</t>
  </si>
  <si>
    <t>Nedokončená výroba a polotovary vlastnej výroby (121, 122, 12X) - /192, 193, 19X/</t>
  </si>
  <si>
    <t>Dátum:......................................</t>
  </si>
  <si>
    <t>Hodnota záväzku zabezpečená</t>
  </si>
  <si>
    <t>311400</t>
  </si>
  <si>
    <t>Automaticky napĺňané tabuľky:</t>
  </si>
  <si>
    <t>Číslo faxu</t>
  </si>
  <si>
    <t>F.m) Prehľad o dlhodobom finančnom majetku, na ktorý je zriadené záložné právo, alebo pri ktorom má účtovná jednotka obmedzené právo s ním nakladať</t>
  </si>
  <si>
    <t>335500</t>
  </si>
  <si>
    <t>Výnosy zo zákazky</t>
  </si>
  <si>
    <t>Pôžičky prepojeným účtovným jednotkám (066A) - 096A</t>
  </si>
  <si>
    <t>Iné záväzky-exekúcie</t>
  </si>
  <si>
    <t>Ostatné pokuty, penále a úroky z omeškania</t>
  </si>
  <si>
    <t>Zostatková hodnota</t>
  </si>
  <si>
    <t>012-012*</t>
  </si>
  <si>
    <t>111-111*; 112-112*; 119-119*</t>
  </si>
  <si>
    <t>Poznámky Úč POD 3 - 04</t>
  </si>
  <si>
    <t>A. a) Obchodné meno účtovnej jednotky</t>
  </si>
  <si>
    <t>648500</t>
  </si>
  <si>
    <t>343300</t>
  </si>
  <si>
    <t>Zmluvy, ktoré sa neúčtujú na súvahových účtoch</t>
  </si>
  <si>
    <t>015-015*</t>
  </si>
  <si>
    <t>Pohľadávky voči zamestnancom p.Jung - PK 3345 (3390)</t>
  </si>
  <si>
    <t>Výnosy budúcich období</t>
  </si>
  <si>
    <t>zdaniteľné</t>
  </si>
  <si>
    <t>F.x) Opravné položky ku krátkodobému finančnému majetku</t>
  </si>
  <si>
    <t>Majetkové CP na obchodovanie</t>
  </si>
  <si>
    <t>459100</t>
  </si>
  <si>
    <t>Stravovanie zamestnancov do limitu</t>
  </si>
  <si>
    <t>518100</t>
  </si>
  <si>
    <t>355100</t>
  </si>
  <si>
    <t>C. Informácie o konsolidovanom celku, ak je účtovná jednotka jeho súčasťou</t>
  </si>
  <si>
    <t>G.a. 1), 2), 4), 6) Údaje o vlastnom imaní</t>
  </si>
  <si>
    <t>E. a) Účtovná jednotka bude nepretržite pokračovať vo svojej činnosti:</t>
  </si>
  <si>
    <t>Podnik v bežnom roku tvoril DHM vlastnou činnosťou</t>
  </si>
  <si>
    <t>DPH Odpočet tuzemsko 10%</t>
  </si>
  <si>
    <t>Oprávky budovy a haly</t>
  </si>
  <si>
    <t>395100</t>
  </si>
  <si>
    <t>513100</t>
  </si>
  <si>
    <t>Tvorba sociálneho fondu spolu</t>
  </si>
  <si>
    <t>Suma neuplatneného umorenia daňovej straty, nevyužitých daňových odpočtov a iných nárokov a odpočítateľných dočasných rozdielov, ku ktorým nebola účtovaná odložená daňová pohľadávka</t>
  </si>
  <si>
    <t>Dlhové cenné papiere a ostatný dlhodobý finančný majetok (065A, 069A, 06XA) - 096A</t>
  </si>
  <si>
    <t>Materiál na sklade - upravený</t>
  </si>
  <si>
    <t>022100</t>
  </si>
  <si>
    <t>Príjmy budúcich období dlhodobé (385A)</t>
  </si>
  <si>
    <t>PHM ZA142FM</t>
  </si>
  <si>
    <t>518620</t>
  </si>
  <si>
    <t>Polotovary vlastnej výroby</t>
  </si>
  <si>
    <t>ID</t>
  </si>
  <si>
    <t>Účtovná hodnota</t>
  </si>
  <si>
    <t>Zmeny reálnej hodnoty majetku</t>
  </si>
  <si>
    <t>Za bežné účtovné obdobie</t>
  </si>
  <si>
    <t>Náklady na obstaranie nehnuteľností na predaj od začiatku obstarávania</t>
  </si>
  <si>
    <t>Daňové pohľadávky a dotácie (341, 342, 343, 345, 346, 347) - 391A</t>
  </si>
  <si>
    <t>Pôžičky a ostatný dlhodobý finančný majetok so zostatkovou dobou splatnosti najviac jeden rok (066A, 067A, 069A, 06XA) -</t>
  </si>
  <si>
    <t>G. k. 1) Významné položky derivátov</t>
  </si>
  <si>
    <t>532100</t>
  </si>
  <si>
    <t>379500</t>
  </si>
  <si>
    <t>Ubytovanie a preprava zamestnancov</t>
  </si>
  <si>
    <t>Štatutárne fondy a ostatné fondy</t>
  </si>
  <si>
    <t>1) Zdrojové hárky (Suvaha_BO, Suvaha_PO, HK_BO, HK_PO, OPO_BO, OPO_PO)</t>
  </si>
  <si>
    <t>Emisné ážio (412)</t>
  </si>
  <si>
    <t>Tieto hárky sú exportované z účtovného modulu IS Magic a slúžia ako zdroj údajov pre tabuľky v Poznámkach.</t>
  </si>
  <si>
    <t>Začatie alebo ukončenie činnosti časti účtovnej jednotky /napr. prevádzkárne/</t>
  </si>
  <si>
    <t>L. a), b), 1) Významné položky o podmienených záväzkoch</t>
  </si>
  <si>
    <t>Záväzky voči zamestnancom (331,333, 33X, 479A)</t>
  </si>
  <si>
    <t>504100</t>
  </si>
  <si>
    <t>Podnik v bežnom roku nakupoval dlhodobý hmotný majetok</t>
  </si>
  <si>
    <t>.............................................................</t>
  </si>
  <si>
    <t>Krátkodobé rezervy</t>
  </si>
  <si>
    <t>v celých eurách *)</t>
  </si>
  <si>
    <t>Čistá hodnota zákazky (316A)</t>
  </si>
  <si>
    <t>342100</t>
  </si>
  <si>
    <t>F.o.1) Opravné položky k zásobám</t>
  </si>
  <si>
    <t>4) Dlhodobý hmotný majetok vytvorený vlastnou činnosťou oceňoval podnik vlastnými nákladmi v zložení:</t>
  </si>
  <si>
    <t>k/ rozpracované v časti P.</t>
  </si>
  <si>
    <t>Poistenie auta ZA281FV</t>
  </si>
  <si>
    <t>g/ rozpracované v časti K.</t>
  </si>
  <si>
    <t>Rok, ktorého sa účtovanie týkalo</t>
  </si>
  <si>
    <t>Aktivované náklady na vývoj (012) - /072, 091A/</t>
  </si>
  <si>
    <t>Spotreba Energie - Byt</t>
  </si>
  <si>
    <t>Čerpanie sociálneho fondu</t>
  </si>
  <si>
    <t>Výnosy nepodliehajúce dani</t>
  </si>
  <si>
    <t>Hodnota vlastného imania ÚJ, v ktorej má  ÚJ umiestnený DFM</t>
  </si>
  <si>
    <t>Základné imanie (411 alebo +/- 491)</t>
  </si>
  <si>
    <t>525100</t>
  </si>
  <si>
    <t>Podnik v bežnom roku vlastnil cenné papiere</t>
  </si>
  <si>
    <t>Práva zo súdnych sporov</t>
  </si>
  <si>
    <t>Ostatné pôžičky (067A) - 096A</t>
  </si>
  <si>
    <t>073100</t>
  </si>
  <si>
    <t>Dodávatelia - zahraniční</t>
  </si>
  <si>
    <t>591200</t>
  </si>
  <si>
    <t>Krátkodobé pôžičky</t>
  </si>
  <si>
    <t>DPH odpočet tuzemsko 20%</t>
  </si>
  <si>
    <t>073100</t>
  </si>
  <si>
    <t>132100</t>
  </si>
  <si>
    <t>Kurzové straty</t>
  </si>
  <si>
    <t>429100</t>
  </si>
  <si>
    <t>Vyplatené dividendy</t>
  </si>
  <si>
    <t>výsledok hospodárenia</t>
  </si>
  <si>
    <t>325100</t>
  </si>
  <si>
    <t>568100</t>
  </si>
  <si>
    <t>DIČ:</t>
  </si>
  <si>
    <t>L. Informácie k údajom o iných aktívach a pasívach</t>
  </si>
  <si>
    <t>563100</t>
  </si>
  <si>
    <t>Pohľadávky kryté záložným právom alebo inou formou zabezpečenia</t>
  </si>
  <si>
    <t>Pri účtovaní zásob postupoval podnik podľa Postupov účtovania, ÚT I, čl.2.</t>
  </si>
  <si>
    <t>Dlhodobé záväzky v rámci konsolidovaného celku-pôžička</t>
  </si>
  <si>
    <t>073-073*</t>
  </si>
  <si>
    <t>A. b) Opis hospodárskej činnosti účtovnej jednotky</t>
  </si>
  <si>
    <t>Nad 5 rokov</t>
  </si>
  <si>
    <t>Finančné náklady - leasing</t>
  </si>
  <si>
    <t>Bezpečnosť a ochrana zdravia pri práci</t>
  </si>
  <si>
    <t>Poistná suma</t>
  </si>
  <si>
    <t>361-361*</t>
  </si>
  <si>
    <t>Mzdové náklady</t>
  </si>
  <si>
    <t>379201</t>
  </si>
  <si>
    <t>052100</t>
  </si>
  <si>
    <t>Základ dane</t>
  </si>
  <si>
    <t>Bežné bankové účty</t>
  </si>
  <si>
    <t>011-011*; 019-019*</t>
  </si>
  <si>
    <t>459-459*</t>
  </si>
  <si>
    <t>336200</t>
  </si>
  <si>
    <t>Parkovné</t>
  </si>
  <si>
    <t>542100</t>
  </si>
  <si>
    <t>Tržby za výrobky zahraničie</t>
  </si>
  <si>
    <t>549100</t>
  </si>
  <si>
    <t>riadna</t>
  </si>
  <si>
    <t>Druh ocenenia (reálnou hodnotou alebo metódou vlastného imania)</t>
  </si>
  <si>
    <t>Nehnuteľnosť na predaj</t>
  </si>
  <si>
    <t>MD celkový</t>
  </si>
  <si>
    <t>Dodávatelia zahr.-concern</t>
  </si>
  <si>
    <t>Krátkodobý finančný majetok, na ktorý bolo zriadené záložné právo</t>
  </si>
  <si>
    <t>Prídel do sociálneho fondu</t>
  </si>
  <si>
    <t>Náklady za poskytnuté služby, z toho:</t>
  </si>
  <si>
    <t>Sumár od začiatku zákazkovej výstavby nehnuteľnosti určenej na predaj až do konca bežného účt. obdobia</t>
  </si>
  <si>
    <t>343010</t>
  </si>
  <si>
    <t>Náklady vynaložené v bežnom období na vývoj - aktivované</t>
  </si>
  <si>
    <t>Tržby za materiál zahraničie</t>
  </si>
  <si>
    <t>Suma prijatých preddavkov</t>
  </si>
  <si>
    <t>Suma odloženej daňovej pohľadávky účtovanej ako náklad alebo výnos, vyplývajúca zo zmeny sadzby dane z príjmov</t>
  </si>
  <si>
    <t>061-061*</t>
  </si>
  <si>
    <t>Pohľadávky voči zamestnancom - stravné lístky</t>
  </si>
  <si>
    <t>373-373*; 376-376*</t>
  </si>
  <si>
    <t>192-193*</t>
  </si>
  <si>
    <t>Dôvod účtovania</t>
  </si>
  <si>
    <t>D kladný</t>
  </si>
  <si>
    <t>518210</t>
  </si>
  <si>
    <t>Cestovné nad limit</t>
  </si>
  <si>
    <t>Zmena výšky rezerv a opravných položiek o ktorých sa účtovná jednotka dozvedela v horeuvedenom období</t>
  </si>
  <si>
    <t>Daň z motorových vozidiel</t>
  </si>
  <si>
    <t>IT služby, nájom</t>
  </si>
  <si>
    <t>Daň</t>
  </si>
  <si>
    <t>311-315*</t>
  </si>
  <si>
    <t>548300</t>
  </si>
  <si>
    <t>417-418*; 422-422*</t>
  </si>
  <si>
    <t>321200</t>
  </si>
  <si>
    <t>F.p) Prehľad o zásobách, na ktoré je zriadené záložné právo, alebo pri ktorých má účtovná jednotka obmedzené právo s nimi nakladať</t>
  </si>
  <si>
    <t>G. c), d) Výška záväzkov do lehoty a po lehote splatnosti</t>
  </si>
  <si>
    <t>F.g) Prehľad o položkách účtovaných na účte 097 - opravná položka k nadobudnutému majetku</t>
  </si>
  <si>
    <t>Oprávky software</t>
  </si>
  <si>
    <t>Položky výnosov</t>
  </si>
  <si>
    <t>Rozdelenie podielu spoločníkom, členom</t>
  </si>
  <si>
    <t>zostavená</t>
  </si>
  <si>
    <t>Podiel na hlasovacích 
právach 
v %</t>
  </si>
  <si>
    <t>Dátum splatnosti</t>
  </si>
  <si>
    <t>Reálna hodnota</t>
  </si>
  <si>
    <t>Odpísané pohľadávky</t>
  </si>
  <si>
    <t>429-429*</t>
  </si>
  <si>
    <t>241-241*; 249-249*</t>
  </si>
  <si>
    <t>Dlhodobý nehmotný majetok vytvorený vlastnou činnosťou oceňoval podnik reprodukčnou obstarávacou cenou v prípade, ak vlastné náklady sú vyššie ako reprodukčná obstarávacia cena tohto majetku.</t>
  </si>
  <si>
    <t>Dôvod zmeny</t>
  </si>
  <si>
    <t>2) Dlhodobý nehmotný majetok vytvorený vlastnou činnosťou oceňoval podnik vlastnými nákladmi v zložení:</t>
  </si>
  <si>
    <t>C. b)</t>
  </si>
  <si>
    <t>Odložený daňový záväzok (481A)</t>
  </si>
  <si>
    <t>221-221*</t>
  </si>
  <si>
    <t>Úhrada straty z minulých období</t>
  </si>
  <si>
    <t>Priemerný prepočítaný počet zamestnancov</t>
  </si>
  <si>
    <t>261100</t>
  </si>
  <si>
    <t>M. a), b), c) Príjmy a výhody členov štatutárnych, dozorných a iných orgánov</t>
  </si>
  <si>
    <t>Obstaranie tovaru</t>
  </si>
  <si>
    <t>Záväzky z derivátových operácií (373A, 377A)</t>
  </si>
  <si>
    <t>501210</t>
  </si>
  <si>
    <t>Pokles alebo zvýšenie trhovej ceny finančného majetku ako dôsledku oklností, ktoré nastali po dni, ku ktorému sa zostavuje účtovná závierka do dňa zostavenia účtovnej závierky</t>
  </si>
  <si>
    <t>Emisné ážio</t>
  </si>
  <si>
    <t>D. Ďalšie informácie</t>
  </si>
  <si>
    <t>Majetok v nájme (operatívny prenájom)</t>
  </si>
  <si>
    <t>Obstarávaný dlhodobý finančný majetok (043) - 096A</t>
  </si>
  <si>
    <t>Dodávatelia - intercompany - matka</t>
  </si>
  <si>
    <t>Ostatné služby nedaňové</t>
  </si>
  <si>
    <t>Súbor Poznamky.xls obsahuje dva druhy hárkov:</t>
  </si>
  <si>
    <t>vlastné imanie</t>
  </si>
  <si>
    <t>L. a), b), 2) Významné položky o podmienených záväzkoch</t>
  </si>
  <si>
    <t>336300</t>
  </si>
  <si>
    <t>Odložená daňová pohľadávka</t>
  </si>
  <si>
    <t>Nepeňažné preddavky</t>
  </si>
  <si>
    <t>Obstarávaný dlhodobý nehm. majetok (041)  - 093</t>
  </si>
  <si>
    <t>082-082*</t>
  </si>
  <si>
    <t>Ostatné dlhodobé záväzky</t>
  </si>
  <si>
    <t>Úroky</t>
  </si>
  <si>
    <t>H. g) Čistý obrat</t>
  </si>
  <si>
    <t>Výnosy z nehnuteľnosti na predaj</t>
  </si>
  <si>
    <t>195-195*</t>
  </si>
  <si>
    <t>Odložený daňový záväzok a odložená daňová pohľadávka</t>
  </si>
  <si>
    <t>547100</t>
  </si>
  <si>
    <t>Krátkodobé záväzky spolu</t>
  </si>
  <si>
    <t>L. c) Opis a hodnota podmieneného majetku</t>
  </si>
  <si>
    <t>Obchodné meno a sídlo konsolidujúcej účtovnej jednotky, ktorá zostavuje konsolidovanú účtovnú závierku za všetky skupiny účtovných jednotiek konsolidovaného celku, pre ktorú je účtovná jednotka konsolidovanou účtovnou jednotkou:</t>
  </si>
  <si>
    <t>Zo všeobecne záväzných predpisov</t>
  </si>
  <si>
    <t>475-475*</t>
  </si>
  <si>
    <t>Pokladnica, ceniny</t>
  </si>
  <si>
    <t>Zabezpečovacie deriváty, z toho</t>
  </si>
  <si>
    <t>Vplyv ocenenia na výsledok hospodárenia a na výšku vlastného imania</t>
  </si>
  <si>
    <t>Zaúčtovaná do vlastného imania</t>
  </si>
  <si>
    <t>F.e) Prehľad o dlhodobom nehnuteľnom majetku, pri ktorom nebolo vlastnícke právo zapísané vkladom do katastra nehnuteľností ku dňu zostavenia účtovnej závierky a táto ho užíva</t>
  </si>
  <si>
    <t>335600</t>
  </si>
  <si>
    <t>336-336*</t>
  </si>
  <si>
    <t>Ulica</t>
  </si>
  <si>
    <t>Bežné bankové úvery (221A, 231, 232, 23X, 461A, 46XA)</t>
  </si>
  <si>
    <t>F.t) u) Pohľadávky zabezpečené záložným právom alebo inou formou zabezpečenia</t>
  </si>
  <si>
    <t>Zoznam udalostí, ktoré nastali, alebo sú dôsledkom okolností po dni, ku ktorému sa zostavuje účtovná závierka do dňa zostavenia účt. závierky</t>
  </si>
  <si>
    <t>Odpočet vstup samozdan. 10%</t>
  </si>
  <si>
    <t>Odložená daňová pohľadávka (481A)</t>
  </si>
  <si>
    <t>Poistenie auta ZA637FN</t>
  </si>
  <si>
    <t>Leasing ZA142FM - platby</t>
  </si>
  <si>
    <t>Do 5 rokov</t>
  </si>
  <si>
    <t>Možnosť previesť nevyužité daňové odpočty</t>
  </si>
  <si>
    <t>F.a) 2) Prehľad o pohybe dlhodobého hmotného majetku</t>
  </si>
  <si>
    <t>Pohľadávky podľa zostatkovej doby splatnosti</t>
  </si>
  <si>
    <t>Sociálne poistenie (336A) - 391A</t>
  </si>
  <si>
    <t>v %</t>
  </si>
  <si>
    <t>Daňovo neuznané náklady</t>
  </si>
  <si>
    <t>321300</t>
  </si>
  <si>
    <t>Deriváty určené na obchodovanie, z toho</t>
  </si>
  <si>
    <t>089-089*</t>
  </si>
  <si>
    <t>Oprávky k dopravným prostriedkom</t>
  </si>
  <si>
    <t>548200</t>
  </si>
  <si>
    <t>H. Informácie k údajom vykázaným vo výnosoch</t>
  </si>
  <si>
    <t>Pred exportom vymažte ich obsah. Pozor, použite funkciu Vymazať obsah (Clear contents), nie Odstrániť (Delete), inak sa stratia odkazy na zdrojové údaje !!!</t>
  </si>
  <si>
    <t>Záväzky voči ostatným zamestnancom</t>
  </si>
  <si>
    <t>Náklady budúcich období</t>
  </si>
  <si>
    <t>Dlhodobý nehmotný majetok, pri ktorom má účtovná jednotka obmedzené právo s ním nakladať</t>
  </si>
  <si>
    <t>Druh zmeny zásady alebo metódy</t>
  </si>
  <si>
    <t>Zmena reálnej hodnoty (+/-) s vplyvom na</t>
  </si>
  <si>
    <t>411100</t>
  </si>
  <si>
    <t>Hodnota pohľadávok, pri ktorých je obmedzené právo s numi nakladať</t>
  </si>
  <si>
    <t>B. a) Štatutárne, dozorné a iné orgány</t>
  </si>
  <si>
    <t>Iné výnosy súvisiace s bežnou činnosťou</t>
  </si>
  <si>
    <t>F.zb) Významné položky časového rozlíšenia nákladov budúcich období a príjmov budúcich období</t>
  </si>
  <si>
    <t>Podnik prijal darovaný majetok</t>
  </si>
  <si>
    <t>Dlhodobé bankové úvery (461A, 46XA)</t>
  </si>
  <si>
    <t>343110</t>
  </si>
  <si>
    <t>562200</t>
  </si>
  <si>
    <t>Záväzky zo sociálneho fondu</t>
  </si>
  <si>
    <t>Dlhodobé pôžičky spolu</t>
  </si>
  <si>
    <t>Výška podielu 
na základnom imaní</t>
  </si>
  <si>
    <t>Účet</t>
  </si>
  <si>
    <t>Zdravotná poisťovňa VSŽP</t>
  </si>
  <si>
    <t>Opravné položky</t>
  </si>
  <si>
    <t>Dlhodobé pohľadávky</t>
  </si>
  <si>
    <t>211100</t>
  </si>
  <si>
    <t>Iné pohľadávky (335A, 33XA, 371A, 374A, 375A, 378A) - 391A</t>
  </si>
  <si>
    <t>Ostatné výnosy - inventúrne prebytky</t>
  </si>
  <si>
    <t>379400</t>
  </si>
  <si>
    <t>112110</t>
  </si>
  <si>
    <t>Daň v %</t>
  </si>
  <si>
    <t>Suma Dal</t>
  </si>
  <si>
    <t>086-086*</t>
  </si>
  <si>
    <t>Právna forma</t>
  </si>
  <si>
    <t>Spriaznená osoba</t>
  </si>
  <si>
    <t>od jedného roka do piatich rokov vrátane</t>
  </si>
  <si>
    <t>Ostatné pohľadávky</t>
  </si>
  <si>
    <t>701100</t>
  </si>
  <si>
    <t>Výsledok hospodárenia ÚJ, v ktorej má ÚJ umiestnený DFM</t>
  </si>
  <si>
    <t>Pohľadávky</t>
  </si>
  <si>
    <t>I. a), b), c), d), e) Významné položky nákladov za poskytnuté služby</t>
  </si>
  <si>
    <t>042-042*</t>
  </si>
  <si>
    <t>Obchodné meno a sídlo bezprostredne konsolidujúcej účtovnej jednotky, ktorá zostavuje konsolidovanú účtovnú závierku za tú skupinu účtovných jednotiek konsolidovaného celku, ktorého súčasťou je aj účtovná jednotka</t>
  </si>
  <si>
    <t>Zo zákonného rezervného fondu</t>
  </si>
  <si>
    <t>Zvieratá (124) - 195</t>
  </si>
  <si>
    <t>Drobný majetok</t>
  </si>
  <si>
    <t>Do splatnosti viac ako päť rokov</t>
  </si>
  <si>
    <t>Obchodné meno (názov) účtovnej jednotky</t>
  </si>
  <si>
    <t>191-191*</t>
  </si>
  <si>
    <t>413-413*</t>
  </si>
  <si>
    <t>122101</t>
  </si>
  <si>
    <t>Obstaranie dlhodobého hmotného majetku</t>
  </si>
  <si>
    <t>Majetok prijatý do úschovy</t>
  </si>
  <si>
    <t>Podpis štatutárneho orgánu</t>
  </si>
  <si>
    <t>Opis položky časového rozlíšenia</t>
  </si>
  <si>
    <t>Stav na konci účtovného obdobia</t>
  </si>
  <si>
    <t>471-471*</t>
  </si>
  <si>
    <t>Dodávatelia - intercompany, matka</t>
  </si>
  <si>
    <t>Materiál na sklade - prepravné a colné poplatky</t>
  </si>
  <si>
    <t>pohľadávky</t>
  </si>
  <si>
    <t>032-032*</t>
  </si>
  <si>
    <t>501100</t>
  </si>
  <si>
    <t>Opravná položka k výrobkom</t>
  </si>
  <si>
    <t>Pohľadávky voči zamestnancom - pôžička</t>
  </si>
  <si>
    <t>Obchodné meno a sídlo konsolidujúcej účtovnej jednotky, v ktorej  je možné tieto konsolidované účtovné závierky získať:</t>
  </si>
  <si>
    <t>E.e) Dotácie poskytnuté na obstaranie majetku:</t>
  </si>
  <si>
    <t>počet vedúcich zamestnancov</t>
  </si>
  <si>
    <t>255-255*</t>
  </si>
  <si>
    <t>347100</t>
  </si>
  <si>
    <t>Predaný tovar zahraničie</t>
  </si>
  <si>
    <t>Zásoby spolu</t>
  </si>
  <si>
    <t>Ostatné pohľadávky v rámci konsolidovaného celku</t>
  </si>
  <si>
    <t>Hodnota predmetu</t>
  </si>
  <si>
    <t>Hodnota voči spriazneným osobám</t>
  </si>
  <si>
    <t>Stroje</t>
  </si>
  <si>
    <t>538200</t>
  </si>
  <si>
    <t>F.j. 2) Štruktúra dlhodobého finančného majetku a jeho zmena stavu</t>
  </si>
  <si>
    <t>094-094*</t>
  </si>
  <si>
    <t>Pohľadávky voči zamestnancom p.Shin - 5656</t>
  </si>
  <si>
    <t>613101</t>
  </si>
  <si>
    <t>527900</t>
  </si>
  <si>
    <t>501140</t>
  </si>
  <si>
    <t>Základné imanie</t>
  </si>
  <si>
    <t>h/ rozpracované v časti L.</t>
  </si>
  <si>
    <t>Suma zadržanej platby</t>
  </si>
  <si>
    <t>Zostatková cena predaného dlhodobého nehmot.a dlh.hmotného majetku</t>
  </si>
  <si>
    <t>Manka a škody</t>
  </si>
  <si>
    <t>461100</t>
  </si>
  <si>
    <t>Účtovné metódy a zásady boli aplikované v rámci platného zákona o účtovníctve, s osobitosťami:</t>
  </si>
  <si>
    <t>N. c) Zoznam obchodov účtovnej jednotky s dcérskou účtovnou jednotkou a materskou účtovnou jednotkou bez ohľadu na to, či sa obchody medzi nimi v bežnom účtovnom období uskutočnili, alebo neuskutočnili</t>
  </si>
  <si>
    <t>Obchodné meno</t>
  </si>
  <si>
    <t>Náklady na overenie individuálnej účtovnej závierky</t>
  </si>
  <si>
    <t>Vyfaktúrované nároky za vykonanú prácu na zákazkovej výstavbe nehnuteľnosti určenej na predaj</t>
  </si>
  <si>
    <t>321930</t>
  </si>
  <si>
    <t>Záväzky v rámci konsolidovaného celku</t>
  </si>
  <si>
    <t>priebežná</t>
  </si>
  <si>
    <t>31.12.</t>
  </si>
  <si>
    <t>Spoločnosť plánuje vstup do likvidácie</t>
  </si>
  <si>
    <t>VON sa rozpočítavajú ako odchýlka podielu súčtu stavov  prírastku odchýlky na súčte stavu a prírastku zásob.</t>
  </si>
  <si>
    <t>budovy a stavby</t>
  </si>
  <si>
    <t>rovnomerná</t>
  </si>
  <si>
    <t>stroje a zariadenia</t>
  </si>
  <si>
    <t>dopravné prostriedky</t>
  </si>
  <si>
    <t>inventár</t>
  </si>
  <si>
    <t>softwér</t>
  </si>
  <si>
    <t>Poistenie majetku (Allianz -SP )</t>
  </si>
  <si>
    <t>12.05.2014 -30.11.2016</t>
  </si>
  <si>
    <t>01.12.2016 - do neurčita</t>
  </si>
  <si>
    <t>Havarijné poistenie MV ZA281FV</t>
  </si>
  <si>
    <t>05.03.2014 - do neurčita</t>
  </si>
  <si>
    <t>Havarijné poistenie MV ZA142FV</t>
  </si>
  <si>
    <t>16.05.2013 - do neurčita</t>
  </si>
  <si>
    <t>Havarijné poistenie MV ZA637FN</t>
  </si>
  <si>
    <t>16.06.2013 - do neurčita</t>
  </si>
  <si>
    <t>poistenie budovy</t>
  </si>
  <si>
    <t xml:space="preserve">poistenie áut </t>
  </si>
  <si>
    <t>antivírový program</t>
  </si>
  <si>
    <t>Príjmy budúcich období krátkodobé, z toho:</t>
  </si>
  <si>
    <t>zrušené poistenie</t>
  </si>
  <si>
    <t>reklamácia, fakturovaná v roku 2017</t>
  </si>
  <si>
    <t>zníženie dovozného cla</t>
  </si>
  <si>
    <t>dobropis prijatý v roku 2017</t>
  </si>
  <si>
    <t>náhrada za poistnú udalosť</t>
  </si>
  <si>
    <t>Na nevyčerpané dovolenky</t>
  </si>
  <si>
    <t>Na audit</t>
  </si>
  <si>
    <t>Na účtovnú závierku</t>
  </si>
  <si>
    <t>Na odstupné</t>
  </si>
  <si>
    <t>KEB Han Bank</t>
  </si>
  <si>
    <t>€</t>
  </si>
  <si>
    <t>Euribor +2,05</t>
  </si>
  <si>
    <t>Kreditná karta</t>
  </si>
  <si>
    <t>Exim Bank</t>
  </si>
  <si>
    <t>Euribor +1,9</t>
  </si>
  <si>
    <t>pôžička</t>
  </si>
  <si>
    <t>úrok z úveru</t>
  </si>
  <si>
    <t>výdavky platené v 1/2018</t>
  </si>
  <si>
    <t>ČR</t>
  </si>
  <si>
    <t>SR</t>
  </si>
  <si>
    <t>Rozdiel v zmene stavu za bežné účtovné obdobie bol spôsobený účtovaním inventúrnych rozdielov</t>
  </si>
  <si>
    <t xml:space="preserve">oproti účtom 549, 648 a nie 612,613. </t>
  </si>
  <si>
    <t>ostatné výnosy</t>
  </si>
  <si>
    <t>inventúry prebytok</t>
  </si>
  <si>
    <t>bankové úroky</t>
  </si>
  <si>
    <t>ostatné úroky</t>
  </si>
  <si>
    <t>bezpečnostné služby</t>
  </si>
  <si>
    <t>reprezentačné</t>
  </si>
  <si>
    <t>telekomunikačné poplatky</t>
  </si>
  <si>
    <t>opravy a udržiavanie</t>
  </si>
  <si>
    <t>prepravné služby</t>
  </si>
  <si>
    <t>nájomné</t>
  </si>
  <si>
    <t>ostatné služby</t>
  </si>
  <si>
    <t>poistenie</t>
  </si>
  <si>
    <t>manká a škody</t>
  </si>
  <si>
    <t>reklamácie</t>
  </si>
  <si>
    <t>platené úroky</t>
  </si>
  <si>
    <t>bankové poplatky</t>
  </si>
  <si>
    <t>ostatné</t>
  </si>
  <si>
    <t>S</t>
  </si>
  <si>
    <t>m</t>
  </si>
  <si>
    <t>w</t>
  </si>
  <si>
    <t>o</t>
  </si>
  <si>
    <t>l</t>
  </si>
  <si>
    <t>v</t>
  </si>
  <si>
    <t>k</t>
  </si>
  <si>
    <t xml:space="preserve">, </t>
  </si>
  <si>
    <t>s</t>
  </si>
  <si>
    <t>r</t>
  </si>
  <si>
    <t>N</t>
  </si>
  <si>
    <t>P</t>
  </si>
  <si>
    <t>t</t>
  </si>
  <si>
    <t>č</t>
  </si>
  <si>
    <t>n</t>
  </si>
  <si>
    <t>Samwoo Slovakia s.r.o.</t>
  </si>
  <si>
    <t>SNP 769/152, 013 24 Strečno</t>
  </si>
  <si>
    <t>Výroba dielov a prílušenstva pre motorové vozidlá, výroba jednoduchých výrobkov z kovu, opracovanie kovu jednoduchým spôsobom, výroba a hutnícke spracovanie kovov, kúpa tovaru na účely jeho predaja konečnému spotrebiteľovi ( maloobchod ), alebo iným prevádzkovateľom živnosti ( veľkooobchod )</t>
  </si>
  <si>
    <t>Jung Hoyong</t>
  </si>
  <si>
    <t>konateľ</t>
  </si>
  <si>
    <t>Samwoo TCS, Co., Ltd.</t>
  </si>
  <si>
    <t>Samwoo TCS, Co., Ltd., Waegwan-eup, Naksan-ri 300-1, Chilgok-gun, Gyeongsangbuk-do, KR</t>
  </si>
  <si>
    <t>Samwoo Enterprise Co., Ltd</t>
  </si>
  <si>
    <t>01</t>
  </si>
  <si>
    <t>Sam Woo TCS Co., Ltd</t>
  </si>
  <si>
    <t>Sanhesanyou Automobile parts Co., Ltd</t>
  </si>
  <si>
    <t>SAMWOOEP Co.,Ltd</t>
  </si>
  <si>
    <t>Nenastali skutočnosti po dni ku ktorému sa zostavuje účtovná závierka, ktoré by ovplyvnili informácie v nej zverejnené.</t>
  </si>
  <si>
    <t>spoločnosť neúčtovala o odloženej daňovej pohľadávke, nakoľko je reálny predpoklad, že nebude v činnosti pokračovať a nedosiahne teda základ dane na uplatenenie rozdielov</t>
  </si>
  <si>
    <t>J. a), až e) Odložená daň - nebolo účtované o odloženej dani</t>
  </si>
  <si>
    <t>Tržby z predaja materiálu</t>
  </si>
  <si>
    <t>Tržby z predaja výrobkov</t>
  </si>
  <si>
    <t>Tržby z predaja tovaru</t>
  </si>
  <si>
    <t>02</t>
  </si>
  <si>
    <t>08</t>
  </si>
  <si>
    <t>Nákup zásob /všetky spriaznené osoby/</t>
  </si>
  <si>
    <t>Predaj hmotného majetku-Sam Woo TCS Co., Ltd</t>
  </si>
  <si>
    <t>Splatenie pôžičky-Sam Woo TCS Co, Ltd</t>
  </si>
  <si>
    <t>V účtovnom období 2017 bola konteľovi spoločnosti vyplácaná mzda za výkon funkcie konateľa (peňažný príjem)</t>
  </si>
  <si>
    <t>zároveň mal k dispozícii byt, ktorý bol spolu s energiami za používanie bytu, platený spoločnosťou Samwoo Slovakia (nepeňažný príjem)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</si>
</sst>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3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7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6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vertical="top" wrapText="1"/>
    </xf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" xfId="0" applyNumberFormat="1" applyFont="1" applyBorder="1"/>
    <xf numFmtId="0" fontId="4" fillId="0" borderId="0" xfId="0" applyFont="1" applyAlignment="1"/>
    <xf numFmtId="0" fontId="0" fillId="0" borderId="0" xfId="0" applyAlignment="1"/>
    <xf numFmtId="0" fontId="7" fillId="0" borderId="0" xfId="0" applyFont="1" applyAlignment="1">
      <alignment wrapText="1"/>
    </xf>
    <xf numFmtId="0" fontId="7" fillId="0" borderId="0" xfId="0" applyFont="1" applyAlignment="1"/>
    <xf numFmtId="0" fontId="0" fillId="0" borderId="0" xfId="0" applyBorder="1" applyAlignment="1">
      <alignment wrapText="1"/>
    </xf>
    <xf numFmtId="49" fontId="7" fillId="0" borderId="0" xfId="0" applyNumberFormat="1" applyFont="1"/>
    <xf numFmtId="0" fontId="7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ont="1" applyAlignment="1"/>
    <xf numFmtId="0" fontId="3" fillId="0" borderId="2" xfId="0" applyFont="1" applyBorder="1" applyAlignment="1">
      <alignment horizontal="center"/>
    </xf>
    <xf numFmtId="0" fontId="2" fillId="0" borderId="1" xfId="0" applyFont="1" applyBorder="1" applyAlignment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/>
    <xf numFmtId="0" fontId="8" fillId="0" borderId="0" xfId="0" applyFont="1"/>
    <xf numFmtId="0" fontId="0" fillId="0" borderId="0" xfId="0" applyAlignme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0" xfId="0" applyBorder="1" applyAlignment="1"/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vertical="center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2" fillId="0" borderId="4" xfId="0" applyFont="1" applyBorder="1" applyAlignment="1"/>
    <xf numFmtId="0" fontId="3" fillId="0" borderId="5" xfId="0" applyFont="1" applyBorder="1" applyAlignment="1">
      <alignment horizont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/>
    </xf>
    <xf numFmtId="0" fontId="0" fillId="0" borderId="0" xfId="0"/>
    <xf numFmtId="0" fontId="14" fillId="0" borderId="0" xfId="0" applyFont="1" applyBorder="1" applyAlignment="1">
      <alignment vertical="center" wrapText="1"/>
    </xf>
    <xf numFmtId="0" fontId="0" fillId="0" borderId="0" xfId="0"/>
    <xf numFmtId="0" fontId="14" fillId="0" borderId="1" xfId="0" applyFont="1" applyBorder="1"/>
    <xf numFmtId="0" fontId="13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right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0" xfId="0"/>
    <xf numFmtId="0" fontId="0" fillId="0" borderId="0" xfId="0"/>
    <xf numFmtId="0" fontId="11" fillId="0" borderId="0" xfId="0" applyFont="1"/>
    <xf numFmtId="0" fontId="12" fillId="0" borderId="0" xfId="0" applyFont="1"/>
    <xf numFmtId="0" fontId="16" fillId="0" borderId="0" xfId="0" applyFont="1"/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/>
    <xf numFmtId="0" fontId="0" fillId="0" borderId="0" xfId="0"/>
    <xf numFmtId="0" fontId="14" fillId="0" borderId="7" xfId="0" applyFont="1" applyBorder="1" applyAlignment="1">
      <alignment horizontal="center" vertical="center"/>
    </xf>
    <xf numFmtId="14" fontId="2" fillId="0" borderId="1" xfId="0" applyNumberFormat="1" applyFont="1" applyBorder="1" applyAlignment="1"/>
    <xf numFmtId="0" fontId="14" fillId="0" borderId="1" xfId="0" applyFont="1" applyFill="1" applyBorder="1"/>
    <xf numFmtId="0" fontId="8" fillId="0" borderId="3" xfId="0" applyFont="1" applyFill="1" applyBorder="1" applyAlignment="1"/>
    <xf numFmtId="0" fontId="0" fillId="0" borderId="0" xfId="0" applyBorder="1"/>
    <xf numFmtId="0" fontId="0" fillId="0" borderId="8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3" xfId="0" applyBorder="1" applyAlignment="1"/>
    <xf numFmtId="0" fontId="0" fillId="0" borderId="11" xfId="0" applyBorder="1" applyAlignment="1"/>
    <xf numFmtId="0" fontId="10" fillId="0" borderId="12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14" fontId="6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6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2" fillId="0" borderId="10" xfId="0" applyFont="1" applyBorder="1" applyAlignment="1"/>
    <xf numFmtId="0" fontId="2" fillId="0" borderId="3" xfId="0" applyFont="1" applyBorder="1" applyAlignment="1"/>
    <xf numFmtId="0" fontId="2" fillId="0" borderId="11" xfId="0" applyFont="1" applyBorder="1" applyAlignment="1"/>
    <xf numFmtId="0" fontId="2" fillId="0" borderId="4" xfId="0" applyFont="1" applyBorder="1" applyAlignment="1">
      <alignment wrapText="1"/>
    </xf>
    <xf numFmtId="0" fontId="2" fillId="0" borderId="15" xfId="0" applyFont="1" applyBorder="1" applyAlignment="1"/>
    <xf numFmtId="0" fontId="0" fillId="0" borderId="2" xfId="0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6" xfId="0" applyFont="1" applyBorder="1" applyAlignment="1"/>
    <xf numFmtId="0" fontId="2" fillId="0" borderId="2" xfId="0" applyFont="1" applyBorder="1" applyAlignment="1"/>
    <xf numFmtId="0" fontId="0" fillId="0" borderId="5" xfId="0" applyBorder="1" applyAlignment="1">
      <alignment horizontal="center" wrapText="1"/>
    </xf>
    <xf numFmtId="0" fontId="2" fillId="0" borderId="4" xfId="0" applyFont="1" applyBorder="1" applyAlignment="1"/>
    <xf numFmtId="0" fontId="0" fillId="0" borderId="4" xfId="0" applyBorder="1" applyAlignment="1"/>
    <xf numFmtId="14" fontId="2" fillId="0" borderId="15" xfId="0" applyNumberFormat="1" applyFont="1" applyBorder="1" applyAlignment="1"/>
    <xf numFmtId="0" fontId="3" fillId="0" borderId="17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6" xfId="0" applyBorder="1" applyAlignment="1"/>
    <xf numFmtId="0" fontId="0" fillId="0" borderId="15" xfId="0" applyBorder="1" applyAlignment="1"/>
    <xf numFmtId="0" fontId="2" fillId="0" borderId="10" xfId="0" applyFont="1" applyFill="1" applyBorder="1" applyAlignment="1"/>
    <xf numFmtId="0" fontId="2" fillId="0" borderId="3" xfId="0" applyFont="1" applyFill="1" applyBorder="1" applyAlignment="1"/>
    <xf numFmtId="0" fontId="2" fillId="0" borderId="11" xfId="0" applyFont="1" applyFill="1" applyBorder="1" applyAlignment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2" xfId="0" applyBorder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9" fontId="2" fillId="0" borderId="1" xfId="0" applyNumberFormat="1" applyFont="1" applyBorder="1" applyAlignment="1"/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5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9" fontId="2" fillId="0" borderId="15" xfId="0" applyNumberFormat="1" applyFont="1" applyBorder="1" applyAlignment="1">
      <alignment horizontal="right"/>
    </xf>
    <xf numFmtId="9" fontId="2" fillId="0" borderId="4" xfId="0" applyNumberFormat="1" applyFont="1" applyBorder="1" applyAlignment="1"/>
    <xf numFmtId="10" fontId="2" fillId="0" borderId="1" xfId="0" applyNumberFormat="1" applyFont="1" applyBorder="1" applyAlignment="1"/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13" xfId="0" applyFont="1" applyBorder="1" applyAlignment="1">
      <alignment wrapText="1"/>
    </xf>
    <xf numFmtId="10" fontId="2" fillId="0" borderId="15" xfId="0" applyNumberFormat="1" applyFont="1" applyBorder="1" applyAlignment="1">
      <alignment horizontal="right"/>
    </xf>
    <xf numFmtId="10" fontId="2" fillId="0" borderId="2" xfId="0" applyNumberFormat="1" applyFont="1" applyBorder="1" applyAlignment="1">
      <alignment horizontal="right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/>
    <xf numFmtId="0" fontId="0" fillId="0" borderId="4" xfId="0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3" fillId="0" borderId="1" xfId="0" applyFont="1" applyBorder="1" applyAlignment="1"/>
    <xf numFmtId="0" fontId="14" fillId="0" borderId="1" xfId="0" applyFont="1" applyBorder="1" applyAlignment="1">
      <alignment horizontal="center"/>
    </xf>
    <xf numFmtId="0" fontId="13" fillId="0" borderId="4" xfId="0" applyFont="1" applyBorder="1" applyAlignment="1"/>
    <xf numFmtId="0" fontId="13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17" xfId="0" applyFont="1" applyBorder="1" applyAlignment="1">
      <alignment horizontal="center"/>
    </xf>
    <xf numFmtId="0" fontId="14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4" fillId="0" borderId="4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5" xfId="0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3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4" fillId="0" borderId="4" xfId="0" applyFont="1" applyBorder="1" applyAlignment="1">
      <alignment horizontal="right"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14" fillId="0" borderId="16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/>
    </xf>
    <xf numFmtId="0" fontId="13" fillId="0" borderId="16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5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15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3" fillId="0" borderId="20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3" fillId="0" borderId="5" xfId="0" applyFont="1" applyBorder="1" applyAlignment="1">
      <alignment horizont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7" xfId="0" applyFont="1" applyBorder="1"/>
    <xf numFmtId="0" fontId="14" fillId="0" borderId="1" xfId="0" applyFont="1" applyBorder="1"/>
    <xf numFmtId="0" fontId="13" fillId="0" borderId="1" xfId="0" applyFont="1" applyBorder="1"/>
    <xf numFmtId="0" fontId="14" fillId="0" borderId="5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4" fillId="0" borderId="15" xfId="0" applyFont="1" applyBorder="1"/>
    <xf numFmtId="0" fontId="14" fillId="0" borderId="2" xfId="0" applyFont="1" applyBorder="1"/>
    <xf numFmtId="0" fontId="13" fillId="0" borderId="7" xfId="0" applyFont="1" applyBorder="1"/>
    <xf numFmtId="0" fontId="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right"/>
    </xf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/>
    <xf numFmtId="0" fontId="14" fillId="0" borderId="21" xfId="0" applyFont="1" applyBorder="1" applyAlignment="1"/>
    <xf numFmtId="0" fontId="14" fillId="0" borderId="22" xfId="0" applyFont="1" applyBorder="1" applyAlignment="1"/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10" xfId="0" applyFont="1" applyBorder="1" applyAlignment="1"/>
    <xf numFmtId="0" fontId="14" fillId="0" borderId="3" xfId="0" applyFont="1" applyBorder="1" applyAlignment="1"/>
    <xf numFmtId="0" fontId="14" fillId="0" borderId="11" xfId="0" applyFont="1" applyBorder="1" applyAlignment="1"/>
    <xf numFmtId="0" fontId="14" fillId="0" borderId="15" xfId="0" applyFont="1" applyBorder="1" applyAlignment="1"/>
    <xf numFmtId="0" fontId="14" fillId="0" borderId="16" xfId="0" applyFont="1" applyBorder="1" applyAlignment="1"/>
    <xf numFmtId="0" fontId="14" fillId="0" borderId="2" xfId="0" applyFont="1" applyBorder="1" applyAlignment="1"/>
    <xf numFmtId="3" fontId="14" fillId="0" borderId="15" xfId="0" applyNumberFormat="1" applyFont="1" applyBorder="1" applyAlignment="1"/>
    <xf numFmtId="3" fontId="14" fillId="0" borderId="16" xfId="0" applyNumberFormat="1" applyFont="1" applyBorder="1" applyAlignment="1"/>
    <xf numFmtId="3" fontId="14" fillId="0" borderId="2" xfId="0" applyNumberFormat="1" applyFont="1" applyBorder="1" applyAlignment="1"/>
    <xf numFmtId="0" fontId="13" fillId="0" borderId="15" xfId="0" applyFont="1" applyBorder="1" applyAlignment="1"/>
    <xf numFmtId="0" fontId="13" fillId="0" borderId="16" xfId="0" applyFont="1" applyBorder="1" applyAlignment="1"/>
    <xf numFmtId="0" fontId="13" fillId="0" borderId="2" xfId="0" applyFont="1" applyBorder="1" applyAlignment="1"/>
    <xf numFmtId="0" fontId="13" fillId="0" borderId="5" xfId="0" applyFont="1" applyBorder="1" applyAlignment="1">
      <alignment horizontal="left" wrapText="1"/>
    </xf>
    <xf numFmtId="3" fontId="13" fillId="0" borderId="17" xfId="0" applyNumberFormat="1" applyFont="1" applyBorder="1" applyAlignment="1">
      <alignment horizontal="center" vertical="center"/>
    </xf>
    <xf numFmtId="3" fontId="13" fillId="0" borderId="18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wrapText="1"/>
    </xf>
    <xf numFmtId="3" fontId="14" fillId="0" borderId="20" xfId="0" applyNumberFormat="1" applyFont="1" applyBorder="1" applyAlignment="1"/>
    <xf numFmtId="3" fontId="14" fillId="0" borderId="21" xfId="0" applyNumberFormat="1" applyFont="1" applyBorder="1" applyAlignment="1"/>
    <xf numFmtId="3" fontId="14" fillId="0" borderId="22" xfId="0" applyNumberFormat="1" applyFont="1" applyBorder="1" applyAlignment="1"/>
    <xf numFmtId="0" fontId="14" fillId="0" borderId="4" xfId="0" applyFont="1" applyBorder="1" applyAlignment="1">
      <alignment horizontal="left" wrapText="1"/>
    </xf>
    <xf numFmtId="3" fontId="13" fillId="0" borderId="15" xfId="0" applyNumberFormat="1" applyFont="1" applyBorder="1" applyAlignment="1"/>
    <xf numFmtId="3" fontId="13" fillId="0" borderId="16" xfId="0" applyNumberFormat="1" applyFont="1" applyBorder="1" applyAlignment="1"/>
    <xf numFmtId="3" fontId="13" fillId="0" borderId="2" xfId="0" applyNumberFormat="1" applyFont="1" applyBorder="1" applyAlignment="1"/>
    <xf numFmtId="3" fontId="14" fillId="0" borderId="10" xfId="0" applyNumberFormat="1" applyFont="1" applyBorder="1" applyAlignment="1"/>
    <xf numFmtId="3" fontId="14" fillId="0" borderId="3" xfId="0" applyNumberFormat="1" applyFont="1" applyBorder="1" applyAlignment="1"/>
    <xf numFmtId="3" fontId="14" fillId="0" borderId="11" xfId="0" applyNumberFormat="1" applyFont="1" applyBorder="1" applyAlignment="1"/>
    <xf numFmtId="3" fontId="14" fillId="0" borderId="1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5" fillId="0" borderId="0" xfId="0" applyFont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3" fillId="0" borderId="5" xfId="0" applyFont="1" applyBorder="1" applyAlignment="1">
      <alignment vertical="center" wrapText="1"/>
    </xf>
    <xf numFmtId="0" fontId="14" fillId="0" borderId="4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4" fillId="0" borderId="4" xfId="0" applyFont="1" applyBorder="1" applyAlignment="1"/>
    <xf numFmtId="0" fontId="13" fillId="0" borderId="4" xfId="0" applyFont="1" applyBorder="1" applyAlignment="1">
      <alignment wrapText="1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20" xfId="0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0" fontId="14" fillId="0" borderId="22" xfId="0" applyFont="1" applyBorder="1" applyAlignment="1">
      <alignment horizontal="righ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16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14" fontId="14" fillId="0" borderId="1" xfId="0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7" xfId="0" applyFont="1" applyBorder="1" applyAlignment="1">
      <alignment wrapText="1"/>
    </xf>
    <xf numFmtId="0" fontId="14" fillId="0" borderId="5" xfId="0" applyFont="1" applyBorder="1" applyAlignment="1">
      <alignment horizontal="center" vertical="center"/>
    </xf>
    <xf numFmtId="0" fontId="14" fillId="0" borderId="15" xfId="0" applyFont="1" applyBorder="1" applyAlignment="1">
      <alignment horizontal="right"/>
    </xf>
    <xf numFmtId="0" fontId="14" fillId="0" borderId="16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4" fillId="0" borderId="1" xfId="0" applyFont="1" applyBorder="1" applyAlignment="1">
      <alignment horizontal="right" wrapText="1"/>
    </xf>
    <xf numFmtId="0" fontId="14" fillId="0" borderId="15" xfId="0" applyFont="1" applyBorder="1" applyAlignment="1">
      <alignment horizontal="right" wrapText="1"/>
    </xf>
    <xf numFmtId="0" fontId="14" fillId="0" borderId="16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0" xfId="0" applyFont="1" applyBorder="1" applyAlignment="1">
      <alignment horizontal="right" wrapText="1"/>
    </xf>
    <xf numFmtId="0" fontId="14" fillId="0" borderId="21" xfId="0" applyFont="1" applyBorder="1" applyAlignment="1">
      <alignment horizontal="right" wrapText="1"/>
    </xf>
    <xf numFmtId="0" fontId="14" fillId="0" borderId="22" xfId="0" applyFont="1" applyBorder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0" fontId="14" fillId="0" borderId="1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5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20" xfId="0" applyFont="1" applyBorder="1" applyAlignment="1">
      <alignment horizontal="right"/>
    </xf>
    <xf numFmtId="0" fontId="14" fillId="0" borderId="22" xfId="0" applyFont="1" applyBorder="1" applyAlignment="1">
      <alignment horizontal="right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left" wrapText="1"/>
    </xf>
    <xf numFmtId="0" fontId="14" fillId="0" borderId="21" xfId="0" applyFont="1" applyBorder="1" applyAlignment="1">
      <alignment horizontal="left" wrapText="1"/>
    </xf>
    <xf numFmtId="0" fontId="14" fillId="0" borderId="22" xfId="0" applyFont="1" applyBorder="1" applyAlignment="1">
      <alignment horizontal="left" wrapText="1"/>
    </xf>
    <xf numFmtId="0" fontId="13" fillId="0" borderId="15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15" xfId="0" applyFont="1" applyBorder="1" applyAlignment="1">
      <alignment horizontal="left" wrapText="1"/>
    </xf>
    <xf numFmtId="0" fontId="13" fillId="0" borderId="16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13" fillId="0" borderId="1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4" fillId="0" borderId="15" xfId="0" applyFont="1" applyBorder="1" applyAlignment="1">
      <alignment horizontal="left" wrapText="1"/>
    </xf>
    <xf numFmtId="0" fontId="14" fillId="0" borderId="16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3" fillId="0" borderId="15" xfId="0" applyFont="1" applyBorder="1" applyAlignment="1">
      <alignment horizontal="right" wrapText="1"/>
    </xf>
    <xf numFmtId="0" fontId="13" fillId="0" borderId="16" xfId="0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4" fillId="0" borderId="7" xfId="0" applyFont="1" applyBorder="1" applyAlignment="1">
      <alignment horizontal="center" vertical="center"/>
    </xf>
    <xf numFmtId="0" fontId="14" fillId="0" borderId="15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3" fillId="0" borderId="4" xfId="0" applyFont="1" applyBorder="1" applyAlignment="1">
      <alignment horizontal="right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39</xdr:row>
          <xdr:rowOff>175260</xdr:rowOff>
        </xdr:from>
        <xdr:to>
          <xdr:col>2</xdr:col>
          <xdr:colOff>441960</xdr:colOff>
          <xdr:row>41</xdr:row>
          <xdr:rowOff>38100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8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riadna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39</xdr:row>
          <xdr:rowOff>175260</xdr:rowOff>
        </xdr:from>
        <xdr:to>
          <xdr:col>6</xdr:col>
          <xdr:colOff>121920</xdr:colOff>
          <xdr:row>41</xdr:row>
          <xdr:rowOff>7620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8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mimoriadna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41</xdr:row>
          <xdr:rowOff>182880</xdr:rowOff>
        </xdr:from>
        <xdr:to>
          <xdr:col>2</xdr:col>
          <xdr:colOff>464820</xdr:colOff>
          <xdr:row>43</xdr:row>
          <xdr:rowOff>7620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8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rozdelenie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42</xdr:row>
          <xdr:rowOff>0</xdr:rowOff>
        </xdr:from>
        <xdr:to>
          <xdr:col>4</xdr:col>
          <xdr:colOff>373380</xdr:colOff>
          <xdr:row>43</xdr:row>
          <xdr:rowOff>22860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8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zlúčenie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42</xdr:row>
          <xdr:rowOff>0</xdr:rowOff>
        </xdr:from>
        <xdr:to>
          <xdr:col>6</xdr:col>
          <xdr:colOff>381000</xdr:colOff>
          <xdr:row>43</xdr:row>
          <xdr:rowOff>22860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8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splynutie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480060</xdr:colOff>
          <xdr:row>42</xdr:row>
          <xdr:rowOff>0</xdr:rowOff>
        </xdr:from>
        <xdr:to>
          <xdr:col>8</xdr:col>
          <xdr:colOff>571500</xdr:colOff>
          <xdr:row>43</xdr:row>
          <xdr:rowOff>22860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8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zmena právnej formy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42</xdr:row>
          <xdr:rowOff>182880</xdr:rowOff>
        </xdr:from>
        <xdr:to>
          <xdr:col>2</xdr:col>
          <xdr:colOff>464820</xdr:colOff>
          <xdr:row>44</xdr:row>
          <xdr:rowOff>7620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8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začiatok likvidácie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43</xdr:row>
          <xdr:rowOff>0</xdr:rowOff>
        </xdr:from>
        <xdr:to>
          <xdr:col>4</xdr:col>
          <xdr:colOff>373380</xdr:colOff>
          <xdr:row>44</xdr:row>
          <xdr:rowOff>22860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8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koniec likvidácie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43</xdr:row>
          <xdr:rowOff>0</xdr:rowOff>
        </xdr:from>
        <xdr:to>
          <xdr:col>6</xdr:col>
          <xdr:colOff>381000</xdr:colOff>
          <xdr:row>44</xdr:row>
          <xdr:rowOff>22860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8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vyhlásenie konkurzu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480060</xdr:colOff>
          <xdr:row>43</xdr:row>
          <xdr:rowOff>0</xdr:rowOff>
        </xdr:from>
        <xdr:to>
          <xdr:col>8</xdr:col>
          <xdr:colOff>571500</xdr:colOff>
          <xdr:row>44</xdr:row>
          <xdr:rowOff>22860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8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zrušenie konkurzu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175260</xdr:colOff>
          <xdr:row>3</xdr:row>
          <xdr:rowOff>7620</xdr:rowOff>
        </xdr:to>
        <xdr:sp macro="" textlink="">
          <xdr:nvSpPr>
            <xdr:cNvPr id="3073" name="Check Box 1025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B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17</xdr:row>
          <xdr:rowOff>175260</xdr:rowOff>
        </xdr:from>
        <xdr:to>
          <xdr:col>8</xdr:col>
          <xdr:colOff>22860</xdr:colOff>
          <xdr:row>19</xdr:row>
          <xdr:rowOff>22860</xdr:rowOff>
        </xdr:to>
        <xdr:sp macro="" textlink="">
          <xdr:nvSpPr>
            <xdr:cNvPr id="3075" name="Check Box 1027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B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Obstarávacia cena vrátane nákladov súvisiacich s obstaraním v zložení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18</xdr:row>
          <xdr:rowOff>182880</xdr:rowOff>
        </xdr:from>
        <xdr:to>
          <xdr:col>2</xdr:col>
          <xdr:colOff>464820</xdr:colOff>
          <xdr:row>20</xdr:row>
          <xdr:rowOff>7620</xdr:rowOff>
        </xdr:to>
        <xdr:sp macro="" textlink="">
          <xdr:nvSpPr>
            <xdr:cNvPr id="3076" name="Check Box 1028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B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dopravné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19</xdr:row>
          <xdr:rowOff>0</xdr:rowOff>
        </xdr:from>
        <xdr:to>
          <xdr:col>4</xdr:col>
          <xdr:colOff>182880</xdr:colOff>
          <xdr:row>20</xdr:row>
          <xdr:rowOff>22860</xdr:rowOff>
        </xdr:to>
        <xdr:sp macro="" textlink="">
          <xdr:nvSpPr>
            <xdr:cNvPr id="3077" name="Check Box 1029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B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provízie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464820</xdr:colOff>
          <xdr:row>19</xdr:row>
          <xdr:rowOff>0</xdr:rowOff>
        </xdr:from>
        <xdr:to>
          <xdr:col>6</xdr:col>
          <xdr:colOff>30480</xdr:colOff>
          <xdr:row>20</xdr:row>
          <xdr:rowOff>22860</xdr:rowOff>
        </xdr:to>
        <xdr:sp macro="" textlink="">
          <xdr:nvSpPr>
            <xdr:cNvPr id="3078" name="Check Box 1030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B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skonto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19</xdr:row>
          <xdr:rowOff>0</xdr:rowOff>
        </xdr:from>
        <xdr:to>
          <xdr:col>7</xdr:col>
          <xdr:colOff>464820</xdr:colOff>
          <xdr:row>20</xdr:row>
          <xdr:rowOff>22860</xdr:rowOff>
        </xdr:to>
        <xdr:sp macro="" textlink="">
          <xdr:nvSpPr>
            <xdr:cNvPr id="3080" name="Check Box 1032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B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poistné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19</xdr:row>
          <xdr:rowOff>0</xdr:rowOff>
        </xdr:from>
        <xdr:to>
          <xdr:col>9</xdr:col>
          <xdr:colOff>182880</xdr:colOff>
          <xdr:row>20</xdr:row>
          <xdr:rowOff>22860</xdr:rowOff>
        </xdr:to>
        <xdr:sp macro="" textlink="">
          <xdr:nvSpPr>
            <xdr:cNvPr id="3082" name="Check Box 1034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B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175260</xdr:rowOff>
        </xdr:from>
        <xdr:to>
          <xdr:col>4</xdr:col>
          <xdr:colOff>0</xdr:colOff>
          <xdr:row>24</xdr:row>
          <xdr:rowOff>22860</xdr:rowOff>
        </xdr:to>
        <xdr:sp macro="" textlink="">
          <xdr:nvSpPr>
            <xdr:cNvPr id="3085" name="Check Box 1037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B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priame náklady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22</xdr:row>
          <xdr:rowOff>175260</xdr:rowOff>
        </xdr:from>
        <xdr:to>
          <xdr:col>7</xdr:col>
          <xdr:colOff>121920</xdr:colOff>
          <xdr:row>24</xdr:row>
          <xdr:rowOff>7620</xdr:rowOff>
        </xdr:to>
        <xdr:sp macro="" textlink="">
          <xdr:nvSpPr>
            <xdr:cNvPr id="3086" name="Check Box 1038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B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nepriame náklady spojené s výrobou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23</xdr:row>
          <xdr:rowOff>175260</xdr:rowOff>
        </xdr:from>
        <xdr:to>
          <xdr:col>4</xdr:col>
          <xdr:colOff>0</xdr:colOff>
          <xdr:row>25</xdr:row>
          <xdr:rowOff>22860</xdr:rowOff>
        </xdr:to>
        <xdr:sp macro="" textlink="">
          <xdr:nvSpPr>
            <xdr:cNvPr id="3088" name="Check Box 1040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B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inak: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30</xdr:row>
          <xdr:rowOff>175260</xdr:rowOff>
        </xdr:from>
        <xdr:to>
          <xdr:col>8</xdr:col>
          <xdr:colOff>22860</xdr:colOff>
          <xdr:row>32</xdr:row>
          <xdr:rowOff>22860</xdr:rowOff>
        </xdr:to>
        <xdr:sp macro="" textlink="">
          <xdr:nvSpPr>
            <xdr:cNvPr id="3089" name="Check Box 1041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B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Obstarávacia cena vrátane nákladov súvisiacich s obstaraním v zložení: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31</xdr:row>
          <xdr:rowOff>182880</xdr:rowOff>
        </xdr:from>
        <xdr:to>
          <xdr:col>2</xdr:col>
          <xdr:colOff>464820</xdr:colOff>
          <xdr:row>33</xdr:row>
          <xdr:rowOff>7620</xdr:rowOff>
        </xdr:to>
        <xdr:sp macro="" textlink="">
          <xdr:nvSpPr>
            <xdr:cNvPr id="3090" name="Check Box 1042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B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dopravné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32</xdr:row>
          <xdr:rowOff>0</xdr:rowOff>
        </xdr:from>
        <xdr:to>
          <xdr:col>4</xdr:col>
          <xdr:colOff>182880</xdr:colOff>
          <xdr:row>33</xdr:row>
          <xdr:rowOff>22860</xdr:rowOff>
        </xdr:to>
        <xdr:sp macro="" textlink="">
          <xdr:nvSpPr>
            <xdr:cNvPr id="3091" name="Check Box 1043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B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provízie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32</xdr:row>
          <xdr:rowOff>0</xdr:rowOff>
        </xdr:from>
        <xdr:to>
          <xdr:col>6</xdr:col>
          <xdr:colOff>38100</xdr:colOff>
          <xdr:row>33</xdr:row>
          <xdr:rowOff>22860</xdr:rowOff>
        </xdr:to>
        <xdr:sp macro="" textlink="">
          <xdr:nvSpPr>
            <xdr:cNvPr id="3093" name="Check Box 1045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B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poistné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32</xdr:row>
          <xdr:rowOff>0</xdr:rowOff>
        </xdr:from>
        <xdr:to>
          <xdr:col>7</xdr:col>
          <xdr:colOff>365760</xdr:colOff>
          <xdr:row>33</xdr:row>
          <xdr:rowOff>22860</xdr:rowOff>
        </xdr:to>
        <xdr:sp macro="" textlink="">
          <xdr:nvSpPr>
            <xdr:cNvPr id="3094" name="Check Box 1046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B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35</xdr:row>
          <xdr:rowOff>182880</xdr:rowOff>
        </xdr:from>
        <xdr:to>
          <xdr:col>4</xdr:col>
          <xdr:colOff>0</xdr:colOff>
          <xdr:row>37</xdr:row>
          <xdr:rowOff>30480</xdr:rowOff>
        </xdr:to>
        <xdr:sp macro="" textlink="">
          <xdr:nvSpPr>
            <xdr:cNvPr id="3095" name="Check Box 1047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B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priame náklady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182880</xdr:rowOff>
        </xdr:from>
        <xdr:to>
          <xdr:col>8</xdr:col>
          <xdr:colOff>30480</xdr:colOff>
          <xdr:row>38</xdr:row>
          <xdr:rowOff>22860</xdr:rowOff>
        </xdr:to>
        <xdr:sp macro="" textlink="">
          <xdr:nvSpPr>
            <xdr:cNvPr id="3096" name="Check Box 1048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B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nepriame náklady (výrobná réžia) súvisiace s vytvorením hmotného majetku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37</xdr:row>
          <xdr:rowOff>182880</xdr:rowOff>
        </xdr:from>
        <xdr:to>
          <xdr:col>4</xdr:col>
          <xdr:colOff>0</xdr:colOff>
          <xdr:row>39</xdr:row>
          <xdr:rowOff>30480</xdr:rowOff>
        </xdr:to>
        <xdr:sp macro="" textlink="">
          <xdr:nvSpPr>
            <xdr:cNvPr id="3097" name="Check Box 1049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B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inak: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46</xdr:row>
          <xdr:rowOff>7620</xdr:rowOff>
        </xdr:from>
        <xdr:to>
          <xdr:col>10</xdr:col>
          <xdr:colOff>30480</xdr:colOff>
          <xdr:row>47</xdr:row>
          <xdr:rowOff>45720</xdr:rowOff>
        </xdr:to>
        <xdr:sp macro="" textlink="">
          <xdr:nvSpPr>
            <xdr:cNvPr id="3107" name="Check Box 1059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B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obstarávacou cenou pri nákupe a predaji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47</xdr:row>
          <xdr:rowOff>0</xdr:rowOff>
        </xdr:from>
        <xdr:to>
          <xdr:col>9</xdr:col>
          <xdr:colOff>441960</xdr:colOff>
          <xdr:row>48</xdr:row>
          <xdr:rowOff>175260</xdr:rowOff>
        </xdr:to>
        <xdr:sp macro="" textlink="">
          <xdr:nvSpPr>
            <xdr:cNvPr id="3108" name="Check Box 1060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B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 nákupe obstarávacou cenou a pri predaji váženým aritmetickým priemerom (pri rovnakom druhu, rovnakom emitentovi, rovnakej mene)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49</xdr:row>
          <xdr:rowOff>137160</xdr:rowOff>
        </xdr:from>
        <xdr:to>
          <xdr:col>4</xdr:col>
          <xdr:colOff>0</xdr:colOff>
          <xdr:row>50</xdr:row>
          <xdr:rowOff>175260</xdr:rowOff>
        </xdr:to>
        <xdr:sp macro="" textlink="">
          <xdr:nvSpPr>
            <xdr:cNvPr id="3109" name="Check Box 1061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B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inak: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48</xdr:row>
          <xdr:rowOff>144780</xdr:rowOff>
        </xdr:from>
        <xdr:to>
          <xdr:col>9</xdr:col>
          <xdr:colOff>563880</xdr:colOff>
          <xdr:row>49</xdr:row>
          <xdr:rowOff>182880</xdr:rowOff>
        </xdr:to>
        <xdr:sp macro="" textlink="">
          <xdr:nvSpPr>
            <xdr:cNvPr id="3111" name="Check Box 1063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B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metódou FIFO (pri rovnakom druhu, rovnakom emitentovi a rovnakej cene)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54</xdr:row>
          <xdr:rowOff>175260</xdr:rowOff>
        </xdr:from>
        <xdr:to>
          <xdr:col>9</xdr:col>
          <xdr:colOff>601980</xdr:colOff>
          <xdr:row>56</xdr:row>
          <xdr:rowOff>30480</xdr:rowOff>
        </xdr:to>
        <xdr:sp macro="" textlink="">
          <xdr:nvSpPr>
            <xdr:cNvPr id="3114" name="Check Box 1066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B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spôsobom A účtovania zásob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55</xdr:row>
          <xdr:rowOff>175260</xdr:rowOff>
        </xdr:from>
        <xdr:to>
          <xdr:col>8</xdr:col>
          <xdr:colOff>30480</xdr:colOff>
          <xdr:row>57</xdr:row>
          <xdr:rowOff>7620</xdr:rowOff>
        </xdr:to>
        <xdr:sp macro="" textlink="">
          <xdr:nvSpPr>
            <xdr:cNvPr id="3115" name="Check Box 1067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B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spôsobom B účtovania zásob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57</xdr:row>
          <xdr:rowOff>175260</xdr:rowOff>
        </xdr:from>
        <xdr:to>
          <xdr:col>8</xdr:col>
          <xdr:colOff>22860</xdr:colOff>
          <xdr:row>59</xdr:row>
          <xdr:rowOff>22860</xdr:rowOff>
        </xdr:to>
        <xdr:sp macro="" textlink="">
          <xdr:nvSpPr>
            <xdr:cNvPr id="3121" name="Check Box 1073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B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cena obstarania vrátane nákladov súvisiacich s obstaraním v zložení: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58</xdr:row>
          <xdr:rowOff>182880</xdr:rowOff>
        </xdr:from>
        <xdr:to>
          <xdr:col>2</xdr:col>
          <xdr:colOff>464820</xdr:colOff>
          <xdr:row>60</xdr:row>
          <xdr:rowOff>7620</xdr:rowOff>
        </xdr:to>
        <xdr:sp macro="" textlink="">
          <xdr:nvSpPr>
            <xdr:cNvPr id="3122" name="Check Box 1074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B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dopravné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59</xdr:row>
          <xdr:rowOff>0</xdr:rowOff>
        </xdr:from>
        <xdr:to>
          <xdr:col>4</xdr:col>
          <xdr:colOff>182880</xdr:colOff>
          <xdr:row>60</xdr:row>
          <xdr:rowOff>22860</xdr:rowOff>
        </xdr:to>
        <xdr:sp macro="" textlink="">
          <xdr:nvSpPr>
            <xdr:cNvPr id="3123" name="Check Box 1075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B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provízie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59</xdr:row>
          <xdr:rowOff>0</xdr:rowOff>
        </xdr:from>
        <xdr:to>
          <xdr:col>6</xdr:col>
          <xdr:colOff>38100</xdr:colOff>
          <xdr:row>60</xdr:row>
          <xdr:rowOff>22860</xdr:rowOff>
        </xdr:to>
        <xdr:sp macro="" textlink="">
          <xdr:nvSpPr>
            <xdr:cNvPr id="3124" name="Check Box 1076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B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poistné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59</xdr:row>
          <xdr:rowOff>0</xdr:rowOff>
        </xdr:from>
        <xdr:to>
          <xdr:col>7</xdr:col>
          <xdr:colOff>365760</xdr:colOff>
          <xdr:row>60</xdr:row>
          <xdr:rowOff>22860</xdr:rowOff>
        </xdr:to>
        <xdr:sp macro="" textlink="">
          <xdr:nvSpPr>
            <xdr:cNvPr id="3125" name="Check Box 1077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B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60</xdr:row>
          <xdr:rowOff>175260</xdr:rowOff>
        </xdr:from>
        <xdr:to>
          <xdr:col>10</xdr:col>
          <xdr:colOff>30480</xdr:colOff>
          <xdr:row>62</xdr:row>
          <xdr:rowOff>22860</xdr:rowOff>
        </xdr:to>
        <xdr:sp macro="" textlink="">
          <xdr:nvSpPr>
            <xdr:cNvPr id="3126" name="Check Box 1078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B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 príjme na sklad sa rozpočítavali s cenou obstarania na technickú jednotku obstaranej zásoby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62</xdr:row>
          <xdr:rowOff>0</xdr:rowOff>
        </xdr:from>
        <xdr:to>
          <xdr:col>9</xdr:col>
          <xdr:colOff>441960</xdr:colOff>
          <xdr:row>64</xdr:row>
          <xdr:rowOff>30480</xdr:rowOff>
        </xdr:to>
        <xdr:sp macro="" textlink="">
          <xdr:nvSpPr>
            <xdr:cNvPr id="3127" name="Check Box 1079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B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obstarávacia cena zásob sa v analytickej evidencii rozdelila na cenu obstarania a náklady súvisiace s obstaraním (Postupy účtovania ÚT 1. čl. IV. ods. 3). Pri vyskladnení sa tieto náklady zahŕňali do nákladov predaného tovaru (501, 504) záväzne stanoveným spôsobom, určeným podnikom takto: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66</xdr:row>
          <xdr:rowOff>0</xdr:rowOff>
        </xdr:from>
        <xdr:to>
          <xdr:col>9</xdr:col>
          <xdr:colOff>480060</xdr:colOff>
          <xdr:row>68</xdr:row>
          <xdr:rowOff>30480</xdr:rowOff>
        </xdr:to>
        <xdr:sp macro="" textlink="">
          <xdr:nvSpPr>
            <xdr:cNvPr id="3132" name="Check Box 1084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B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obstarávacia cena zásob sa v analytickej evidencii rozdeľovala na vopred stanovenú cenu (pevnú cenu) podľa internej smernice a odchýlku od skutočnej ceny obstarania (tamtiež). Pri vyskladnení sa táto odchýlka rozpúšťala do nákladov predaných zásob spôsobom záväzne stanoveným podnikom podľa popisu: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69</xdr:row>
          <xdr:rowOff>182880</xdr:rowOff>
        </xdr:from>
        <xdr:to>
          <xdr:col>9</xdr:col>
          <xdr:colOff>464820</xdr:colOff>
          <xdr:row>71</xdr:row>
          <xdr:rowOff>30480</xdr:rowOff>
        </xdr:to>
        <xdr:sp macro="" textlink="">
          <xdr:nvSpPr>
            <xdr:cNvPr id="3136" name="Check Box 1088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B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vážený aritmetický priemer z obstarávacích cien, aktualizovaný mesačne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70</xdr:row>
          <xdr:rowOff>182880</xdr:rowOff>
        </xdr:from>
        <xdr:to>
          <xdr:col>9</xdr:col>
          <xdr:colOff>579120</xdr:colOff>
          <xdr:row>72</xdr:row>
          <xdr:rowOff>22860</xdr:rowOff>
        </xdr:to>
        <xdr:sp macro="" textlink="">
          <xdr:nvSpPr>
            <xdr:cNvPr id="3137" name="Check Box 1089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B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metóda FIFO (prvá cena na ocenenie prírastku zásob sa použila ako prvá cena na ocenenie úbytku zásob)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71</xdr:row>
          <xdr:rowOff>182880</xdr:rowOff>
        </xdr:from>
        <xdr:to>
          <xdr:col>4</xdr:col>
          <xdr:colOff>0</xdr:colOff>
          <xdr:row>73</xdr:row>
          <xdr:rowOff>30480</xdr:rowOff>
        </xdr:to>
        <xdr:sp macro="" textlink="">
          <xdr:nvSpPr>
            <xdr:cNvPr id="3138" name="Check Box 1090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B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iný spôsob: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75</xdr:row>
          <xdr:rowOff>175260</xdr:rowOff>
        </xdr:from>
        <xdr:to>
          <xdr:col>9</xdr:col>
          <xdr:colOff>601980</xdr:colOff>
          <xdr:row>77</xdr:row>
          <xdr:rowOff>30480</xdr:rowOff>
        </xdr:to>
        <xdr:sp macro="" textlink="">
          <xdr:nvSpPr>
            <xdr:cNvPr id="3139" name="Check Box 1091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B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podľa skutočnej výšky nákladov, v zložení: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80</xdr:row>
          <xdr:rowOff>7620</xdr:rowOff>
        </xdr:from>
        <xdr:to>
          <xdr:col>9</xdr:col>
          <xdr:colOff>495300</xdr:colOff>
          <xdr:row>81</xdr:row>
          <xdr:rowOff>144780</xdr:rowOff>
        </xdr:to>
        <xdr:sp macro="" textlink="">
          <xdr:nvSpPr>
            <xdr:cNvPr id="3140" name="Check Box 1092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B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8) Peňažné prostriedky a ceniny, pohľadávky pri ich vzniku, záväzky pri ich vzniku oceňoval menovitou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81</xdr:row>
          <xdr:rowOff>99060</xdr:rowOff>
        </xdr:from>
        <xdr:to>
          <xdr:col>9</xdr:col>
          <xdr:colOff>403860</xdr:colOff>
          <xdr:row>83</xdr:row>
          <xdr:rowOff>38100</xdr:rowOff>
        </xdr:to>
        <xdr:sp macro="" textlink="">
          <xdr:nvSpPr>
            <xdr:cNvPr id="3141" name="Check Box 1093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B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9) Pohľadávky pri odplatnom nadobudnutí, pohľadávky nadobudnuté vkladom do základného imania a záväzky pri ich prevzatí oceňoval obstarávacou cenou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84</xdr:row>
          <xdr:rowOff>7620</xdr:rowOff>
        </xdr:from>
        <xdr:to>
          <xdr:col>10</xdr:col>
          <xdr:colOff>30480</xdr:colOff>
          <xdr:row>86</xdr:row>
          <xdr:rowOff>0</xdr:rowOff>
        </xdr:to>
        <xdr:sp macro="" textlink="">
          <xdr:nvSpPr>
            <xdr:cNvPr id="3144" name="Check Box 1096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B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10) Majetok nadobudnutý darovaním oceňoval reprodukčnou obstarávacou cenou, s výnimkou peňažných prostriedkov a cenín a pohľadávok ocenených menovitými hodnotami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87</xdr:row>
          <xdr:rowOff>7620</xdr:rowOff>
        </xdr:from>
        <xdr:to>
          <xdr:col>10</xdr:col>
          <xdr:colOff>30480</xdr:colOff>
          <xdr:row>88</xdr:row>
          <xdr:rowOff>45720</xdr:rowOff>
        </xdr:to>
        <xdr:sp macro="" textlink="">
          <xdr:nvSpPr>
            <xdr:cNvPr id="3146" name="Check Box 1098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B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11) Novozistený majetok podnik oceňoval reprodukčnou obstarávacou cenou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102</xdr:row>
          <xdr:rowOff>68580</xdr:rowOff>
        </xdr:from>
        <xdr:to>
          <xdr:col>9</xdr:col>
          <xdr:colOff>411480</xdr:colOff>
          <xdr:row>104</xdr:row>
          <xdr:rowOff>160020</xdr:rowOff>
        </xdr:to>
        <xdr:sp macro="" textlink="">
          <xdr:nvSpPr>
            <xdr:cNvPr id="3147" name="Check Box 1099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B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Odpisový plán účtovných odpisov dlhodobého nehmotného majetku vychádzal z požiadavky zákona 431/2002, dodržiavala sa zásada jeho odpísania v účtovníctve najneskôr do 5 rokov od jeho obstarania. Odpisové sadzby pre účtovné a daňové odpisy dlhodobého nehmotného majetku sa nerovnajú.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104</xdr:row>
          <xdr:rowOff>144780</xdr:rowOff>
        </xdr:from>
        <xdr:to>
          <xdr:col>9</xdr:col>
          <xdr:colOff>525780</xdr:colOff>
          <xdr:row>106</xdr:row>
          <xdr:rowOff>182880</xdr:rowOff>
        </xdr:to>
        <xdr:sp macro="" textlink="">
          <xdr:nvSpPr>
            <xdr:cNvPr id="3148" name="Check Box 1100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B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Odpisový plán účtovných odpisov dlhodobého nehmotného majetku vychádzal z toho, že vzal za základ spôsob odpisovania podľa daňových odpisov. Odpisové sadzby pre účtovné a daňové odpisy dlhodobého nehmotného majetku sa rovnajú.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110</xdr:row>
          <xdr:rowOff>7620</xdr:rowOff>
        </xdr:from>
        <xdr:to>
          <xdr:col>9</xdr:col>
          <xdr:colOff>495300</xdr:colOff>
          <xdr:row>112</xdr:row>
          <xdr:rowOff>60960</xdr:rowOff>
        </xdr:to>
        <xdr:sp macro="" textlink="">
          <xdr:nvSpPr>
            <xdr:cNvPr id="3149" name="Check Box 1101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B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Odpisový plán účtovných odpisov dlhodobého hmotného majetku podnikateľ zostavil interným predpisom, v ktorom vychádzal z predpokladaného opotrebebia zaraďovaného majetkuzodpovedajúceho bežným podmienkam jeho používania, Odpisové sadzby pre účtovné a daňové odpisy podnikateľa sa nerovnajú.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112</xdr:row>
          <xdr:rowOff>38100</xdr:rowOff>
        </xdr:from>
        <xdr:to>
          <xdr:col>9</xdr:col>
          <xdr:colOff>403860</xdr:colOff>
          <xdr:row>115</xdr:row>
          <xdr:rowOff>30480</xdr:rowOff>
        </xdr:to>
        <xdr:sp macro="" textlink="">
          <xdr:nvSpPr>
            <xdr:cNvPr id="3150" name="Check Box 1102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B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Odpisový plán účtovných odpisov dlhodobého hmotného majetku podnikateľ zostavil interným predpisom tak, že za základ vzal metódy používané pri vyčísľovaní daňových odpisov. Odpisové sadzby pre účtovné a daňové odpisy podnikateľa sa rovnajú.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106</xdr:row>
          <xdr:rowOff>160020</xdr:rowOff>
        </xdr:from>
        <xdr:to>
          <xdr:col>10</xdr:col>
          <xdr:colOff>30480</xdr:colOff>
          <xdr:row>108</xdr:row>
          <xdr:rowOff>7620</xdr:rowOff>
        </xdr:to>
        <xdr:sp macro="" textlink="">
          <xdr:nvSpPr>
            <xdr:cNvPr id="3152" name="Check Box 1104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B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Odpisový plán bol ovplyvnený týmito rozhodnutiami: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175260</xdr:colOff>
          <xdr:row>4</xdr:row>
          <xdr:rowOff>7620</xdr:rowOff>
        </xdr:to>
        <xdr:sp macro="" textlink="">
          <xdr:nvSpPr>
            <xdr:cNvPr id="3153" name="Check Box 1105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B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26" Type="http://schemas.openxmlformats.org/officeDocument/2006/relationships/ctrlProp" Target="../ctrlProps/ctrlProp33.xml"/><Relationship Id="rId39" Type="http://schemas.openxmlformats.org/officeDocument/2006/relationships/ctrlProp" Target="../ctrlProps/ctrlProp4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34" Type="http://schemas.openxmlformats.org/officeDocument/2006/relationships/ctrlProp" Target="../ctrlProps/ctrlProp41.xml"/><Relationship Id="rId42" Type="http://schemas.openxmlformats.org/officeDocument/2006/relationships/ctrlProp" Target="../ctrlProps/ctrlProp49.xml"/><Relationship Id="rId47" Type="http://schemas.openxmlformats.org/officeDocument/2006/relationships/ctrlProp" Target="../ctrlProps/ctrlProp54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5" Type="http://schemas.openxmlformats.org/officeDocument/2006/relationships/ctrlProp" Target="../ctrlProps/ctrlProp32.xml"/><Relationship Id="rId33" Type="http://schemas.openxmlformats.org/officeDocument/2006/relationships/ctrlProp" Target="../ctrlProps/ctrlProp40.xml"/><Relationship Id="rId38" Type="http://schemas.openxmlformats.org/officeDocument/2006/relationships/ctrlProp" Target="../ctrlProps/ctrlProp45.xml"/><Relationship Id="rId46" Type="http://schemas.openxmlformats.org/officeDocument/2006/relationships/ctrlProp" Target="../ctrlProps/ctrlProp5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29" Type="http://schemas.openxmlformats.org/officeDocument/2006/relationships/ctrlProp" Target="../ctrlProps/ctrlProp36.xml"/><Relationship Id="rId41" Type="http://schemas.openxmlformats.org/officeDocument/2006/relationships/ctrlProp" Target="../ctrlProps/ctrlProp48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24" Type="http://schemas.openxmlformats.org/officeDocument/2006/relationships/ctrlProp" Target="../ctrlProps/ctrlProp31.xml"/><Relationship Id="rId32" Type="http://schemas.openxmlformats.org/officeDocument/2006/relationships/ctrlProp" Target="../ctrlProps/ctrlProp39.xml"/><Relationship Id="rId37" Type="http://schemas.openxmlformats.org/officeDocument/2006/relationships/ctrlProp" Target="../ctrlProps/ctrlProp44.xml"/><Relationship Id="rId40" Type="http://schemas.openxmlformats.org/officeDocument/2006/relationships/ctrlProp" Target="../ctrlProps/ctrlProp47.xml"/><Relationship Id="rId45" Type="http://schemas.openxmlformats.org/officeDocument/2006/relationships/ctrlProp" Target="../ctrlProps/ctrlProp52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23" Type="http://schemas.openxmlformats.org/officeDocument/2006/relationships/ctrlProp" Target="../ctrlProps/ctrlProp30.xml"/><Relationship Id="rId28" Type="http://schemas.openxmlformats.org/officeDocument/2006/relationships/ctrlProp" Target="../ctrlProps/ctrlProp35.xml"/><Relationship Id="rId36" Type="http://schemas.openxmlformats.org/officeDocument/2006/relationships/ctrlProp" Target="../ctrlProps/ctrlProp43.xml"/><Relationship Id="rId49" Type="http://schemas.openxmlformats.org/officeDocument/2006/relationships/ctrlProp" Target="../ctrlProps/ctrlProp56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31" Type="http://schemas.openxmlformats.org/officeDocument/2006/relationships/ctrlProp" Target="../ctrlProps/ctrlProp38.xml"/><Relationship Id="rId44" Type="http://schemas.openxmlformats.org/officeDocument/2006/relationships/ctrlProp" Target="../ctrlProps/ctrlProp51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Relationship Id="rId27" Type="http://schemas.openxmlformats.org/officeDocument/2006/relationships/ctrlProp" Target="../ctrlProps/ctrlProp34.xml"/><Relationship Id="rId30" Type="http://schemas.openxmlformats.org/officeDocument/2006/relationships/ctrlProp" Target="../ctrlProps/ctrlProp37.xml"/><Relationship Id="rId35" Type="http://schemas.openxmlformats.org/officeDocument/2006/relationships/ctrlProp" Target="../ctrlProps/ctrlProp42.xml"/><Relationship Id="rId43" Type="http://schemas.openxmlformats.org/officeDocument/2006/relationships/ctrlProp" Target="../ctrlProps/ctrlProp50.xml"/><Relationship Id="rId48" Type="http://schemas.openxmlformats.org/officeDocument/2006/relationships/ctrlProp" Target="../ctrlProps/ctrlProp55.xml"/><Relationship Id="rId8" Type="http://schemas.openxmlformats.org/officeDocument/2006/relationships/ctrlProp" Target="../ctrlProps/ctrlProp1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4"/>
  <sheetViews>
    <sheetView workbookViewId="0"/>
  </sheetViews>
  <sheetFormatPr defaultRowHeight="14.4" x14ac:dyDescent="0.3"/>
  <sheetData>
    <row r="2" spans="1:1" x14ac:dyDescent="0.3">
      <c r="A2" s="79" t="s">
        <v>1198</v>
      </c>
    </row>
    <row r="3" spans="1:1" x14ac:dyDescent="0.3">
      <c r="A3" s="81" t="s">
        <v>1068</v>
      </c>
    </row>
    <row r="4" spans="1:1" s="78" customFormat="1" x14ac:dyDescent="0.3">
      <c r="A4" s="78" t="s">
        <v>1070</v>
      </c>
    </row>
    <row r="5" spans="1:1" s="78" customFormat="1" x14ac:dyDescent="0.3">
      <c r="A5" s="80" t="s">
        <v>1246</v>
      </c>
    </row>
    <row r="6" spans="1:1" s="78" customFormat="1" x14ac:dyDescent="0.3">
      <c r="A6" s="78" t="s">
        <v>835</v>
      </c>
    </row>
    <row r="7" spans="1:1" s="78" customFormat="1" x14ac:dyDescent="0.3">
      <c r="A7" s="78" t="s">
        <v>989</v>
      </c>
    </row>
    <row r="8" spans="1:1" s="78" customFormat="1" x14ac:dyDescent="0.3">
      <c r="A8" s="78" t="s">
        <v>334</v>
      </c>
    </row>
    <row r="9" spans="1:1" x14ac:dyDescent="0.3">
      <c r="A9" s="81" t="s">
        <v>486</v>
      </c>
    </row>
    <row r="10" spans="1:1" x14ac:dyDescent="0.3">
      <c r="A10" t="s">
        <v>511</v>
      </c>
    </row>
    <row r="11" spans="1:1" x14ac:dyDescent="0.3">
      <c r="A11" t="s">
        <v>884</v>
      </c>
    </row>
    <row r="12" spans="1:1" x14ac:dyDescent="0.3">
      <c r="A12" t="s">
        <v>1013</v>
      </c>
    </row>
    <row r="13" spans="1:1" x14ac:dyDescent="0.3">
      <c r="A13" t="s">
        <v>401</v>
      </c>
    </row>
    <row r="14" spans="1:1" x14ac:dyDescent="0.3">
      <c r="A14" s="78" t="s">
        <v>524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9"/>
  <sheetViews>
    <sheetView view="pageBreakPreview" topLeftCell="A4" zoomScaleNormal="100" zoomScaleSheetLayoutView="100" workbookViewId="0">
      <selection activeCell="E21" sqref="E21"/>
    </sheetView>
  </sheetViews>
  <sheetFormatPr defaultColWidth="9.109375" defaultRowHeight="14.4" x14ac:dyDescent="0.3"/>
  <cols>
    <col min="1" max="1" width="4.88671875" style="11" customWidth="1"/>
    <col min="2" max="16384" width="9.109375" style="11"/>
  </cols>
  <sheetData>
    <row r="1" spans="1:10" ht="15" customHeight="1" x14ac:dyDescent="0.3">
      <c r="A1" s="170" t="s">
        <v>358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x14ac:dyDescent="0.3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3" spans="1:10" x14ac:dyDescent="0.3">
      <c r="A3" s="168"/>
      <c r="B3" s="168"/>
      <c r="C3" s="168"/>
      <c r="D3" s="168"/>
      <c r="E3" s="168"/>
      <c r="F3" s="168"/>
      <c r="G3" s="168"/>
      <c r="H3" s="168"/>
      <c r="I3" s="168"/>
      <c r="J3" s="168"/>
    </row>
    <row r="4" spans="1:10" x14ac:dyDescent="0.3">
      <c r="B4" s="23"/>
      <c r="C4" s="23"/>
      <c r="D4" s="23"/>
      <c r="E4" s="23"/>
      <c r="F4" s="23"/>
      <c r="G4" s="23"/>
      <c r="H4" s="23"/>
    </row>
    <row r="5" spans="1:10" ht="15.6" x14ac:dyDescent="0.3">
      <c r="A5" s="12" t="s">
        <v>1254</v>
      </c>
      <c r="B5" s="25"/>
      <c r="C5" s="16"/>
      <c r="D5" s="16"/>
      <c r="E5" s="16"/>
      <c r="F5" s="16"/>
      <c r="G5" s="16"/>
      <c r="H5" s="16"/>
      <c r="I5" s="16"/>
      <c r="J5" s="16"/>
    </row>
    <row r="6" spans="1:10" x14ac:dyDescent="0.3">
      <c r="B6" s="16"/>
      <c r="C6" s="16"/>
      <c r="D6" s="16"/>
      <c r="E6" s="16"/>
      <c r="F6" s="16"/>
      <c r="G6" s="16"/>
      <c r="H6" s="16"/>
      <c r="I6" s="16"/>
      <c r="J6" s="16"/>
    </row>
    <row r="7" spans="1:10" ht="15" customHeight="1" x14ac:dyDescent="0.3">
      <c r="A7" s="134" t="s">
        <v>290</v>
      </c>
      <c r="B7" s="135"/>
      <c r="C7" s="135"/>
      <c r="D7" s="135"/>
      <c r="E7" s="136"/>
      <c r="F7" s="137" t="s">
        <v>205</v>
      </c>
      <c r="G7" s="137"/>
      <c r="H7" s="137" t="s">
        <v>501</v>
      </c>
      <c r="I7" s="137"/>
      <c r="J7" s="137"/>
    </row>
    <row r="8" spans="1:10" ht="15" customHeight="1" x14ac:dyDescent="0.3">
      <c r="A8" s="159" t="s">
        <v>1418</v>
      </c>
      <c r="B8" s="160"/>
      <c r="C8" s="160"/>
      <c r="D8" s="160"/>
      <c r="E8" s="161"/>
      <c r="F8" s="141" t="s">
        <v>1419</v>
      </c>
      <c r="G8" s="141"/>
      <c r="H8" s="141"/>
      <c r="I8" s="141"/>
      <c r="J8" s="141"/>
    </row>
    <row r="9" spans="1:10" ht="15" customHeight="1" x14ac:dyDescent="0.3">
      <c r="A9" s="142"/>
      <c r="B9" s="148"/>
      <c r="C9" s="148"/>
      <c r="D9" s="148"/>
      <c r="E9" s="149"/>
      <c r="F9" s="147"/>
      <c r="G9" s="147"/>
      <c r="H9" s="147"/>
      <c r="I9" s="147"/>
      <c r="J9" s="147"/>
    </row>
    <row r="10" spans="1:10" ht="15" customHeight="1" x14ac:dyDescent="0.3">
      <c r="A10" s="142"/>
      <c r="B10" s="148"/>
      <c r="C10" s="148"/>
      <c r="D10" s="148"/>
      <c r="E10" s="149"/>
      <c r="F10" s="147"/>
      <c r="G10" s="147"/>
      <c r="H10" s="147"/>
      <c r="I10" s="147"/>
      <c r="J10" s="147"/>
    </row>
    <row r="11" spans="1:10" ht="15" customHeight="1" x14ac:dyDescent="0.3">
      <c r="A11" s="142"/>
      <c r="B11" s="148"/>
      <c r="C11" s="148"/>
      <c r="D11" s="148"/>
      <c r="E11" s="149"/>
      <c r="F11" s="147"/>
      <c r="G11" s="147"/>
      <c r="H11" s="147"/>
      <c r="I11" s="147"/>
      <c r="J11" s="147"/>
    </row>
    <row r="12" spans="1:10" x14ac:dyDescent="0.3"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3"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30" customHeight="1" x14ac:dyDescent="0.3">
      <c r="A14" s="167" t="s">
        <v>750</v>
      </c>
      <c r="B14" s="168"/>
      <c r="C14" s="168"/>
      <c r="D14" s="168"/>
      <c r="E14" s="168"/>
      <c r="F14" s="168"/>
      <c r="G14" s="168"/>
      <c r="H14" s="168"/>
      <c r="I14" s="168"/>
      <c r="J14" s="168"/>
    </row>
    <row r="15" spans="1:10" ht="36" customHeight="1" x14ac:dyDescent="0.3">
      <c r="A15" s="165" t="s">
        <v>647</v>
      </c>
      <c r="B15" s="166"/>
      <c r="C15" s="166"/>
      <c r="D15" s="166"/>
      <c r="E15" s="166"/>
      <c r="F15" s="166"/>
      <c r="G15" s="166"/>
      <c r="H15" s="166"/>
      <c r="I15" s="166"/>
      <c r="J15" s="166"/>
    </row>
    <row r="17" spans="1:10" ht="27.75" customHeight="1" x14ac:dyDescent="0.3">
      <c r="A17" s="164" t="s">
        <v>786</v>
      </c>
      <c r="B17" s="171"/>
      <c r="C17" s="171"/>
      <c r="D17" s="163"/>
      <c r="E17" s="164" t="s">
        <v>1263</v>
      </c>
      <c r="F17" s="164"/>
      <c r="G17" s="162" t="s">
        <v>1172</v>
      </c>
      <c r="H17" s="162"/>
      <c r="I17" s="162" t="s">
        <v>697</v>
      </c>
      <c r="J17" s="162"/>
    </row>
    <row r="18" spans="1:10" x14ac:dyDescent="0.3">
      <c r="A18" s="171"/>
      <c r="B18" s="171"/>
      <c r="C18" s="171"/>
      <c r="D18" s="163"/>
      <c r="E18" s="22" t="s">
        <v>965</v>
      </c>
      <c r="F18" s="22" t="s">
        <v>1238</v>
      </c>
      <c r="G18" s="163"/>
      <c r="H18" s="163"/>
      <c r="I18" s="163"/>
      <c r="J18" s="163"/>
    </row>
    <row r="19" spans="1:10" x14ac:dyDescent="0.3">
      <c r="A19" s="169" t="s">
        <v>1001</v>
      </c>
      <c r="B19" s="169"/>
      <c r="C19" s="169"/>
      <c r="D19" s="169"/>
      <c r="E19" s="53" t="s">
        <v>28</v>
      </c>
      <c r="F19" s="53" t="s">
        <v>788</v>
      </c>
      <c r="G19" s="169" t="s">
        <v>296</v>
      </c>
      <c r="H19" s="169"/>
      <c r="I19" s="169" t="s">
        <v>889</v>
      </c>
      <c r="J19" s="169"/>
    </row>
    <row r="20" spans="1:10" x14ac:dyDescent="0.3">
      <c r="A20" s="151" t="s">
        <v>1420</v>
      </c>
      <c r="B20" s="151"/>
      <c r="C20" s="151"/>
      <c r="D20" s="151"/>
      <c r="E20" s="52">
        <v>4800000</v>
      </c>
      <c r="F20" s="52">
        <v>100</v>
      </c>
      <c r="G20" s="151">
        <v>100</v>
      </c>
      <c r="H20" s="151"/>
      <c r="I20" s="151"/>
      <c r="J20" s="151"/>
    </row>
    <row r="21" spans="1:10" x14ac:dyDescent="0.3">
      <c r="A21" s="123"/>
      <c r="B21" s="123"/>
      <c r="C21" s="123"/>
      <c r="D21" s="123"/>
      <c r="E21" s="4"/>
      <c r="F21" s="4"/>
      <c r="G21" s="123"/>
      <c r="H21" s="123"/>
      <c r="I21" s="123"/>
      <c r="J21" s="123"/>
    </row>
    <row r="22" spans="1:10" x14ac:dyDescent="0.3">
      <c r="A22" s="123"/>
      <c r="B22" s="123"/>
      <c r="C22" s="123"/>
      <c r="D22" s="123"/>
      <c r="E22" s="4"/>
      <c r="F22" s="4"/>
      <c r="G22" s="123"/>
      <c r="H22" s="123"/>
      <c r="I22" s="123"/>
      <c r="J22" s="123"/>
    </row>
    <row r="23" spans="1:10" x14ac:dyDescent="0.3">
      <c r="A23" s="123"/>
      <c r="B23" s="123"/>
      <c r="C23" s="123"/>
      <c r="D23" s="123"/>
      <c r="E23" s="4"/>
      <c r="F23" s="4"/>
      <c r="G23" s="123"/>
      <c r="H23" s="123"/>
      <c r="I23" s="123"/>
      <c r="J23" s="123"/>
    </row>
    <row r="24" spans="1:10" x14ac:dyDescent="0.3">
      <c r="A24" s="123"/>
      <c r="B24" s="123"/>
      <c r="C24" s="123"/>
      <c r="D24" s="123"/>
      <c r="E24" s="4"/>
      <c r="F24" s="4"/>
      <c r="G24" s="123"/>
      <c r="H24" s="123"/>
      <c r="I24" s="123"/>
      <c r="J24" s="123"/>
    </row>
    <row r="25" spans="1:10" x14ac:dyDescent="0.3">
      <c r="A25" s="172" t="s">
        <v>518</v>
      </c>
      <c r="B25" s="173"/>
      <c r="C25" s="173"/>
      <c r="D25" s="174"/>
      <c r="E25" s="4">
        <f>SUM(E20:E24)</f>
        <v>4800000</v>
      </c>
      <c r="F25" s="4">
        <f>SUM(F20:F24)</f>
        <v>100</v>
      </c>
      <c r="G25" s="123">
        <f>SUM(G20:G24)</f>
        <v>100</v>
      </c>
      <c r="H25" s="123"/>
      <c r="I25" s="123">
        <f>SUM(I20:I24)</f>
        <v>0</v>
      </c>
      <c r="J25" s="123"/>
    </row>
    <row r="28" spans="1:10" ht="30" customHeight="1" x14ac:dyDescent="0.3">
      <c r="A28" s="167" t="s">
        <v>886</v>
      </c>
      <c r="B28" s="168"/>
      <c r="C28" s="168"/>
      <c r="D28" s="168"/>
      <c r="E28" s="168"/>
      <c r="F28" s="168"/>
      <c r="G28" s="168"/>
      <c r="H28" s="168"/>
      <c r="I28" s="168"/>
      <c r="J28" s="168"/>
    </row>
    <row r="29" spans="1:10" ht="36" customHeight="1" x14ac:dyDescent="0.3">
      <c r="A29" s="165" t="s">
        <v>922</v>
      </c>
      <c r="B29" s="166"/>
      <c r="C29" s="166"/>
      <c r="D29" s="166"/>
      <c r="E29" s="166"/>
      <c r="F29" s="166"/>
      <c r="G29" s="166"/>
      <c r="H29" s="166"/>
      <c r="I29" s="166"/>
      <c r="J29" s="166"/>
    </row>
    <row r="31" spans="1:10" ht="27.75" customHeight="1" x14ac:dyDescent="0.3">
      <c r="A31" s="177" t="s">
        <v>157</v>
      </c>
      <c r="B31" s="178"/>
      <c r="C31" s="178"/>
      <c r="D31" s="179"/>
      <c r="E31" s="164" t="s">
        <v>1263</v>
      </c>
      <c r="F31" s="164"/>
      <c r="G31" s="162" t="s">
        <v>1172</v>
      </c>
      <c r="H31" s="162"/>
      <c r="I31" s="162" t="s">
        <v>697</v>
      </c>
      <c r="J31" s="162"/>
    </row>
    <row r="32" spans="1:10" x14ac:dyDescent="0.3">
      <c r="A32" s="177" t="s">
        <v>786</v>
      </c>
      <c r="B32" s="180"/>
      <c r="C32" s="181"/>
      <c r="D32" s="22" t="s">
        <v>93</v>
      </c>
      <c r="E32" s="22" t="s">
        <v>965</v>
      </c>
      <c r="F32" s="22" t="s">
        <v>1238</v>
      </c>
      <c r="G32" s="163"/>
      <c r="H32" s="163"/>
      <c r="I32" s="163"/>
      <c r="J32" s="163"/>
    </row>
    <row r="33" spans="1:10" x14ac:dyDescent="0.3">
      <c r="A33" s="182" t="s">
        <v>1001</v>
      </c>
      <c r="B33" s="135"/>
      <c r="C33" s="136"/>
      <c r="D33" s="53" t="s">
        <v>28</v>
      </c>
      <c r="E33" s="53" t="s">
        <v>788</v>
      </c>
      <c r="F33" s="53" t="s">
        <v>296</v>
      </c>
      <c r="G33" s="169" t="s">
        <v>889</v>
      </c>
      <c r="H33" s="169"/>
      <c r="I33" s="169" t="s">
        <v>191</v>
      </c>
      <c r="J33" s="169"/>
    </row>
    <row r="34" spans="1:10" x14ac:dyDescent="0.3">
      <c r="A34" s="138"/>
      <c r="B34" s="97"/>
      <c r="C34" s="98"/>
      <c r="D34" s="55"/>
      <c r="E34" s="52"/>
      <c r="F34" s="52"/>
      <c r="G34" s="151"/>
      <c r="H34" s="151"/>
      <c r="I34" s="151"/>
      <c r="J34" s="151"/>
    </row>
    <row r="35" spans="1:10" x14ac:dyDescent="0.3">
      <c r="A35" s="142"/>
      <c r="B35" s="157"/>
      <c r="C35" s="143"/>
      <c r="D35" s="27"/>
      <c r="E35" s="4"/>
      <c r="F35" s="4"/>
      <c r="G35" s="123"/>
      <c r="H35" s="123"/>
      <c r="I35" s="123"/>
      <c r="J35" s="123"/>
    </row>
    <row r="36" spans="1:10" x14ac:dyDescent="0.3">
      <c r="A36" s="142"/>
      <c r="B36" s="157"/>
      <c r="C36" s="143"/>
      <c r="D36" s="27"/>
      <c r="E36" s="4"/>
      <c r="F36" s="4"/>
      <c r="G36" s="123"/>
      <c r="H36" s="123"/>
      <c r="I36" s="123"/>
      <c r="J36" s="123"/>
    </row>
    <row r="37" spans="1:10" x14ac:dyDescent="0.3">
      <c r="A37" s="142"/>
      <c r="B37" s="157"/>
      <c r="C37" s="143"/>
      <c r="D37" s="27"/>
      <c r="E37" s="4"/>
      <c r="F37" s="4"/>
      <c r="G37" s="123"/>
      <c r="H37" s="123"/>
      <c r="I37" s="123"/>
      <c r="J37" s="123"/>
    </row>
    <row r="38" spans="1:10" x14ac:dyDescent="0.3">
      <c r="A38" s="142"/>
      <c r="B38" s="157"/>
      <c r="C38" s="143"/>
      <c r="D38" s="27"/>
      <c r="E38" s="4"/>
      <c r="F38" s="4"/>
      <c r="G38" s="123"/>
      <c r="H38" s="123"/>
      <c r="I38" s="123"/>
      <c r="J38" s="123"/>
    </row>
    <row r="39" spans="1:10" x14ac:dyDescent="0.3">
      <c r="A39" s="172" t="s">
        <v>518</v>
      </c>
      <c r="B39" s="175"/>
      <c r="C39" s="176"/>
      <c r="D39" s="26" t="s">
        <v>676</v>
      </c>
      <c r="E39" s="4">
        <f>SUM(E34:E38)</f>
        <v>0</v>
      </c>
      <c r="F39" s="4">
        <f>SUM(F34:F38)</f>
        <v>0</v>
      </c>
      <c r="G39" s="123">
        <f>SUM(G34:G38)</f>
        <v>0</v>
      </c>
      <c r="H39" s="123"/>
      <c r="I39" s="123">
        <f>SUM(I34:I38)</f>
        <v>0</v>
      </c>
      <c r="J39" s="123"/>
    </row>
  </sheetData>
  <mergeCells count="71">
    <mergeCell ref="A37:C37"/>
    <mergeCell ref="G37:H37"/>
    <mergeCell ref="I37:J37"/>
    <mergeCell ref="G35:H35"/>
    <mergeCell ref="I35:J35"/>
    <mergeCell ref="A35:C35"/>
    <mergeCell ref="A36:C36"/>
    <mergeCell ref="G36:H36"/>
    <mergeCell ref="I36:J36"/>
    <mergeCell ref="A31:D31"/>
    <mergeCell ref="A32:C32"/>
    <mergeCell ref="G33:H33"/>
    <mergeCell ref="I33:J33"/>
    <mergeCell ref="A34:C34"/>
    <mergeCell ref="A33:C33"/>
    <mergeCell ref="G34:H34"/>
    <mergeCell ref="I34:J34"/>
    <mergeCell ref="G38:H38"/>
    <mergeCell ref="I38:J38"/>
    <mergeCell ref="G39:H39"/>
    <mergeCell ref="I39:J39"/>
    <mergeCell ref="A38:C38"/>
    <mergeCell ref="A39:C39"/>
    <mergeCell ref="A1:J3"/>
    <mergeCell ref="E31:F31"/>
    <mergeCell ref="G31:H32"/>
    <mergeCell ref="I31:J32"/>
    <mergeCell ref="F11:G11"/>
    <mergeCell ref="H11:J11"/>
    <mergeCell ref="I19:J19"/>
    <mergeCell ref="I25:J25"/>
    <mergeCell ref="A24:D24"/>
    <mergeCell ref="A17:D18"/>
    <mergeCell ref="A25:D25"/>
    <mergeCell ref="G25:H25"/>
    <mergeCell ref="A29:J29"/>
    <mergeCell ref="A28:J28"/>
    <mergeCell ref="G24:H24"/>
    <mergeCell ref="I24:J24"/>
    <mergeCell ref="H10:J10"/>
    <mergeCell ref="A23:D23"/>
    <mergeCell ref="G23:H23"/>
    <mergeCell ref="I23:J23"/>
    <mergeCell ref="A22:D22"/>
    <mergeCell ref="G22:H22"/>
    <mergeCell ref="I22:J22"/>
    <mergeCell ref="A15:J15"/>
    <mergeCell ref="A14:J14"/>
    <mergeCell ref="A19:D19"/>
    <mergeCell ref="G19:H19"/>
    <mergeCell ref="A21:D21"/>
    <mergeCell ref="G21:H21"/>
    <mergeCell ref="I21:J21"/>
    <mergeCell ref="A11:E11"/>
    <mergeCell ref="G17:H18"/>
    <mergeCell ref="I17:J18"/>
    <mergeCell ref="E17:F17"/>
    <mergeCell ref="G20:H20"/>
    <mergeCell ref="I20:J20"/>
    <mergeCell ref="A20:D20"/>
    <mergeCell ref="H7:J7"/>
    <mergeCell ref="F8:G8"/>
    <mergeCell ref="F9:G9"/>
    <mergeCell ref="H9:J9"/>
    <mergeCell ref="H8:J8"/>
    <mergeCell ref="A7:E7"/>
    <mergeCell ref="A8:E8"/>
    <mergeCell ref="A9:E9"/>
    <mergeCell ref="A10:E10"/>
    <mergeCell ref="F7:G7"/>
    <mergeCell ref="F10:G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"/>
  <sheetViews>
    <sheetView view="pageBreakPreview" topLeftCell="A8" zoomScale="153" zoomScaleNormal="100" zoomScaleSheetLayoutView="153" workbookViewId="0">
      <selection activeCell="N20" sqref="N20:O20"/>
    </sheetView>
  </sheetViews>
  <sheetFormatPr defaultRowHeight="14.4" x14ac:dyDescent="0.3"/>
  <cols>
    <col min="1" max="1" width="4.88671875" customWidth="1"/>
  </cols>
  <sheetData>
    <row r="1" spans="1:10" s="11" customFormat="1" x14ac:dyDescent="0.3">
      <c r="B1" s="170" t="s">
        <v>1039</v>
      </c>
      <c r="C1" s="185"/>
      <c r="D1" s="185"/>
      <c r="E1" s="185"/>
      <c r="F1" s="185"/>
      <c r="G1" s="185"/>
      <c r="H1" s="185"/>
      <c r="I1" s="185"/>
    </row>
    <row r="2" spans="1:10" s="11" customFormat="1" x14ac:dyDescent="0.3">
      <c r="B2" s="185"/>
      <c r="C2" s="185"/>
      <c r="D2" s="185"/>
      <c r="E2" s="185"/>
      <c r="F2" s="185"/>
      <c r="G2" s="185"/>
      <c r="H2" s="185"/>
      <c r="I2" s="185"/>
    </row>
    <row r="3" spans="1:10" s="11" customFormat="1" x14ac:dyDescent="0.3">
      <c r="B3" s="185"/>
      <c r="C3" s="185"/>
      <c r="D3" s="185"/>
      <c r="E3" s="185"/>
      <c r="F3" s="185"/>
      <c r="G3" s="185"/>
      <c r="H3" s="185"/>
      <c r="I3" s="185"/>
    </row>
    <row r="4" spans="1:10" s="11" customFormat="1" x14ac:dyDescent="0.3">
      <c r="B4" s="23"/>
      <c r="C4" s="23"/>
      <c r="D4" s="23"/>
      <c r="E4" s="23"/>
      <c r="F4" s="23"/>
      <c r="G4" s="23"/>
      <c r="H4" s="23"/>
    </row>
    <row r="5" spans="1:10" s="11" customFormat="1" ht="15.6" x14ac:dyDescent="0.3">
      <c r="A5" s="12" t="s">
        <v>162</v>
      </c>
      <c r="B5" s="183" t="s">
        <v>1215</v>
      </c>
      <c r="C5" s="168"/>
      <c r="D5" s="168"/>
      <c r="E5" s="168"/>
      <c r="F5" s="168"/>
      <c r="G5" s="168"/>
      <c r="H5" s="168"/>
      <c r="I5" s="168"/>
      <c r="J5" s="168"/>
    </row>
    <row r="6" spans="1:10" x14ac:dyDescent="0.3">
      <c r="B6" s="168"/>
      <c r="C6" s="168"/>
      <c r="D6" s="168"/>
      <c r="E6" s="168"/>
      <c r="F6" s="168"/>
      <c r="G6" s="168"/>
      <c r="H6" s="168"/>
      <c r="I6" s="168"/>
      <c r="J6" s="168"/>
    </row>
    <row r="7" spans="1:10" x14ac:dyDescent="0.3">
      <c r="B7" s="168"/>
      <c r="C7" s="168"/>
      <c r="D7" s="168"/>
      <c r="E7" s="168"/>
      <c r="F7" s="168"/>
      <c r="G7" s="168"/>
      <c r="H7" s="168"/>
      <c r="I7" s="168"/>
      <c r="J7" s="168"/>
    </row>
    <row r="8" spans="1:10" s="11" customFormat="1" x14ac:dyDescent="0.3">
      <c r="B8" s="144" t="s">
        <v>1421</v>
      </c>
      <c r="C8" s="145"/>
      <c r="D8" s="145"/>
      <c r="E8" s="145"/>
      <c r="F8" s="145"/>
      <c r="G8" s="145"/>
      <c r="H8" s="145"/>
      <c r="I8" s="145"/>
      <c r="J8" s="146"/>
    </row>
    <row r="10" spans="1:10" s="11" customFormat="1" ht="15.6" x14ac:dyDescent="0.3">
      <c r="A10" s="12" t="s">
        <v>1181</v>
      </c>
      <c r="B10" s="183" t="s">
        <v>1285</v>
      </c>
      <c r="C10" s="168"/>
      <c r="D10" s="168"/>
      <c r="E10" s="168"/>
      <c r="F10" s="168"/>
      <c r="G10" s="168"/>
      <c r="H10" s="168"/>
      <c r="I10" s="168"/>
      <c r="J10" s="168"/>
    </row>
    <row r="11" spans="1:10" s="11" customFormat="1" x14ac:dyDescent="0.3">
      <c r="B11" s="168"/>
      <c r="C11" s="168"/>
      <c r="D11" s="168"/>
      <c r="E11" s="168"/>
      <c r="F11" s="168"/>
      <c r="G11" s="168"/>
      <c r="H11" s="168"/>
      <c r="I11" s="168"/>
      <c r="J11" s="168"/>
    </row>
    <row r="12" spans="1:10" x14ac:dyDescent="0.3">
      <c r="B12" s="184"/>
      <c r="C12" s="184"/>
      <c r="D12" s="184"/>
      <c r="E12" s="184"/>
      <c r="F12" s="184"/>
      <c r="G12" s="184"/>
      <c r="H12" s="184"/>
      <c r="I12" s="184"/>
      <c r="J12" s="184"/>
    </row>
    <row r="13" spans="1:10" s="11" customFormat="1" x14ac:dyDescent="0.3">
      <c r="B13" s="144" t="s">
        <v>1421</v>
      </c>
      <c r="C13" s="145"/>
      <c r="D13" s="145"/>
      <c r="E13" s="145"/>
      <c r="F13" s="145"/>
      <c r="G13" s="145"/>
      <c r="H13" s="145"/>
      <c r="I13" s="145"/>
      <c r="J13" s="146"/>
    </row>
    <row r="15" spans="1:10" s="11" customFormat="1" ht="15.6" x14ac:dyDescent="0.3">
      <c r="A15" s="12" t="s">
        <v>627</v>
      </c>
      <c r="B15" s="183" t="s">
        <v>1307</v>
      </c>
      <c r="C15" s="168"/>
      <c r="D15" s="168"/>
      <c r="E15" s="168"/>
      <c r="F15" s="168"/>
      <c r="G15" s="168"/>
      <c r="H15" s="168"/>
      <c r="I15" s="168"/>
      <c r="J15" s="168"/>
    </row>
    <row r="16" spans="1:10" s="11" customFormat="1" x14ac:dyDescent="0.3">
      <c r="B16" s="168"/>
      <c r="C16" s="168"/>
      <c r="D16" s="168"/>
      <c r="E16" s="168"/>
      <c r="F16" s="168"/>
      <c r="G16" s="168"/>
      <c r="H16" s="168"/>
      <c r="I16" s="168"/>
      <c r="J16" s="168"/>
    </row>
    <row r="17" spans="2:10" s="11" customFormat="1" x14ac:dyDescent="0.3">
      <c r="B17" s="144" t="s">
        <v>1421</v>
      </c>
      <c r="C17" s="145"/>
      <c r="D17" s="145"/>
      <c r="E17" s="145"/>
      <c r="F17" s="145"/>
      <c r="G17" s="145"/>
      <c r="H17" s="145"/>
      <c r="I17" s="145"/>
      <c r="J17" s="146"/>
    </row>
    <row r="19" spans="2:10" x14ac:dyDescent="0.3">
      <c r="B19" s="168" t="s">
        <v>199</v>
      </c>
      <c r="C19" s="168"/>
      <c r="D19" s="168"/>
      <c r="E19" s="168"/>
      <c r="F19" s="168"/>
      <c r="G19" s="168"/>
      <c r="H19" s="168"/>
      <c r="I19" s="168"/>
      <c r="J19" s="168"/>
    </row>
    <row r="20" spans="2:10" x14ac:dyDescent="0.3">
      <c r="B20" s="168"/>
      <c r="C20" s="168"/>
      <c r="D20" s="168"/>
      <c r="E20" s="168"/>
      <c r="F20" s="168"/>
      <c r="G20" s="168"/>
      <c r="H20" s="168"/>
      <c r="I20" s="168"/>
      <c r="J20" s="168"/>
    </row>
    <row r="21" spans="2:10" x14ac:dyDescent="0.3">
      <c r="B21" s="144"/>
      <c r="C21" s="145"/>
      <c r="D21" s="145"/>
      <c r="E21" s="145"/>
      <c r="F21" s="145"/>
      <c r="G21" s="145"/>
      <c r="H21" s="145"/>
      <c r="I21" s="145"/>
      <c r="J21" s="146"/>
    </row>
    <row r="23" spans="2:10" s="11" customFormat="1" x14ac:dyDescent="0.3"/>
    <row r="25" spans="2:10" s="11" customFormat="1" ht="15" x14ac:dyDescent="0.35">
      <c r="B25" s="170" t="s">
        <v>1193</v>
      </c>
      <c r="C25" s="185"/>
      <c r="D25" s="185"/>
      <c r="E25" s="185"/>
      <c r="F25" s="185"/>
      <c r="G25" s="185"/>
      <c r="H25" s="185"/>
      <c r="I25" s="185"/>
    </row>
    <row r="27" spans="2:10" x14ac:dyDescent="0.3">
      <c r="B27" s="24" t="s">
        <v>795</v>
      </c>
      <c r="E27" s="11" t="s">
        <v>507</v>
      </c>
      <c r="H27" s="11" t="s">
        <v>469</v>
      </c>
    </row>
    <row r="28" spans="2:10" x14ac:dyDescent="0.3">
      <c r="B28" s="11" t="s">
        <v>573</v>
      </c>
      <c r="E28" s="11" t="s">
        <v>887</v>
      </c>
      <c r="H28" s="11" t="s">
        <v>45</v>
      </c>
    </row>
    <row r="29" spans="2:10" x14ac:dyDescent="0.3">
      <c r="B29" s="11" t="s">
        <v>0</v>
      </c>
      <c r="E29" s="11" t="s">
        <v>1085</v>
      </c>
      <c r="H29" s="11" t="s">
        <v>1083</v>
      </c>
    </row>
    <row r="30" spans="2:10" x14ac:dyDescent="0.3">
      <c r="B30" s="11" t="s">
        <v>300</v>
      </c>
      <c r="E30" s="11" t="s">
        <v>1326</v>
      </c>
      <c r="H30" s="11" t="s">
        <v>235</v>
      </c>
    </row>
  </sheetData>
  <mergeCells count="10">
    <mergeCell ref="B10:J12"/>
    <mergeCell ref="B1:I3"/>
    <mergeCell ref="B5:J7"/>
    <mergeCell ref="B15:J16"/>
    <mergeCell ref="B25:I25"/>
    <mergeCell ref="B19:J20"/>
    <mergeCell ref="B21:J21"/>
    <mergeCell ref="B17:J17"/>
    <mergeCell ref="B13:J13"/>
    <mergeCell ref="B8:J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23"/>
  <sheetViews>
    <sheetView view="pageBreakPreview" topLeftCell="A79" zoomScale="79" zoomScaleNormal="100" zoomScaleSheetLayoutView="79" workbookViewId="0">
      <selection activeCell="L104" sqref="L104"/>
    </sheetView>
  </sheetViews>
  <sheetFormatPr defaultRowHeight="14.4" x14ac:dyDescent="0.3"/>
  <cols>
    <col min="1" max="1" width="2.5546875" customWidth="1"/>
    <col min="2" max="2" width="4.88671875" style="11" customWidth="1"/>
  </cols>
  <sheetData>
    <row r="1" spans="1:10" s="11" customFormat="1" ht="18" x14ac:dyDescent="0.35">
      <c r="C1" s="13" t="s">
        <v>2</v>
      </c>
    </row>
    <row r="2" spans="1:10" s="11" customFormat="1" x14ac:dyDescent="0.3">
      <c r="C2" s="3"/>
    </row>
    <row r="3" spans="1:10" s="11" customFormat="1" ht="15.6" x14ac:dyDescent="0.3">
      <c r="A3" s="12" t="s">
        <v>1041</v>
      </c>
      <c r="B3" s="12"/>
    </row>
    <row r="4" spans="1:10" s="11" customFormat="1" ht="15.6" x14ac:dyDescent="0.3">
      <c r="A4" s="12"/>
      <c r="B4" s="12"/>
    </row>
    <row r="5" spans="1:10" ht="15.6" x14ac:dyDescent="0.3">
      <c r="B5" s="12" t="s">
        <v>51</v>
      </c>
    </row>
    <row r="6" spans="1:10" s="11" customFormat="1" x14ac:dyDescent="0.3">
      <c r="B6" s="144" t="s">
        <v>1340</v>
      </c>
      <c r="C6" s="145"/>
      <c r="D6" s="145"/>
      <c r="E6" s="145"/>
      <c r="F6" s="145"/>
      <c r="G6" s="145"/>
      <c r="H6" s="145"/>
      <c r="I6" s="145"/>
      <c r="J6" s="146"/>
    </row>
    <row r="7" spans="1:10" s="11" customFormat="1" x14ac:dyDescent="0.3"/>
    <row r="8" spans="1:10" ht="15.6" x14ac:dyDescent="0.3">
      <c r="A8" s="12" t="s">
        <v>806</v>
      </c>
      <c r="B8" s="12"/>
    </row>
    <row r="9" spans="1:10" x14ac:dyDescent="0.3">
      <c r="B9" s="18" t="s">
        <v>1331</v>
      </c>
      <c r="C9" s="18"/>
      <c r="D9" s="18"/>
      <c r="E9" s="18"/>
      <c r="F9" s="18"/>
      <c r="G9" s="18"/>
      <c r="H9" s="18"/>
      <c r="I9" s="18"/>
      <c r="J9" s="18"/>
    </row>
    <row r="10" spans="1:10" ht="30" customHeight="1" x14ac:dyDescent="0.3">
      <c r="B10" s="202" t="s">
        <v>1250</v>
      </c>
      <c r="C10" s="202"/>
      <c r="D10" s="202"/>
      <c r="E10" s="202"/>
      <c r="F10" s="202" t="s">
        <v>1179</v>
      </c>
      <c r="G10" s="202"/>
      <c r="H10" s="202" t="s">
        <v>980</v>
      </c>
      <c r="I10" s="202"/>
      <c r="J10" s="202"/>
    </row>
    <row r="11" spans="1:10" ht="30" customHeight="1" x14ac:dyDescent="0.3">
      <c r="B11" s="204"/>
      <c r="C11" s="204"/>
      <c r="D11" s="204"/>
      <c r="E11" s="204"/>
      <c r="F11" s="204"/>
      <c r="G11" s="204"/>
      <c r="H11" s="204"/>
      <c r="I11" s="204"/>
      <c r="J11" s="204"/>
    </row>
    <row r="12" spans="1:10" s="11" customFormat="1" ht="30" customHeight="1" x14ac:dyDescent="0.3">
      <c r="B12" s="203"/>
      <c r="C12" s="203"/>
      <c r="D12" s="203"/>
      <c r="E12" s="203"/>
      <c r="F12" s="203"/>
      <c r="G12" s="203"/>
      <c r="H12" s="203"/>
      <c r="I12" s="203"/>
      <c r="J12" s="203"/>
    </row>
    <row r="13" spans="1:10" s="11" customFormat="1" ht="30" customHeight="1" x14ac:dyDescent="0.3">
      <c r="B13" s="203"/>
      <c r="C13" s="203"/>
      <c r="D13" s="203"/>
      <c r="E13" s="203"/>
      <c r="F13" s="203"/>
      <c r="G13" s="203"/>
      <c r="H13" s="203"/>
      <c r="I13" s="203"/>
      <c r="J13" s="203"/>
    </row>
    <row r="14" spans="1:10" s="11" customFormat="1" ht="30" customHeight="1" x14ac:dyDescent="0.3">
      <c r="B14" s="203"/>
      <c r="C14" s="203"/>
      <c r="D14" s="203"/>
      <c r="E14" s="203"/>
      <c r="F14" s="203"/>
      <c r="G14" s="203"/>
      <c r="H14" s="203"/>
      <c r="I14" s="203"/>
      <c r="J14" s="203"/>
    </row>
    <row r="16" spans="1:10" ht="15.6" x14ac:dyDescent="0.3">
      <c r="A16" s="12" t="s">
        <v>528</v>
      </c>
    </row>
    <row r="17" spans="1:10" ht="15.6" x14ac:dyDescent="0.3">
      <c r="A17" s="12" t="s">
        <v>661</v>
      </c>
    </row>
    <row r="18" spans="1:10" x14ac:dyDescent="0.3">
      <c r="B18" s="18" t="s">
        <v>774</v>
      </c>
      <c r="C18" s="18"/>
      <c r="D18" s="18"/>
      <c r="E18" s="18"/>
      <c r="F18" s="18"/>
      <c r="G18" s="18"/>
      <c r="H18" s="18"/>
      <c r="I18" s="18"/>
      <c r="J18" s="18"/>
    </row>
    <row r="21" spans="1:10" ht="15.6" x14ac:dyDescent="0.3">
      <c r="A21" s="12" t="s">
        <v>536</v>
      </c>
    </row>
    <row r="22" spans="1:10" x14ac:dyDescent="0.3">
      <c r="B22" s="205" t="s">
        <v>1180</v>
      </c>
      <c r="C22" s="205"/>
      <c r="D22" s="205"/>
      <c r="E22" s="205"/>
      <c r="F22" s="205"/>
      <c r="G22" s="205"/>
      <c r="H22" s="205"/>
      <c r="I22" s="205"/>
      <c r="J22" s="205"/>
    </row>
    <row r="23" spans="1:10" x14ac:dyDescent="0.3">
      <c r="B23" s="205"/>
      <c r="C23" s="205"/>
      <c r="D23" s="205"/>
      <c r="E23" s="205"/>
      <c r="F23" s="205"/>
      <c r="G23" s="205"/>
      <c r="H23" s="205"/>
      <c r="I23" s="205"/>
      <c r="J23" s="205"/>
    </row>
    <row r="26" spans="1:10" x14ac:dyDescent="0.3">
      <c r="B26" s="144"/>
      <c r="C26" s="145"/>
      <c r="D26" s="145"/>
      <c r="E26" s="145"/>
      <c r="F26" s="145"/>
      <c r="G26" s="145"/>
      <c r="H26" s="145"/>
      <c r="I26" s="145"/>
      <c r="J26" s="146"/>
    </row>
    <row r="27" spans="1:10" x14ac:dyDescent="0.3">
      <c r="B27" s="206" t="s">
        <v>1178</v>
      </c>
      <c r="C27" s="206"/>
      <c r="D27" s="206"/>
      <c r="E27" s="206"/>
      <c r="F27" s="206"/>
      <c r="G27" s="206"/>
      <c r="H27" s="206"/>
      <c r="I27" s="206"/>
      <c r="J27" s="206"/>
    </row>
    <row r="28" spans="1:10" x14ac:dyDescent="0.3">
      <c r="B28" s="205"/>
      <c r="C28" s="205"/>
      <c r="D28" s="205"/>
      <c r="E28" s="205"/>
      <c r="F28" s="205"/>
      <c r="G28" s="205"/>
      <c r="H28" s="205"/>
      <c r="I28" s="205"/>
      <c r="J28" s="205"/>
    </row>
    <row r="29" spans="1:10" x14ac:dyDescent="0.3">
      <c r="B29" s="205"/>
      <c r="C29" s="205"/>
      <c r="D29" s="205"/>
      <c r="E29" s="205"/>
      <c r="F29" s="205"/>
      <c r="G29" s="205"/>
      <c r="H29" s="205"/>
      <c r="I29" s="205"/>
      <c r="J29" s="205"/>
    </row>
    <row r="30" spans="1:10" s="11" customFormat="1" ht="15.6" x14ac:dyDescent="0.3">
      <c r="A30" s="12" t="s">
        <v>1075</v>
      </c>
    </row>
    <row r="31" spans="1:10" s="11" customFormat="1" x14ac:dyDescent="0.3">
      <c r="B31" s="18" t="s">
        <v>332</v>
      </c>
      <c r="C31" s="18"/>
      <c r="D31" s="18"/>
      <c r="E31" s="18"/>
      <c r="F31" s="18"/>
      <c r="G31" s="18"/>
      <c r="H31" s="18"/>
      <c r="I31" s="18"/>
      <c r="J31" s="18"/>
    </row>
    <row r="32" spans="1:10" s="11" customFormat="1" x14ac:dyDescent="0.3"/>
    <row r="33" spans="1:10" s="11" customFormat="1" x14ac:dyDescent="0.3"/>
    <row r="34" spans="1:10" s="11" customFormat="1" ht="15.6" x14ac:dyDescent="0.3">
      <c r="A34" s="12" t="s">
        <v>1042</v>
      </c>
    </row>
    <row r="35" spans="1:10" s="11" customFormat="1" x14ac:dyDescent="0.3">
      <c r="B35" s="205" t="s">
        <v>1082</v>
      </c>
      <c r="C35" s="205"/>
      <c r="D35" s="205"/>
      <c r="E35" s="205"/>
      <c r="F35" s="205"/>
      <c r="G35" s="205"/>
      <c r="H35" s="205"/>
      <c r="I35" s="205"/>
      <c r="J35" s="205"/>
    </row>
    <row r="36" spans="1:10" s="11" customFormat="1" x14ac:dyDescent="0.3">
      <c r="B36" s="205"/>
      <c r="C36" s="205"/>
      <c r="D36" s="205"/>
      <c r="E36" s="205"/>
      <c r="F36" s="205"/>
      <c r="G36" s="205"/>
      <c r="H36" s="205"/>
      <c r="I36" s="205"/>
      <c r="J36" s="205"/>
    </row>
    <row r="37" spans="1:10" s="11" customFormat="1" ht="15" customHeight="1" x14ac:dyDescent="0.3"/>
    <row r="38" spans="1:10" s="11" customFormat="1" ht="15" customHeight="1" x14ac:dyDescent="0.3"/>
    <row r="39" spans="1:10" s="11" customFormat="1" ht="15" customHeight="1" x14ac:dyDescent="0.3"/>
    <row r="40" spans="1:10" s="11" customFormat="1" x14ac:dyDescent="0.3">
      <c r="B40" s="144"/>
      <c r="C40" s="145"/>
      <c r="D40" s="145"/>
      <c r="E40" s="145"/>
      <c r="F40" s="145"/>
      <c r="G40" s="145"/>
      <c r="H40" s="145"/>
      <c r="I40" s="145"/>
      <c r="J40" s="146"/>
    </row>
    <row r="41" spans="1:10" s="11" customFormat="1" x14ac:dyDescent="0.3">
      <c r="B41" s="19"/>
      <c r="C41" s="19"/>
      <c r="D41" s="19"/>
      <c r="E41" s="19"/>
      <c r="F41" s="19"/>
      <c r="G41" s="19"/>
      <c r="H41" s="19"/>
      <c r="I41" s="19"/>
      <c r="J41" s="19"/>
    </row>
    <row r="42" spans="1:10" s="11" customFormat="1" x14ac:dyDescent="0.3">
      <c r="B42" s="19"/>
      <c r="C42" s="19"/>
      <c r="D42" s="19"/>
      <c r="E42" s="19"/>
      <c r="F42" s="19"/>
      <c r="G42" s="19"/>
      <c r="H42" s="19"/>
      <c r="I42" s="19"/>
      <c r="J42" s="19"/>
    </row>
    <row r="43" spans="1:10" s="11" customFormat="1" x14ac:dyDescent="0.3">
      <c r="B43" s="19"/>
      <c r="C43" s="19"/>
      <c r="D43" s="19"/>
      <c r="E43" s="19"/>
      <c r="F43" s="19"/>
      <c r="G43" s="19"/>
      <c r="H43" s="19"/>
      <c r="I43" s="19"/>
      <c r="J43" s="19"/>
    </row>
    <row r="44" spans="1:10" s="11" customFormat="1" x14ac:dyDescent="0.3">
      <c r="B44" s="19"/>
      <c r="C44" s="19"/>
      <c r="D44" s="19"/>
      <c r="E44" s="19"/>
      <c r="F44" s="19"/>
      <c r="G44" s="19"/>
      <c r="H44" s="19"/>
      <c r="I44" s="19"/>
      <c r="J44" s="19"/>
    </row>
    <row r="45" spans="1:10" s="11" customFormat="1" ht="15.6" x14ac:dyDescent="0.3">
      <c r="A45" s="12" t="s">
        <v>1094</v>
      </c>
    </row>
    <row r="46" spans="1:10" s="11" customFormat="1" x14ac:dyDescent="0.3">
      <c r="B46" s="205" t="s">
        <v>88</v>
      </c>
      <c r="C46" s="168"/>
      <c r="D46" s="168"/>
      <c r="E46" s="168"/>
      <c r="F46" s="168"/>
      <c r="G46" s="168"/>
      <c r="H46" s="168"/>
      <c r="I46" s="168"/>
      <c r="J46" s="168"/>
    </row>
    <row r="47" spans="1:10" s="11" customFormat="1" x14ac:dyDescent="0.3">
      <c r="B47" s="17"/>
      <c r="C47" s="17"/>
      <c r="D47" s="17"/>
      <c r="E47" s="17"/>
      <c r="F47" s="17"/>
      <c r="G47" s="17"/>
      <c r="H47" s="17"/>
      <c r="I47" s="17"/>
      <c r="J47" s="17"/>
    </row>
    <row r="48" spans="1:10" s="11" customFormat="1" ht="15" customHeight="1" x14ac:dyDescent="0.3"/>
    <row r="49" spans="1:10" s="11" customFormat="1" ht="15" customHeight="1" x14ac:dyDescent="0.3"/>
    <row r="50" spans="1:10" s="11" customFormat="1" ht="15" customHeight="1" x14ac:dyDescent="0.3"/>
    <row r="51" spans="1:10" s="11" customFormat="1" ht="15" customHeight="1" x14ac:dyDescent="0.3"/>
    <row r="52" spans="1:10" s="11" customFormat="1" x14ac:dyDescent="0.3">
      <c r="B52" s="144"/>
      <c r="C52" s="145"/>
      <c r="D52" s="145"/>
      <c r="E52" s="145"/>
      <c r="F52" s="145"/>
      <c r="G52" s="145"/>
      <c r="H52" s="145"/>
      <c r="I52" s="145"/>
      <c r="J52" s="146"/>
    </row>
    <row r="53" spans="1:10" s="11" customFormat="1" ht="15.6" x14ac:dyDescent="0.3">
      <c r="A53" s="12" t="s">
        <v>666</v>
      </c>
    </row>
    <row r="54" spans="1:10" s="11" customFormat="1" x14ac:dyDescent="0.3">
      <c r="B54" s="205" t="s">
        <v>672</v>
      </c>
      <c r="C54" s="168"/>
      <c r="D54" s="168"/>
      <c r="E54" s="168"/>
      <c r="F54" s="168"/>
      <c r="G54" s="168"/>
      <c r="H54" s="168"/>
      <c r="I54" s="168"/>
      <c r="J54" s="168"/>
    </row>
    <row r="55" spans="1:10" x14ac:dyDescent="0.3">
      <c r="B55" s="205" t="s">
        <v>1114</v>
      </c>
      <c r="C55" s="168"/>
      <c r="D55" s="168"/>
      <c r="E55" s="168"/>
      <c r="F55" s="168"/>
      <c r="G55" s="168"/>
      <c r="H55" s="168"/>
      <c r="I55" s="168"/>
      <c r="J55" s="168"/>
    </row>
    <row r="58" spans="1:10" s="11" customFormat="1" x14ac:dyDescent="0.3">
      <c r="B58" s="18" t="s">
        <v>492</v>
      </c>
      <c r="C58" s="18"/>
      <c r="D58" s="18"/>
      <c r="E58" s="18"/>
      <c r="F58" s="18"/>
      <c r="G58" s="18"/>
      <c r="H58" s="18"/>
      <c r="I58" s="18"/>
      <c r="J58" s="18"/>
    </row>
    <row r="59" spans="1:10" s="11" customFormat="1" x14ac:dyDescent="0.3"/>
    <row r="60" spans="1:10" s="11" customFormat="1" x14ac:dyDescent="0.3"/>
    <row r="61" spans="1:10" s="11" customFormat="1" x14ac:dyDescent="0.3">
      <c r="B61" s="205" t="s">
        <v>493</v>
      </c>
      <c r="C61" s="168"/>
      <c r="D61" s="168"/>
      <c r="E61" s="168"/>
      <c r="F61" s="168"/>
      <c r="G61" s="168"/>
      <c r="H61" s="168"/>
      <c r="I61" s="168"/>
      <c r="J61" s="168"/>
    </row>
    <row r="62" spans="1:10" s="11" customFormat="1" x14ac:dyDescent="0.3">
      <c r="B62" s="17"/>
      <c r="C62" s="17"/>
      <c r="D62" s="17"/>
      <c r="E62" s="17"/>
      <c r="F62" s="17"/>
      <c r="G62" s="17"/>
      <c r="H62" s="17"/>
      <c r="I62" s="17"/>
      <c r="J62" s="17"/>
    </row>
    <row r="63" spans="1:10" s="11" customFormat="1" ht="15" customHeight="1" x14ac:dyDescent="0.3"/>
    <row r="64" spans="1:10" s="11" customFormat="1" ht="15" customHeight="1" x14ac:dyDescent="0.3"/>
    <row r="65" spans="1:10" s="11" customFormat="1" ht="15" customHeight="1" x14ac:dyDescent="0.3">
      <c r="B65" s="187" t="s">
        <v>1341</v>
      </c>
      <c r="C65" s="188"/>
      <c r="D65" s="188"/>
      <c r="E65" s="188"/>
      <c r="F65" s="188"/>
      <c r="G65" s="188"/>
      <c r="H65" s="188"/>
      <c r="I65" s="188"/>
      <c r="J65" s="189"/>
    </row>
    <row r="66" spans="1:10" s="86" customFormat="1" x14ac:dyDescent="0.3">
      <c r="B66" s="190"/>
      <c r="C66" s="191"/>
      <c r="D66" s="191"/>
      <c r="E66" s="191"/>
      <c r="F66" s="191"/>
      <c r="G66" s="191"/>
      <c r="H66" s="191"/>
      <c r="I66" s="191"/>
      <c r="J66" s="192"/>
    </row>
    <row r="68" spans="1:10" s="11" customFormat="1" ht="15" customHeight="1" x14ac:dyDescent="0.3"/>
    <row r="69" spans="1:10" s="11" customFormat="1" x14ac:dyDescent="0.3">
      <c r="B69" s="144"/>
      <c r="C69" s="145"/>
      <c r="D69" s="145"/>
      <c r="E69" s="145"/>
      <c r="F69" s="145"/>
      <c r="G69" s="145"/>
      <c r="H69" s="145"/>
      <c r="I69" s="145"/>
      <c r="J69" s="146"/>
    </row>
    <row r="70" spans="1:10" ht="15.6" x14ac:dyDescent="0.3">
      <c r="A70" s="12" t="s">
        <v>705</v>
      </c>
    </row>
    <row r="71" spans="1:10" s="11" customFormat="1" ht="15" customHeight="1" x14ac:dyDescent="0.3"/>
    <row r="72" spans="1:10" s="11" customFormat="1" ht="15" customHeight="1" x14ac:dyDescent="0.3"/>
    <row r="73" spans="1:10" s="11" customFormat="1" ht="15" customHeight="1" x14ac:dyDescent="0.3"/>
    <row r="74" spans="1:10" s="11" customFormat="1" x14ac:dyDescent="0.3">
      <c r="B74" s="144"/>
      <c r="C74" s="145"/>
      <c r="D74" s="145"/>
      <c r="E74" s="145"/>
      <c r="F74" s="145"/>
      <c r="G74" s="145"/>
      <c r="H74" s="145"/>
      <c r="I74" s="145"/>
      <c r="J74" s="146"/>
    </row>
    <row r="75" spans="1:10" s="11" customFormat="1" ht="15.6" x14ac:dyDescent="0.3">
      <c r="A75" s="12" t="s">
        <v>938</v>
      </c>
    </row>
    <row r="76" spans="1:10" s="11" customFormat="1" x14ac:dyDescent="0.3">
      <c r="B76" s="205" t="s">
        <v>118</v>
      </c>
      <c r="C76" s="168"/>
      <c r="D76" s="168"/>
      <c r="E76" s="168"/>
      <c r="F76" s="168"/>
      <c r="G76" s="168"/>
      <c r="H76" s="168"/>
      <c r="I76" s="168"/>
      <c r="J76" s="168"/>
    </row>
    <row r="77" spans="1:10" s="11" customFormat="1" x14ac:dyDescent="0.3"/>
    <row r="78" spans="1:10" x14ac:dyDescent="0.3">
      <c r="C78" s="20" t="s">
        <v>407</v>
      </c>
      <c r="D78" s="21"/>
      <c r="E78" s="20"/>
      <c r="F78" s="21"/>
      <c r="G78" s="21"/>
      <c r="H78" s="21"/>
      <c r="I78" s="21"/>
    </row>
    <row r="79" spans="1:10" s="11" customFormat="1" x14ac:dyDescent="0.3">
      <c r="C79" s="20" t="s">
        <v>963</v>
      </c>
      <c r="D79" s="21"/>
      <c r="E79" s="20"/>
      <c r="F79" s="21"/>
      <c r="G79" s="21"/>
      <c r="H79" s="21"/>
      <c r="I79" s="21"/>
    </row>
    <row r="80" spans="1:10" s="11" customFormat="1" ht="15.6" x14ac:dyDescent="0.3">
      <c r="A80" s="12" t="s">
        <v>200</v>
      </c>
    </row>
    <row r="81" spans="1:10" s="11" customFormat="1" x14ac:dyDescent="0.3">
      <c r="B81" s="17"/>
      <c r="C81" s="17"/>
      <c r="D81" s="17"/>
      <c r="E81" s="17"/>
      <c r="F81" s="17"/>
      <c r="G81" s="17"/>
      <c r="H81" s="17"/>
      <c r="I81" s="17"/>
      <c r="J81" s="17"/>
    </row>
    <row r="82" spans="1:10" s="11" customFormat="1" ht="15" customHeight="1" x14ac:dyDescent="0.3"/>
    <row r="83" spans="1:10" s="11" customFormat="1" ht="15" customHeight="1" x14ac:dyDescent="0.3"/>
    <row r="84" spans="1:10" s="11" customFormat="1" ht="15.6" x14ac:dyDescent="0.3">
      <c r="A84" s="12" t="s">
        <v>1257</v>
      </c>
    </row>
    <row r="85" spans="1:10" s="11" customFormat="1" x14ac:dyDescent="0.3">
      <c r="B85" s="17"/>
      <c r="C85" s="17"/>
      <c r="D85" s="17"/>
      <c r="E85" s="17"/>
      <c r="F85" s="17"/>
      <c r="G85" s="17"/>
      <c r="H85" s="17"/>
      <c r="I85" s="17"/>
      <c r="J85" s="17"/>
    </row>
    <row r="86" spans="1:10" s="11" customFormat="1" x14ac:dyDescent="0.3">
      <c r="B86" s="17"/>
      <c r="C86" s="17"/>
      <c r="D86" s="17"/>
      <c r="E86" s="17"/>
      <c r="F86" s="17"/>
      <c r="G86" s="17"/>
      <c r="H86" s="17"/>
      <c r="I86" s="17"/>
      <c r="J86" s="17"/>
    </row>
    <row r="87" spans="1:10" s="11" customFormat="1" ht="15.6" x14ac:dyDescent="0.3">
      <c r="A87" s="12" t="s">
        <v>969</v>
      </c>
    </row>
    <row r="88" spans="1:10" s="11" customFormat="1" x14ac:dyDescent="0.3"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1" customFormat="1" x14ac:dyDescent="0.3">
      <c r="B89" s="17"/>
      <c r="C89" s="17"/>
      <c r="D89" s="17"/>
      <c r="E89" s="17"/>
      <c r="F89" s="17"/>
      <c r="G89" s="17"/>
      <c r="H89" s="17"/>
      <c r="I89" s="17"/>
      <c r="J89" s="17"/>
    </row>
    <row r="91" spans="1:10" s="11" customFormat="1" ht="15.6" x14ac:dyDescent="0.3">
      <c r="A91" s="12" t="s">
        <v>561</v>
      </c>
      <c r="B91" s="12"/>
    </row>
    <row r="92" spans="1:10" s="11" customFormat="1" x14ac:dyDescent="0.3">
      <c r="B92" s="205" t="s">
        <v>571</v>
      </c>
      <c r="C92" s="168"/>
      <c r="D92" s="168"/>
      <c r="E92" s="168"/>
      <c r="F92" s="168"/>
      <c r="G92" s="168"/>
      <c r="H92" s="168"/>
      <c r="I92" s="168"/>
      <c r="J92" s="168"/>
    </row>
    <row r="93" spans="1:10" x14ac:dyDescent="0.3">
      <c r="B93" s="168"/>
      <c r="C93" s="168"/>
      <c r="D93" s="168"/>
      <c r="E93" s="168"/>
      <c r="F93" s="168"/>
      <c r="G93" s="168"/>
      <c r="H93" s="168"/>
      <c r="I93" s="168"/>
      <c r="J93" s="168"/>
    </row>
    <row r="94" spans="1:10" x14ac:dyDescent="0.3">
      <c r="B94" s="186" t="s">
        <v>440</v>
      </c>
      <c r="C94" s="186"/>
      <c r="D94" s="186"/>
      <c r="E94" s="186" t="s">
        <v>727</v>
      </c>
      <c r="F94" s="186"/>
      <c r="G94" s="186" t="s">
        <v>313</v>
      </c>
      <c r="H94" s="186"/>
      <c r="I94" s="186" t="s">
        <v>619</v>
      </c>
      <c r="J94" s="186"/>
    </row>
    <row r="95" spans="1:10" x14ac:dyDescent="0.3">
      <c r="B95" s="151" t="s">
        <v>1342</v>
      </c>
      <c r="C95" s="151"/>
      <c r="D95" s="151"/>
      <c r="E95" s="151">
        <v>20</v>
      </c>
      <c r="F95" s="151"/>
      <c r="G95" s="200">
        <v>0.05</v>
      </c>
      <c r="H95" s="151"/>
      <c r="I95" s="151" t="s">
        <v>1343</v>
      </c>
      <c r="J95" s="151"/>
    </row>
    <row r="96" spans="1:10" s="11" customFormat="1" x14ac:dyDescent="0.3">
      <c r="B96" s="123" t="s">
        <v>1344</v>
      </c>
      <c r="C96" s="123"/>
      <c r="D96" s="123"/>
      <c r="E96" s="123">
        <v>6</v>
      </c>
      <c r="F96" s="123"/>
      <c r="G96" s="201">
        <v>0.16700000000000001</v>
      </c>
      <c r="H96" s="123"/>
      <c r="I96" s="151" t="s">
        <v>1343</v>
      </c>
      <c r="J96" s="151"/>
    </row>
    <row r="97" spans="2:10" s="11" customFormat="1" x14ac:dyDescent="0.3">
      <c r="B97" s="123" t="s">
        <v>1344</v>
      </c>
      <c r="C97" s="123"/>
      <c r="D97" s="123"/>
      <c r="E97" s="123">
        <v>8</v>
      </c>
      <c r="F97" s="123"/>
      <c r="G97" s="201">
        <v>0.125</v>
      </c>
      <c r="H97" s="123"/>
      <c r="I97" s="151" t="s">
        <v>1343</v>
      </c>
      <c r="J97" s="151"/>
    </row>
    <row r="98" spans="2:10" s="11" customFormat="1" x14ac:dyDescent="0.3">
      <c r="B98" s="115" t="s">
        <v>1344</v>
      </c>
      <c r="C98" s="116"/>
      <c r="D98" s="117"/>
      <c r="E98" s="197">
        <v>10</v>
      </c>
      <c r="F98" s="198"/>
      <c r="G98" s="207">
        <v>0.1</v>
      </c>
      <c r="H98" s="208"/>
      <c r="I98" s="194" t="s">
        <v>1343</v>
      </c>
      <c r="J98" s="196"/>
    </row>
    <row r="99" spans="2:10" s="86" customFormat="1" x14ac:dyDescent="0.3">
      <c r="B99" s="123" t="s">
        <v>1345</v>
      </c>
      <c r="C99" s="123"/>
      <c r="D99" s="123"/>
      <c r="E99" s="123">
        <v>4</v>
      </c>
      <c r="F99" s="123"/>
      <c r="G99" s="193">
        <v>0.25</v>
      </c>
      <c r="H99" s="123"/>
      <c r="I99" s="151" t="s">
        <v>1343</v>
      </c>
      <c r="J99" s="151"/>
    </row>
    <row r="100" spans="2:10" s="11" customFormat="1" x14ac:dyDescent="0.3">
      <c r="B100" s="123" t="s">
        <v>1346</v>
      </c>
      <c r="C100" s="123"/>
      <c r="D100" s="123"/>
      <c r="E100" s="123">
        <v>6</v>
      </c>
      <c r="F100" s="123"/>
      <c r="G100" s="201">
        <v>0.16700000000000001</v>
      </c>
      <c r="H100" s="123"/>
      <c r="I100" s="151" t="s">
        <v>1343</v>
      </c>
      <c r="J100" s="151"/>
    </row>
    <row r="101" spans="2:10" s="86" customFormat="1" x14ac:dyDescent="0.3">
      <c r="B101" s="194" t="s">
        <v>1346</v>
      </c>
      <c r="C101" s="195"/>
      <c r="D101" s="196"/>
      <c r="E101" s="197">
        <v>4</v>
      </c>
      <c r="F101" s="198"/>
      <c r="G101" s="199">
        <v>0.25</v>
      </c>
      <c r="H101" s="198"/>
      <c r="I101" s="151" t="s">
        <v>1343</v>
      </c>
      <c r="J101" s="151"/>
    </row>
    <row r="102" spans="2:10" s="11" customFormat="1" x14ac:dyDescent="0.3">
      <c r="B102" s="194" t="s">
        <v>1347</v>
      </c>
      <c r="C102" s="195"/>
      <c r="D102" s="196"/>
      <c r="E102" s="197">
        <v>4</v>
      </c>
      <c r="F102" s="198"/>
      <c r="G102" s="199">
        <v>0.25</v>
      </c>
      <c r="H102" s="198"/>
      <c r="I102" s="151" t="s">
        <v>1343</v>
      </c>
      <c r="J102" s="151"/>
    </row>
    <row r="104" spans="2:10" s="11" customFormat="1" x14ac:dyDescent="0.3"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2:10" s="11" customFormat="1" ht="15" customHeight="1" x14ac:dyDescent="0.3"/>
    <row r="106" spans="2:10" s="11" customFormat="1" ht="15" customHeight="1" x14ac:dyDescent="0.3"/>
    <row r="108" spans="2:10" s="11" customFormat="1" x14ac:dyDescent="0.3"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2:10" s="11" customFormat="1" x14ac:dyDescent="0.3">
      <c r="B109" s="209"/>
      <c r="C109" s="210"/>
      <c r="D109" s="210"/>
      <c r="E109" s="210"/>
      <c r="F109" s="210"/>
      <c r="G109" s="210"/>
      <c r="H109" s="210"/>
      <c r="I109" s="210"/>
      <c r="J109" s="211"/>
    </row>
    <row r="110" spans="2:10" s="11" customFormat="1" x14ac:dyDescent="0.3">
      <c r="B110" s="212"/>
      <c r="C110" s="213"/>
      <c r="D110" s="213"/>
      <c r="E110" s="213"/>
      <c r="F110" s="213"/>
      <c r="G110" s="213"/>
      <c r="H110" s="213"/>
      <c r="I110" s="213"/>
      <c r="J110" s="214"/>
    </row>
    <row r="111" spans="2:10" s="11" customFormat="1" x14ac:dyDescent="0.3"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2:10" s="11" customFormat="1" ht="15" customHeight="1" x14ac:dyDescent="0.3"/>
    <row r="113" spans="1:10" s="11" customFormat="1" ht="15" customHeight="1" x14ac:dyDescent="0.3"/>
    <row r="116" spans="1:10" ht="15.6" x14ac:dyDescent="0.3">
      <c r="A116" s="12" t="s">
        <v>1308</v>
      </c>
    </row>
    <row r="117" spans="1:10" x14ac:dyDescent="0.3">
      <c r="B117" s="186" t="s">
        <v>274</v>
      </c>
      <c r="C117" s="186"/>
      <c r="D117" s="186"/>
      <c r="E117" s="186"/>
      <c r="F117" s="186"/>
      <c r="G117" s="186" t="s">
        <v>403</v>
      </c>
      <c r="H117" s="186"/>
      <c r="I117" s="186" t="s">
        <v>380</v>
      </c>
      <c r="J117" s="186"/>
    </row>
    <row r="118" spans="1:10" x14ac:dyDescent="0.3">
      <c r="B118" s="151"/>
      <c r="C118" s="151"/>
      <c r="D118" s="151"/>
      <c r="E118" s="151"/>
      <c r="F118" s="151"/>
      <c r="G118" s="151"/>
      <c r="H118" s="151"/>
      <c r="I118" s="151"/>
      <c r="J118" s="151"/>
    </row>
    <row r="119" spans="1:10" s="11" customFormat="1" x14ac:dyDescent="0.3">
      <c r="B119" s="123"/>
      <c r="C119" s="123"/>
      <c r="D119" s="123"/>
      <c r="E119" s="123"/>
      <c r="F119" s="123"/>
      <c r="G119" s="123"/>
      <c r="H119" s="123"/>
      <c r="I119" s="123"/>
      <c r="J119" s="123"/>
    </row>
    <row r="120" spans="1:10" s="11" customFormat="1" x14ac:dyDescent="0.3">
      <c r="B120" s="123"/>
      <c r="C120" s="123"/>
      <c r="D120" s="123"/>
      <c r="E120" s="123"/>
      <c r="F120" s="123"/>
      <c r="G120" s="123"/>
      <c r="H120" s="123"/>
      <c r="I120" s="123"/>
      <c r="J120" s="123"/>
    </row>
    <row r="121" spans="1:10" s="11" customFormat="1" x14ac:dyDescent="0.3">
      <c r="B121" s="123"/>
      <c r="C121" s="123"/>
      <c r="D121" s="123"/>
      <c r="E121" s="123"/>
      <c r="F121" s="123"/>
      <c r="G121" s="123"/>
      <c r="H121" s="123"/>
      <c r="I121" s="123"/>
      <c r="J121" s="123"/>
    </row>
    <row r="122" spans="1:10" s="11" customFormat="1" x14ac:dyDescent="0.3"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s="11" customFormat="1" x14ac:dyDescent="0.3">
      <c r="B123" s="123"/>
      <c r="C123" s="123"/>
      <c r="D123" s="123"/>
      <c r="E123" s="123"/>
      <c r="F123" s="123"/>
      <c r="G123" s="123"/>
      <c r="H123" s="123"/>
      <c r="I123" s="123"/>
      <c r="J123" s="123"/>
    </row>
  </sheetData>
  <mergeCells count="89">
    <mergeCell ref="B109:J110"/>
    <mergeCell ref="B100:D100"/>
    <mergeCell ref="E100:F100"/>
    <mergeCell ref="G100:H100"/>
    <mergeCell ref="I100:J100"/>
    <mergeCell ref="B102:D102"/>
    <mergeCell ref="E102:F102"/>
    <mergeCell ref="G102:H102"/>
    <mergeCell ref="I102:J102"/>
    <mergeCell ref="B98:D98"/>
    <mergeCell ref="E98:F98"/>
    <mergeCell ref="G98:H98"/>
    <mergeCell ref="I98:J98"/>
    <mergeCell ref="B54:J54"/>
    <mergeCell ref="B95:D95"/>
    <mergeCell ref="B97:D97"/>
    <mergeCell ref="E97:F97"/>
    <mergeCell ref="G97:H97"/>
    <mergeCell ref="I97:J97"/>
    <mergeCell ref="B96:D96"/>
    <mergeCell ref="E96:F96"/>
    <mergeCell ref="B92:J93"/>
    <mergeCell ref="B94:D94"/>
    <mergeCell ref="E94:F94"/>
    <mergeCell ref="G94:H94"/>
    <mergeCell ref="I96:J96"/>
    <mergeCell ref="I95:J95"/>
    <mergeCell ref="B55:J55"/>
    <mergeCell ref="B61:J61"/>
    <mergeCell ref="B69:J69"/>
    <mergeCell ref="B74:J74"/>
    <mergeCell ref="B76:J76"/>
    <mergeCell ref="B14:E14"/>
    <mergeCell ref="F14:G14"/>
    <mergeCell ref="H14:J14"/>
    <mergeCell ref="B40:J40"/>
    <mergeCell ref="B35:J36"/>
    <mergeCell ref="B52:J52"/>
    <mergeCell ref="B46:J46"/>
    <mergeCell ref="B22:J23"/>
    <mergeCell ref="B26:J26"/>
    <mergeCell ref="B27:J29"/>
    <mergeCell ref="B6:J6"/>
    <mergeCell ref="B10:E10"/>
    <mergeCell ref="F10:G10"/>
    <mergeCell ref="H10:J10"/>
    <mergeCell ref="B13:E13"/>
    <mergeCell ref="F13:G13"/>
    <mergeCell ref="H13:J13"/>
    <mergeCell ref="B11:E11"/>
    <mergeCell ref="F11:G11"/>
    <mergeCell ref="H11:J11"/>
    <mergeCell ref="B12:E12"/>
    <mergeCell ref="F12:G12"/>
    <mergeCell ref="H12:J12"/>
    <mergeCell ref="B117:F117"/>
    <mergeCell ref="G117:H117"/>
    <mergeCell ref="I117:J117"/>
    <mergeCell ref="B65:J66"/>
    <mergeCell ref="B99:D99"/>
    <mergeCell ref="E99:F99"/>
    <mergeCell ref="G99:H99"/>
    <mergeCell ref="I99:J99"/>
    <mergeCell ref="B101:D101"/>
    <mergeCell ref="E101:F101"/>
    <mergeCell ref="G101:H101"/>
    <mergeCell ref="I101:J101"/>
    <mergeCell ref="E95:F95"/>
    <mergeCell ref="G95:H95"/>
    <mergeCell ref="I94:J94"/>
    <mergeCell ref="G96:H96"/>
    <mergeCell ref="B118:F118"/>
    <mergeCell ref="G118:H118"/>
    <mergeCell ref="I118:J118"/>
    <mergeCell ref="B119:F119"/>
    <mergeCell ref="G119:H119"/>
    <mergeCell ref="I119:J119"/>
    <mergeCell ref="B120:F120"/>
    <mergeCell ref="G120:H120"/>
    <mergeCell ref="I120:J120"/>
    <mergeCell ref="B123:F123"/>
    <mergeCell ref="G123:H123"/>
    <mergeCell ref="I123:J123"/>
    <mergeCell ref="B121:F121"/>
    <mergeCell ref="G121:H121"/>
    <mergeCell ref="I121:J121"/>
    <mergeCell ref="B122:F122"/>
    <mergeCell ref="G122:H122"/>
    <mergeCell ref="I122:J122"/>
  </mergeCells>
  <pageMargins left="0.7" right="0.7" top="0.75" bottom="0.75" header="0.3" footer="0.3"/>
  <pageSetup paperSize="9" scale="97" orientation="portrait" r:id="rId1"/>
  <rowBreaks count="2" manualBreakCount="2">
    <brk id="43" max="9" man="1"/>
    <brk id="89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025">
              <controlPr defaultSize="0" autoFill="0" autoLine="0" autoPict="0">
                <anchor moveWithCells="1">
                  <from>
                    <xdr:col>9</xdr:col>
                    <xdr:colOff>0</xdr:colOff>
                    <xdr:row>2</xdr:row>
                    <xdr:rowOff>0</xdr:rowOff>
                  </from>
                  <to>
                    <xdr:col>10</xdr:col>
                    <xdr:colOff>175260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1027">
              <controlPr defaultSize="0" autoFill="0" autoLine="0" autoPict="0">
                <anchor moveWithCells="1">
                  <from>
                    <xdr:col>1</xdr:col>
                    <xdr:colOff>7620</xdr:colOff>
                    <xdr:row>17</xdr:row>
                    <xdr:rowOff>175260</xdr:rowOff>
                  </from>
                  <to>
                    <xdr:col>8</xdr:col>
                    <xdr:colOff>22860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1028">
              <controlPr defaultSize="0" autoFill="0" autoLine="0" autoPict="0">
                <anchor moveWithCells="1">
                  <from>
                    <xdr:col>1</xdr:col>
                    <xdr:colOff>7620</xdr:colOff>
                    <xdr:row>18</xdr:row>
                    <xdr:rowOff>182880</xdr:rowOff>
                  </from>
                  <to>
                    <xdr:col>2</xdr:col>
                    <xdr:colOff>464820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1029">
              <controlPr defaultSize="0" autoFill="0" autoLine="0" autoPict="0">
                <anchor moveWithCells="1">
                  <from>
                    <xdr:col>3</xdr:col>
                    <xdr:colOff>7620</xdr:colOff>
                    <xdr:row>19</xdr:row>
                    <xdr:rowOff>0</xdr:rowOff>
                  </from>
                  <to>
                    <xdr:col>4</xdr:col>
                    <xdr:colOff>182880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1030">
              <controlPr defaultSize="0" autoFill="0" autoLine="0" autoPict="0">
                <anchor moveWithCells="1">
                  <from>
                    <xdr:col>4</xdr:col>
                    <xdr:colOff>464820</xdr:colOff>
                    <xdr:row>19</xdr:row>
                    <xdr:rowOff>0</xdr:rowOff>
                  </from>
                  <to>
                    <xdr:col>6</xdr:col>
                    <xdr:colOff>30480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1032">
              <controlPr defaultSize="0" autoFill="0" autoLine="0" autoPict="0">
                <anchor moveWithCells="1">
                  <from>
                    <xdr:col>6</xdr:col>
                    <xdr:colOff>297180</xdr:colOff>
                    <xdr:row>19</xdr:row>
                    <xdr:rowOff>0</xdr:rowOff>
                  </from>
                  <to>
                    <xdr:col>7</xdr:col>
                    <xdr:colOff>464820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0" name="Check Box 1034">
              <controlPr defaultSize="0" autoFill="0" autoLine="0" autoPict="0">
                <anchor moveWithCells="1">
                  <from>
                    <xdr:col>8</xdr:col>
                    <xdr:colOff>7620</xdr:colOff>
                    <xdr:row>19</xdr:row>
                    <xdr:rowOff>0</xdr:rowOff>
                  </from>
                  <to>
                    <xdr:col>9</xdr:col>
                    <xdr:colOff>182880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1" name="Check Box 1037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175260</xdr:rowOff>
                  </from>
                  <to>
                    <xdr:col>4</xdr:col>
                    <xdr:colOff>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2" name="Check Box 1038">
              <controlPr defaultSize="0" autoFill="0" autoLine="0" autoPict="0">
                <anchor moveWithCells="1">
                  <from>
                    <xdr:col>4</xdr:col>
                    <xdr:colOff>7620</xdr:colOff>
                    <xdr:row>22</xdr:row>
                    <xdr:rowOff>175260</xdr:rowOff>
                  </from>
                  <to>
                    <xdr:col>7</xdr:col>
                    <xdr:colOff>121920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040">
              <controlPr defaultSize="0" autoFill="0" autoLine="0" autoPict="0">
                <anchor moveWithCells="1">
                  <from>
                    <xdr:col>1</xdr:col>
                    <xdr:colOff>7620</xdr:colOff>
                    <xdr:row>23</xdr:row>
                    <xdr:rowOff>175260</xdr:rowOff>
                  </from>
                  <to>
                    <xdr:col>4</xdr:col>
                    <xdr:colOff>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041">
              <controlPr defaultSize="0" autoFill="0" autoLine="0" autoPict="0">
                <anchor moveWithCells="1">
                  <from>
                    <xdr:col>1</xdr:col>
                    <xdr:colOff>7620</xdr:colOff>
                    <xdr:row>30</xdr:row>
                    <xdr:rowOff>175260</xdr:rowOff>
                  </from>
                  <to>
                    <xdr:col>8</xdr:col>
                    <xdr:colOff>22860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Check Box 1042">
              <controlPr defaultSize="0" autoFill="0" autoLine="0" autoPict="0">
                <anchor moveWithCells="1">
                  <from>
                    <xdr:col>1</xdr:col>
                    <xdr:colOff>7620</xdr:colOff>
                    <xdr:row>31</xdr:row>
                    <xdr:rowOff>182880</xdr:rowOff>
                  </from>
                  <to>
                    <xdr:col>2</xdr:col>
                    <xdr:colOff>464820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Check Box 1043">
              <controlPr defaultSize="0" autoFill="0" autoLine="0" autoPict="0">
                <anchor moveWithCells="1">
                  <from>
                    <xdr:col>3</xdr:col>
                    <xdr:colOff>7620</xdr:colOff>
                    <xdr:row>32</xdr:row>
                    <xdr:rowOff>0</xdr:rowOff>
                  </from>
                  <to>
                    <xdr:col>4</xdr:col>
                    <xdr:colOff>182880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7" name="Check Box 1045">
              <controlPr defaultSize="0" autoFill="0" autoLine="0" autoPict="0">
                <anchor moveWithCells="1">
                  <from>
                    <xdr:col>4</xdr:col>
                    <xdr:colOff>480060</xdr:colOff>
                    <xdr:row>32</xdr:row>
                    <xdr:rowOff>0</xdr:rowOff>
                  </from>
                  <to>
                    <xdr:col>6</xdr:col>
                    <xdr:colOff>38100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8" name="Check Box 1046">
              <controlPr defaultSize="0" autoFill="0" autoLine="0" autoPict="0">
                <anchor moveWithCells="1">
                  <from>
                    <xdr:col>6</xdr:col>
                    <xdr:colOff>190500</xdr:colOff>
                    <xdr:row>32</xdr:row>
                    <xdr:rowOff>0</xdr:rowOff>
                  </from>
                  <to>
                    <xdr:col>7</xdr:col>
                    <xdr:colOff>365760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9" name="Check Box 1047">
              <controlPr defaultSize="0" autoFill="0" autoLine="0" autoPict="0">
                <anchor moveWithCells="1">
                  <from>
                    <xdr:col>1</xdr:col>
                    <xdr:colOff>7620</xdr:colOff>
                    <xdr:row>35</xdr:row>
                    <xdr:rowOff>182880</xdr:rowOff>
                  </from>
                  <to>
                    <xdr:col>4</xdr:col>
                    <xdr:colOff>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0" name="Check Box 1048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182880</xdr:rowOff>
                  </from>
                  <to>
                    <xdr:col>8</xdr:col>
                    <xdr:colOff>30480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1" name="Check Box 1049">
              <controlPr defaultSize="0" autoFill="0" autoLine="0" autoPict="0">
                <anchor moveWithCells="1">
                  <from>
                    <xdr:col>1</xdr:col>
                    <xdr:colOff>7620</xdr:colOff>
                    <xdr:row>37</xdr:row>
                    <xdr:rowOff>182880</xdr:rowOff>
                  </from>
                  <to>
                    <xdr:col>4</xdr:col>
                    <xdr:colOff>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2" name="Check Box 1059">
              <controlPr defaultSize="0" autoFill="0" autoLine="0" autoPict="0">
                <anchor moveWithCells="1">
                  <from>
                    <xdr:col>1</xdr:col>
                    <xdr:colOff>7620</xdr:colOff>
                    <xdr:row>46</xdr:row>
                    <xdr:rowOff>7620</xdr:rowOff>
                  </from>
                  <to>
                    <xdr:col>10</xdr:col>
                    <xdr:colOff>30480</xdr:colOff>
                    <xdr:row>47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3" name="Check Box 1060">
              <controlPr defaultSize="0" autoFill="0" autoLine="0" autoPict="0">
                <anchor moveWithCells="1">
                  <from>
                    <xdr:col>1</xdr:col>
                    <xdr:colOff>7620</xdr:colOff>
                    <xdr:row>47</xdr:row>
                    <xdr:rowOff>0</xdr:rowOff>
                  </from>
                  <to>
                    <xdr:col>9</xdr:col>
                    <xdr:colOff>441960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4" name="Check Box 1061">
              <controlPr defaultSize="0" autoFill="0" autoLine="0" autoPict="0">
                <anchor moveWithCells="1">
                  <from>
                    <xdr:col>1</xdr:col>
                    <xdr:colOff>7620</xdr:colOff>
                    <xdr:row>49</xdr:row>
                    <xdr:rowOff>137160</xdr:rowOff>
                  </from>
                  <to>
                    <xdr:col>4</xdr:col>
                    <xdr:colOff>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5" name="Check Box 1063">
              <controlPr defaultSize="0" autoFill="0" autoLine="0" autoPict="0">
                <anchor moveWithCells="1">
                  <from>
                    <xdr:col>1</xdr:col>
                    <xdr:colOff>7620</xdr:colOff>
                    <xdr:row>48</xdr:row>
                    <xdr:rowOff>144780</xdr:rowOff>
                  </from>
                  <to>
                    <xdr:col>9</xdr:col>
                    <xdr:colOff>563880</xdr:colOff>
                    <xdr:row>49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26" name="Check Box 1066">
              <controlPr defaultSize="0" autoFill="0" autoLine="0" autoPict="0">
                <anchor moveWithCells="1">
                  <from>
                    <xdr:col>1</xdr:col>
                    <xdr:colOff>7620</xdr:colOff>
                    <xdr:row>54</xdr:row>
                    <xdr:rowOff>175260</xdr:rowOff>
                  </from>
                  <to>
                    <xdr:col>9</xdr:col>
                    <xdr:colOff>601980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27" name="Check Box 1067">
              <controlPr defaultSize="0" autoFill="0" autoLine="0" autoPict="0">
                <anchor moveWithCells="1">
                  <from>
                    <xdr:col>1</xdr:col>
                    <xdr:colOff>7620</xdr:colOff>
                    <xdr:row>55</xdr:row>
                    <xdr:rowOff>175260</xdr:rowOff>
                  </from>
                  <to>
                    <xdr:col>8</xdr:col>
                    <xdr:colOff>30480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28" name="Check Box 1073">
              <controlPr defaultSize="0" autoFill="0" autoLine="0" autoPict="0">
                <anchor moveWithCells="1">
                  <from>
                    <xdr:col>1</xdr:col>
                    <xdr:colOff>7620</xdr:colOff>
                    <xdr:row>57</xdr:row>
                    <xdr:rowOff>175260</xdr:rowOff>
                  </from>
                  <to>
                    <xdr:col>8</xdr:col>
                    <xdr:colOff>22860</xdr:colOff>
                    <xdr:row>59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29" name="Check Box 1074">
              <controlPr defaultSize="0" autoFill="0" autoLine="0" autoPict="0">
                <anchor moveWithCells="1">
                  <from>
                    <xdr:col>1</xdr:col>
                    <xdr:colOff>7620</xdr:colOff>
                    <xdr:row>58</xdr:row>
                    <xdr:rowOff>182880</xdr:rowOff>
                  </from>
                  <to>
                    <xdr:col>2</xdr:col>
                    <xdr:colOff>464820</xdr:colOff>
                    <xdr:row>60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0" name="Check Box 1075">
              <controlPr defaultSize="0" autoFill="0" autoLine="0" autoPict="0">
                <anchor moveWithCells="1">
                  <from>
                    <xdr:col>3</xdr:col>
                    <xdr:colOff>7620</xdr:colOff>
                    <xdr:row>59</xdr:row>
                    <xdr:rowOff>0</xdr:rowOff>
                  </from>
                  <to>
                    <xdr:col>4</xdr:col>
                    <xdr:colOff>182880</xdr:colOff>
                    <xdr:row>60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1" name="Check Box 1076">
              <controlPr defaultSize="0" autoFill="0" autoLine="0" autoPict="0">
                <anchor moveWithCells="1">
                  <from>
                    <xdr:col>4</xdr:col>
                    <xdr:colOff>480060</xdr:colOff>
                    <xdr:row>59</xdr:row>
                    <xdr:rowOff>0</xdr:rowOff>
                  </from>
                  <to>
                    <xdr:col>6</xdr:col>
                    <xdr:colOff>38100</xdr:colOff>
                    <xdr:row>60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2" name="Check Box 1077">
              <controlPr defaultSize="0" autoFill="0" autoLine="0" autoPict="0">
                <anchor moveWithCells="1">
                  <from>
                    <xdr:col>6</xdr:col>
                    <xdr:colOff>190500</xdr:colOff>
                    <xdr:row>59</xdr:row>
                    <xdr:rowOff>0</xdr:rowOff>
                  </from>
                  <to>
                    <xdr:col>7</xdr:col>
                    <xdr:colOff>365760</xdr:colOff>
                    <xdr:row>60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3" name="Check Box 1078">
              <controlPr defaultSize="0" autoFill="0" autoLine="0" autoPict="0">
                <anchor moveWithCells="1">
                  <from>
                    <xdr:col>1</xdr:col>
                    <xdr:colOff>7620</xdr:colOff>
                    <xdr:row>60</xdr:row>
                    <xdr:rowOff>175260</xdr:rowOff>
                  </from>
                  <to>
                    <xdr:col>10</xdr:col>
                    <xdr:colOff>30480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4" name="Check Box 1079">
              <controlPr defaultSize="0" autoFill="0" autoLine="0" autoPict="0">
                <anchor moveWithCells="1">
                  <from>
                    <xdr:col>1</xdr:col>
                    <xdr:colOff>7620</xdr:colOff>
                    <xdr:row>62</xdr:row>
                    <xdr:rowOff>0</xdr:rowOff>
                  </from>
                  <to>
                    <xdr:col>9</xdr:col>
                    <xdr:colOff>441960</xdr:colOff>
                    <xdr:row>64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35" name="Check Box 1084">
              <controlPr defaultSize="0" autoFill="0" autoLine="0" autoPict="0">
                <anchor moveWithCells="1">
                  <from>
                    <xdr:col>1</xdr:col>
                    <xdr:colOff>7620</xdr:colOff>
                    <xdr:row>66</xdr:row>
                    <xdr:rowOff>0</xdr:rowOff>
                  </from>
                  <to>
                    <xdr:col>9</xdr:col>
                    <xdr:colOff>480060</xdr:colOff>
                    <xdr:row>68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36" name="Check Box 1088">
              <controlPr defaultSize="0" autoFill="0" autoLine="0" autoPict="0">
                <anchor moveWithCells="1">
                  <from>
                    <xdr:col>1</xdr:col>
                    <xdr:colOff>7620</xdr:colOff>
                    <xdr:row>69</xdr:row>
                    <xdr:rowOff>182880</xdr:rowOff>
                  </from>
                  <to>
                    <xdr:col>9</xdr:col>
                    <xdr:colOff>464820</xdr:colOff>
                    <xdr:row>71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37" name="Check Box 1089">
              <controlPr defaultSize="0" autoFill="0" autoLine="0" autoPict="0">
                <anchor moveWithCells="1">
                  <from>
                    <xdr:col>1</xdr:col>
                    <xdr:colOff>7620</xdr:colOff>
                    <xdr:row>70</xdr:row>
                    <xdr:rowOff>182880</xdr:rowOff>
                  </from>
                  <to>
                    <xdr:col>9</xdr:col>
                    <xdr:colOff>579120</xdr:colOff>
                    <xdr:row>72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38" name="Check Box 1090">
              <controlPr defaultSize="0" autoFill="0" autoLine="0" autoPict="0">
                <anchor moveWithCells="1">
                  <from>
                    <xdr:col>1</xdr:col>
                    <xdr:colOff>7620</xdr:colOff>
                    <xdr:row>71</xdr:row>
                    <xdr:rowOff>182880</xdr:rowOff>
                  </from>
                  <to>
                    <xdr:col>4</xdr:col>
                    <xdr:colOff>0</xdr:colOff>
                    <xdr:row>73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39" name="Check Box 1091">
              <controlPr defaultSize="0" autoFill="0" autoLine="0" autoPict="0">
                <anchor moveWithCells="1">
                  <from>
                    <xdr:col>1</xdr:col>
                    <xdr:colOff>7620</xdr:colOff>
                    <xdr:row>75</xdr:row>
                    <xdr:rowOff>175260</xdr:rowOff>
                  </from>
                  <to>
                    <xdr:col>9</xdr:col>
                    <xdr:colOff>601980</xdr:colOff>
                    <xdr:row>77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40" name="Check Box 1092">
              <controlPr defaultSize="0" autoFill="0" autoLine="0" autoPict="0">
                <anchor moveWithCells="1">
                  <from>
                    <xdr:col>1</xdr:col>
                    <xdr:colOff>7620</xdr:colOff>
                    <xdr:row>80</xdr:row>
                    <xdr:rowOff>7620</xdr:rowOff>
                  </from>
                  <to>
                    <xdr:col>9</xdr:col>
                    <xdr:colOff>495300</xdr:colOff>
                    <xdr:row>81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41" name="Check Box 1093">
              <controlPr defaultSize="0" autoFill="0" autoLine="0" autoPict="0">
                <anchor moveWithCells="1">
                  <from>
                    <xdr:col>1</xdr:col>
                    <xdr:colOff>7620</xdr:colOff>
                    <xdr:row>81</xdr:row>
                    <xdr:rowOff>99060</xdr:rowOff>
                  </from>
                  <to>
                    <xdr:col>9</xdr:col>
                    <xdr:colOff>403860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42" name="Check Box 1096">
              <controlPr defaultSize="0" autoFill="0" autoLine="0" autoPict="0">
                <anchor moveWithCells="1">
                  <from>
                    <xdr:col>1</xdr:col>
                    <xdr:colOff>7620</xdr:colOff>
                    <xdr:row>84</xdr:row>
                    <xdr:rowOff>7620</xdr:rowOff>
                  </from>
                  <to>
                    <xdr:col>10</xdr:col>
                    <xdr:colOff>30480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43" name="Check Box 1098">
              <controlPr defaultSize="0" autoFill="0" autoLine="0" autoPict="0">
                <anchor moveWithCells="1">
                  <from>
                    <xdr:col>1</xdr:col>
                    <xdr:colOff>7620</xdr:colOff>
                    <xdr:row>87</xdr:row>
                    <xdr:rowOff>7620</xdr:rowOff>
                  </from>
                  <to>
                    <xdr:col>10</xdr:col>
                    <xdr:colOff>30480</xdr:colOff>
                    <xdr:row>88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44" name="Check Box 1099">
              <controlPr defaultSize="0" autoFill="0" autoLine="0" autoPict="0">
                <anchor moveWithCells="1">
                  <from>
                    <xdr:col>1</xdr:col>
                    <xdr:colOff>7620</xdr:colOff>
                    <xdr:row>102</xdr:row>
                    <xdr:rowOff>68580</xdr:rowOff>
                  </from>
                  <to>
                    <xdr:col>9</xdr:col>
                    <xdr:colOff>411480</xdr:colOff>
                    <xdr:row>104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45" name="Check Box 1100">
              <controlPr defaultSize="0" autoFill="0" autoLine="0" autoPict="0">
                <anchor moveWithCells="1">
                  <from>
                    <xdr:col>1</xdr:col>
                    <xdr:colOff>7620</xdr:colOff>
                    <xdr:row>104</xdr:row>
                    <xdr:rowOff>144780</xdr:rowOff>
                  </from>
                  <to>
                    <xdr:col>9</xdr:col>
                    <xdr:colOff>525780</xdr:colOff>
                    <xdr:row>106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46" name="Check Box 1101">
              <controlPr defaultSize="0" autoFill="0" autoLine="0" autoPict="0">
                <anchor moveWithCells="1">
                  <from>
                    <xdr:col>1</xdr:col>
                    <xdr:colOff>7620</xdr:colOff>
                    <xdr:row>110</xdr:row>
                    <xdr:rowOff>7620</xdr:rowOff>
                  </from>
                  <to>
                    <xdr:col>9</xdr:col>
                    <xdr:colOff>495300</xdr:colOff>
                    <xdr:row>112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47" name="Check Box 1102">
              <controlPr defaultSize="0" autoFill="0" autoLine="0" autoPict="0">
                <anchor moveWithCells="1">
                  <from>
                    <xdr:col>1</xdr:col>
                    <xdr:colOff>7620</xdr:colOff>
                    <xdr:row>112</xdr:row>
                    <xdr:rowOff>38100</xdr:rowOff>
                  </from>
                  <to>
                    <xdr:col>9</xdr:col>
                    <xdr:colOff>403860</xdr:colOff>
                    <xdr:row>115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48" name="Check Box 1104">
              <controlPr defaultSize="0" autoFill="0" autoLine="0" autoPict="0">
                <anchor moveWithCells="1">
                  <from>
                    <xdr:col>1</xdr:col>
                    <xdr:colOff>7620</xdr:colOff>
                    <xdr:row>106</xdr:row>
                    <xdr:rowOff>160020</xdr:rowOff>
                  </from>
                  <to>
                    <xdr:col>10</xdr:col>
                    <xdr:colOff>30480</xdr:colOff>
                    <xdr:row>108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49" name="Check Box 1105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0</xdr:rowOff>
                  </from>
                  <to>
                    <xdr:col>10</xdr:col>
                    <xdr:colOff>175260</xdr:colOff>
                    <xdr:row>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0"/>
  <sheetViews>
    <sheetView view="pageBreakPreview" topLeftCell="A9" zoomScaleNormal="100" zoomScaleSheetLayoutView="100" workbookViewId="0">
      <selection activeCell="C25" sqref="C25"/>
    </sheetView>
  </sheetViews>
  <sheetFormatPr defaultRowHeight="14.4" x14ac:dyDescent="0.3"/>
  <cols>
    <col min="1" max="1" width="16" customWidth="1"/>
    <col min="2" max="9" width="8.88671875" customWidth="1"/>
    <col min="10" max="17" width="9.109375" style="8" customWidth="1"/>
  </cols>
  <sheetData>
    <row r="1" spans="1:17" ht="18" x14ac:dyDescent="0.35">
      <c r="B1" s="13" t="s">
        <v>348</v>
      </c>
    </row>
    <row r="2" spans="1:17" s="11" customFormat="1" x14ac:dyDescent="0.3">
      <c r="B2" s="3"/>
      <c r="J2" s="8"/>
      <c r="K2" s="8"/>
      <c r="L2" s="8"/>
      <c r="M2" s="8"/>
      <c r="N2" s="8"/>
      <c r="O2" s="8"/>
      <c r="P2" s="8"/>
      <c r="Q2" s="8"/>
    </row>
    <row r="3" spans="1:17" ht="15.6" x14ac:dyDescent="0.3">
      <c r="A3" s="12" t="s">
        <v>466</v>
      </c>
    </row>
    <row r="5" spans="1:17" s="2" customFormat="1" x14ac:dyDescent="0.3">
      <c r="A5" s="216" t="s">
        <v>305</v>
      </c>
      <c r="B5" s="215" t="s">
        <v>405</v>
      </c>
      <c r="C5" s="215"/>
      <c r="D5" s="215"/>
      <c r="E5" s="215"/>
      <c r="F5" s="215"/>
      <c r="G5" s="215"/>
      <c r="H5" s="215"/>
      <c r="I5" s="215"/>
      <c r="J5" s="9"/>
      <c r="K5" s="9"/>
      <c r="L5" s="9"/>
      <c r="M5" s="9"/>
      <c r="N5" s="9"/>
      <c r="O5" s="9"/>
      <c r="P5" s="9"/>
      <c r="Q5" s="9"/>
    </row>
    <row r="6" spans="1:17" s="1" customFormat="1" ht="40.5" customHeight="1" x14ac:dyDescent="0.3">
      <c r="A6" s="217"/>
      <c r="B6" s="7" t="s">
        <v>201</v>
      </c>
      <c r="C6" s="7" t="s">
        <v>480</v>
      </c>
      <c r="D6" s="7" t="s">
        <v>258</v>
      </c>
      <c r="E6" s="7" t="s">
        <v>354</v>
      </c>
      <c r="F6" s="7" t="s">
        <v>242</v>
      </c>
      <c r="G6" s="7" t="s">
        <v>166</v>
      </c>
      <c r="H6" s="7" t="s">
        <v>446</v>
      </c>
      <c r="I6" s="7" t="s">
        <v>518</v>
      </c>
      <c r="J6" s="10"/>
      <c r="K6" s="10"/>
      <c r="L6" s="10"/>
      <c r="M6" s="10"/>
      <c r="N6" s="10"/>
      <c r="O6" s="10"/>
      <c r="P6" s="10"/>
      <c r="Q6" s="10"/>
    </row>
    <row r="7" spans="1:17" x14ac:dyDescent="0.3">
      <c r="A7" s="53" t="s">
        <v>1001</v>
      </c>
      <c r="B7" s="53" t="s">
        <v>28</v>
      </c>
      <c r="C7" s="53" t="s">
        <v>788</v>
      </c>
      <c r="D7" s="53" t="s">
        <v>296</v>
      </c>
      <c r="E7" s="53" t="s">
        <v>889</v>
      </c>
      <c r="F7" s="53" t="s">
        <v>191</v>
      </c>
      <c r="G7" s="53" t="s">
        <v>747</v>
      </c>
      <c r="H7" s="53" t="s">
        <v>139</v>
      </c>
      <c r="I7" s="53" t="s">
        <v>778</v>
      </c>
    </row>
    <row r="8" spans="1:17" ht="15.9" customHeight="1" x14ac:dyDescent="0.3">
      <c r="A8" s="52" t="s">
        <v>437</v>
      </c>
      <c r="B8" s="152"/>
      <c r="C8" s="152"/>
      <c r="D8" s="152"/>
      <c r="E8" s="152"/>
      <c r="F8" s="152"/>
      <c r="G8" s="152"/>
      <c r="H8" s="152"/>
      <c r="I8" s="152"/>
    </row>
    <row r="9" spans="1:17" ht="26.1" customHeight="1" x14ac:dyDescent="0.3">
      <c r="A9" s="5" t="s">
        <v>400</v>
      </c>
      <c r="B9" s="14">
        <f>IF(ISERROR(VLOOKUP(41,Suvaha_BO!A:F,4,0)),0,VLOOKUP(41,Suvaha_BO!A:F,4,0))</f>
        <v>0</v>
      </c>
      <c r="C9" s="14">
        <f>IF(ISERROR(VLOOKUP(51,Suvaha_BO!A:F,4,0)),0,VLOOKUP(51,Suvaha_BO!A:F,4,0))</f>
        <v>3035</v>
      </c>
      <c r="D9" s="14">
        <f>IF(ISERROR(VLOOKUP(61,Suvaha_BO!A:F,4,0)),0,VLOOKUP(61,Suvaha_BO!A:F,4,0))</f>
        <v>0</v>
      </c>
      <c r="E9" s="14">
        <f>IF(ISERROR(VLOOKUP(71,Suvaha_BO!A:F,4,0)),0,VLOOKUP(71,Suvaha_BO!A:F,4,0))</f>
        <v>0</v>
      </c>
      <c r="F9" s="14">
        <f>IF(ISERROR(VLOOKUP(81,Suvaha_BO!A:F,4,0)),0,VLOOKUP(81,Suvaha_BO!A:F,4,0))</f>
        <v>0</v>
      </c>
      <c r="G9" s="14">
        <f>IF(ISERROR(VLOOKUP(91,Suvaha_BO!A:F,4,0)),0,VLOOKUP(91,Suvaha_BO!A:F,4,0))</f>
        <v>0</v>
      </c>
      <c r="H9" s="14">
        <f>IF(ISERROR(VLOOKUP(101,Suvaha_BO!A:F,4,0)),0,VLOOKUP(101,Suvaha_BO!A:F,4,0))</f>
        <v>0</v>
      </c>
      <c r="I9" s="14">
        <f>B9+C9+D9+E9+F9+G9+H9</f>
        <v>3035</v>
      </c>
    </row>
    <row r="10" spans="1:17" ht="15.9" customHeight="1" x14ac:dyDescent="0.3">
      <c r="A10" s="4" t="s">
        <v>197</v>
      </c>
      <c r="B10" s="14">
        <f>IF(ISERROR(VLOOKUP(41,Suvaha_BO!A:F,5,0)),0,VLOOKUP(41,Suvaha_BO!A:F,5,0))</f>
        <v>0</v>
      </c>
      <c r="C10" s="14">
        <f>IF(ISERROR(VLOOKUP(51,Suvaha_BO!A:F,5,0)),0,VLOOKUP(51,Suvaha_BO!A:F,5,0))</f>
        <v>0</v>
      </c>
      <c r="D10" s="14">
        <f>IF(ISERROR(VLOOKUP(61,Suvaha_BO!A:F,5,0)),0,VLOOKUP(61,Suvaha_BO!A:F,5,0))</f>
        <v>0</v>
      </c>
      <c r="E10" s="14">
        <f>IF(ISERROR(VLOOKUP(71,Suvaha_BO!A:F,5,0)),0,VLOOKUP(71,Suvaha_BO!A:F,5,0))</f>
        <v>0</v>
      </c>
      <c r="F10" s="14">
        <f>IF(ISERROR(VLOOKUP(81,Suvaha_BO!A:F,5,0)),0,VLOOKUP(81,Suvaha_BO!A:F,5,0))</f>
        <v>0</v>
      </c>
      <c r="G10" s="14">
        <f>IF(ISERROR(VLOOKUP(91,Suvaha_BO!A:F,5,0)),0,VLOOKUP(91,Suvaha_BO!A:F,5,0))</f>
        <v>0</v>
      </c>
      <c r="H10" s="14">
        <f>IF(ISERROR(VLOOKUP(101,Suvaha_BO!A:F,5,0)),0,VLOOKUP(101,Suvaha_BO!A:F,5,0))</f>
        <v>0</v>
      </c>
      <c r="I10" s="14">
        <f>B10+C10+D10+E10+F10+G10+H10</f>
        <v>0</v>
      </c>
    </row>
    <row r="11" spans="1:17" ht="15.9" customHeight="1" x14ac:dyDescent="0.3">
      <c r="A11" s="4" t="s">
        <v>484</v>
      </c>
      <c r="B11" s="14">
        <f>IF(ISERROR(VLOOKUP(41,Suvaha_BO!A:F,6,0)),0,VLOOKUP(41,Suvaha_BO!A:F,6,0))</f>
        <v>0</v>
      </c>
      <c r="C11" s="14">
        <f>IF(ISERROR(VLOOKUP(51,Suvaha_BO!A:F,6,0)),0,VLOOKUP(51,Suvaha_BO!A:F,6,0))</f>
        <v>0</v>
      </c>
      <c r="D11" s="14">
        <f>IF(ISERROR(VLOOKUP(61,Suvaha_BO!A:F,6,0)),0,VLOOKUP(61,Suvaha_BO!A:F,6,0))</f>
        <v>0</v>
      </c>
      <c r="E11" s="14">
        <f>IF(ISERROR(VLOOKUP(71,Suvaha_BO!A:F,6,0)),0,VLOOKUP(71,Suvaha_BO!A:F,6,0))</f>
        <v>0</v>
      </c>
      <c r="F11" s="14">
        <f>IF(ISERROR(VLOOKUP(81,Suvaha_BO!A:F,6,0)),0,VLOOKUP(81,Suvaha_BO!A:F,6,0))</f>
        <v>0</v>
      </c>
      <c r="G11" s="14">
        <f>IF(ISERROR(VLOOKUP(91,Suvaha_BO!A:F,6,0)),0,VLOOKUP(91,Suvaha_BO!A:F,6,0))</f>
        <v>0</v>
      </c>
      <c r="H11" s="14">
        <f>IF(ISERROR(VLOOKUP(101,Suvaha_BO!A:F,6,0)),0,VLOOKUP(101,Suvaha_BO!A:F,6,0))</f>
        <v>0</v>
      </c>
      <c r="I11" s="14">
        <f>B11+C11+D11+E11+F11+G11+H11</f>
        <v>0</v>
      </c>
    </row>
    <row r="12" spans="1:17" ht="15.9" customHeight="1" x14ac:dyDescent="0.3">
      <c r="A12" s="4" t="s">
        <v>990</v>
      </c>
      <c r="B12" s="14"/>
      <c r="C12" s="14"/>
      <c r="D12" s="14"/>
      <c r="E12" s="14"/>
      <c r="F12" s="14"/>
      <c r="G12" s="14"/>
      <c r="H12" s="14"/>
      <c r="I12" s="14">
        <f>B12+C12+D12+E12+F12+G12+H12</f>
        <v>0</v>
      </c>
    </row>
    <row r="13" spans="1:17" ht="26.1" customHeight="1" x14ac:dyDescent="0.3">
      <c r="A13" s="5" t="s">
        <v>1298</v>
      </c>
      <c r="B13" s="14">
        <f t="shared" ref="B13:H13" si="0">B9+B10-B11-B12</f>
        <v>0</v>
      </c>
      <c r="C13" s="14">
        <f t="shared" si="0"/>
        <v>3035</v>
      </c>
      <c r="D13" s="14">
        <f t="shared" si="0"/>
        <v>0</v>
      </c>
      <c r="E13" s="14">
        <f t="shared" si="0"/>
        <v>0</v>
      </c>
      <c r="F13" s="14">
        <f t="shared" si="0"/>
        <v>0</v>
      </c>
      <c r="G13" s="14">
        <f t="shared" si="0"/>
        <v>0</v>
      </c>
      <c r="H13" s="14">
        <f t="shared" si="0"/>
        <v>0</v>
      </c>
      <c r="I13" s="14">
        <f>B13+C13+D13+E13+F13+G13+H13</f>
        <v>3035</v>
      </c>
    </row>
    <row r="14" spans="1:17" ht="15.9" customHeight="1" x14ac:dyDescent="0.3">
      <c r="A14" s="4" t="s">
        <v>302</v>
      </c>
      <c r="B14" s="123"/>
      <c r="C14" s="123"/>
      <c r="D14" s="123"/>
      <c r="E14" s="123"/>
      <c r="F14" s="123"/>
      <c r="G14" s="123"/>
      <c r="H14" s="123"/>
      <c r="I14" s="123"/>
    </row>
    <row r="15" spans="1:17" ht="26.1" customHeight="1" x14ac:dyDescent="0.3">
      <c r="A15" s="5" t="s">
        <v>400</v>
      </c>
      <c r="B15" s="14">
        <f>IF(ISERROR(VLOOKUP(42,Suvaha_BO!A:F,4,0)),0,VLOOKUP(42,Suvaha_BO!A:F,4,0))</f>
        <v>0</v>
      </c>
      <c r="C15" s="14">
        <f>IF(ISERROR(VLOOKUP(52,Suvaha_BO!A:F,4,0)),0,VLOOKUP(52,Suvaha_BO!A:F,4,0))</f>
        <v>2129</v>
      </c>
      <c r="D15" s="14">
        <f>IF(ISERROR(VLOOKUP(62,Suvaha_BO!A:F,4,0)),0,VLOOKUP(62,Suvaha_BO!A:F,4,0))</f>
        <v>0</v>
      </c>
      <c r="E15" s="14">
        <f>IF(ISERROR(VLOOKUP(72,Suvaha_BO!A:F,4,0)),0,VLOOKUP(72,Suvaha_BO!A:F,4,0))</f>
        <v>0</v>
      </c>
      <c r="F15" s="14">
        <f>IF(ISERROR(VLOOKUP(82,Suvaha_BO!A:F,4,0)),0,VLOOKUP(82,Suvaha_BO!A:F,4,0))</f>
        <v>0</v>
      </c>
      <c r="G15" s="14"/>
      <c r="H15" s="14"/>
      <c r="I15" s="14">
        <f>B15+C15+D15+E15+F15+G15+H15</f>
        <v>2129</v>
      </c>
    </row>
    <row r="16" spans="1:17" ht="15.9" customHeight="1" x14ac:dyDescent="0.3">
      <c r="A16" s="4" t="s">
        <v>197</v>
      </c>
      <c r="B16" s="14">
        <f>IF(ISERROR(VLOOKUP(42,Suvaha_BO!A:F,6,0)),0,VLOOKUP(42,Suvaha_BO!A:F,6,0))</f>
        <v>0</v>
      </c>
      <c r="C16" s="14">
        <f>IF(ISERROR(VLOOKUP(52,Suvaha_BO!A:F,6,0)),0,VLOOKUP(52,Suvaha_BO!A:F,6,0))</f>
        <v>760</v>
      </c>
      <c r="D16" s="14">
        <f>IF(ISERROR(VLOOKUP(62,Suvaha_BO!A:F,6,0)),0,VLOOKUP(62,Suvaha_BO!A:F,6,0))</f>
        <v>0</v>
      </c>
      <c r="E16" s="14">
        <f>IF(ISERROR(VLOOKUP(72,Suvaha_BO!A:F,6,0)),0,VLOOKUP(72,Suvaha_BO!A:F,6,0))</f>
        <v>0</v>
      </c>
      <c r="F16" s="14">
        <f>IF(ISERROR(VLOOKUP(82,Suvaha_BO!A:F,6,0)),0,VLOOKUP(82,Suvaha_BO!A:F,6,0))</f>
        <v>0</v>
      </c>
      <c r="G16" s="14"/>
      <c r="H16" s="14"/>
      <c r="I16" s="14">
        <f>B16+C16+D16+E16+F16+G16+H16</f>
        <v>760</v>
      </c>
    </row>
    <row r="17" spans="1:9" ht="15.9" customHeight="1" x14ac:dyDescent="0.3">
      <c r="A17" s="4" t="s">
        <v>484</v>
      </c>
      <c r="B17" s="14">
        <f>IF(ISERROR(VLOOKUP(42,Suvaha_BO!A:F,5,0)),0,VLOOKUP(42,Suvaha_BO!A:F,5,0))</f>
        <v>0</v>
      </c>
      <c r="C17" s="14">
        <f>IF(ISERROR(VLOOKUP(52,Suvaha_BO!A:F,5,0)),0,VLOOKUP(52,Suvaha_BO!A:F,5,0))</f>
        <v>0</v>
      </c>
      <c r="D17" s="14">
        <f>IF(ISERROR(VLOOKUP(62,Suvaha_BO!A:F,5,0)),0,VLOOKUP(62,Suvaha_BO!A:F,5,0))</f>
        <v>0</v>
      </c>
      <c r="E17" s="14">
        <f>IF(ISERROR(VLOOKUP(72,Suvaha_BO!A:F,5,0)),0,VLOOKUP(72,Suvaha_BO!A:F,5,0))</f>
        <v>0</v>
      </c>
      <c r="F17" s="14">
        <f>IF(ISERROR(VLOOKUP(82,Suvaha_BO!A:F,5,0)),0,VLOOKUP(82,Suvaha_BO!A:F,5,0))</f>
        <v>0</v>
      </c>
      <c r="G17" s="14"/>
      <c r="H17" s="14"/>
      <c r="I17" s="14">
        <f>B17+C17+D17+E17+F17+G17+H17</f>
        <v>0</v>
      </c>
    </row>
    <row r="18" spans="1:9" ht="26.1" customHeight="1" x14ac:dyDescent="0.3">
      <c r="A18" s="5" t="s">
        <v>1298</v>
      </c>
      <c r="B18" s="14">
        <f>B15+B16-B17</f>
        <v>0</v>
      </c>
      <c r="C18" s="14">
        <f>C15+C16-C17</f>
        <v>2889</v>
      </c>
      <c r="D18" s="14">
        <f>D15+D16-D17</f>
        <v>0</v>
      </c>
      <c r="E18" s="14">
        <f>E15+E16-E17</f>
        <v>0</v>
      </c>
      <c r="F18" s="14">
        <f>F15+F16-F17</f>
        <v>0</v>
      </c>
      <c r="G18" s="14"/>
      <c r="H18" s="14"/>
      <c r="I18" s="14">
        <f>B18+C18+D18+E18+F18+G18+H18</f>
        <v>2889</v>
      </c>
    </row>
    <row r="19" spans="1:9" ht="15.9" customHeight="1" x14ac:dyDescent="0.3">
      <c r="A19" s="4" t="s">
        <v>1266</v>
      </c>
      <c r="B19" s="123"/>
      <c r="C19" s="123"/>
      <c r="D19" s="123"/>
      <c r="E19" s="123"/>
      <c r="F19" s="123"/>
      <c r="G19" s="123"/>
      <c r="H19" s="123"/>
      <c r="I19" s="123"/>
    </row>
    <row r="20" spans="1:9" ht="26.1" customHeight="1" x14ac:dyDescent="0.3">
      <c r="A20" s="5" t="s">
        <v>400</v>
      </c>
      <c r="B20" s="14">
        <f>IF(ISERROR(VLOOKUP(43,Suvaha_BO!A:F,4,0)),0,VLOOKUP(43,Suvaha_BO!A:F,4,0))</f>
        <v>0</v>
      </c>
      <c r="C20" s="14">
        <f>IF(ISERROR(VLOOKUP(53,Suvaha_BO!A:F,4,0)),0,VLOOKUP(53,Suvaha_BO!A:F,4,0))</f>
        <v>0</v>
      </c>
      <c r="D20" s="14">
        <f>IF(ISERROR(VLOOKUP(63,Suvaha_BO!A:F,4,0)),0,VLOOKUP(63,Suvaha_BO!A:F,4,0))</f>
        <v>0</v>
      </c>
      <c r="E20" s="14">
        <f>IF(ISERROR(VLOOKUP(73,Suvaha_BO!A:F,4,0)),0,VLOOKUP(73,Suvaha_BO!A:F,4,0))</f>
        <v>0</v>
      </c>
      <c r="F20" s="14">
        <f>IF(ISERROR(VLOOKUP(83,Suvaha_BO!A:F,4,0)),0,VLOOKUP(83,Suvaha_BO!A:F,4,0))</f>
        <v>0</v>
      </c>
      <c r="G20" s="14">
        <f>IF(ISERROR(VLOOKUP(92,Suvaha_BO!A:F,4,0)),0,VLOOKUP(92,Suvaha_BO!A:F,4,0))</f>
        <v>0</v>
      </c>
      <c r="H20" s="14">
        <f>IF(ISERROR(VLOOKUP(102,Suvaha_BO!A:F,4,0)),0,VLOOKUP(102,Suvaha_BO!A:F,4,0))</f>
        <v>0</v>
      </c>
      <c r="I20" s="14">
        <f>B20+C20+D20+E20+F20+G20+H20</f>
        <v>0</v>
      </c>
    </row>
    <row r="21" spans="1:9" ht="15.9" customHeight="1" x14ac:dyDescent="0.3">
      <c r="A21" s="4" t="s">
        <v>197</v>
      </c>
      <c r="B21" s="14">
        <f>IF(ISERROR(VLOOKUP(43,Suvaha_BO!A:F,6,0)),0,VLOOKUP(43,Suvaha_BO!A:F,6,0))</f>
        <v>0</v>
      </c>
      <c r="C21" s="14">
        <f>IF(ISERROR(VLOOKUP(53,Suvaha_BO!A:F,6,0)),0,VLOOKUP(53,Suvaha_BO!A:F,6,0))</f>
        <v>0</v>
      </c>
      <c r="D21" s="14">
        <f>IF(ISERROR(VLOOKUP(63,Suvaha_BO!A:F,6,0)),0,VLOOKUP(63,Suvaha_BO!A:F,6,0))</f>
        <v>0</v>
      </c>
      <c r="E21" s="14">
        <f>IF(ISERROR(VLOOKUP(73,Suvaha_BO!A:F,6,0)),0,VLOOKUP(73,Suvaha_BO!A:F,6,0))</f>
        <v>0</v>
      </c>
      <c r="F21" s="14">
        <f>IF(ISERROR(VLOOKUP(83,Suvaha_BO!A:F,6,0)),0,VLOOKUP(83,Suvaha_BO!A:F,6,0))</f>
        <v>0</v>
      </c>
      <c r="G21" s="14">
        <f>IF(ISERROR(VLOOKUP(92,Suvaha_BO!A:F,6,0)),0,VLOOKUP(92,Suvaha_BO!A:F,6,0))</f>
        <v>0</v>
      </c>
      <c r="H21" s="14">
        <f>IF(ISERROR(VLOOKUP(102,Suvaha_BO!A:F,6,0)),0,VLOOKUP(102,Suvaha_BO!A:F,6,0))</f>
        <v>0</v>
      </c>
      <c r="I21" s="14">
        <f>B21+C21+D21+E21+F21+G21+H21</f>
        <v>0</v>
      </c>
    </row>
    <row r="22" spans="1:9" ht="15.9" customHeight="1" x14ac:dyDescent="0.3">
      <c r="A22" s="4" t="s">
        <v>484</v>
      </c>
      <c r="B22" s="14">
        <f>IF(ISERROR(VLOOKUP(43,Suvaha_BO!A:F,5,0)),0,VLOOKUP(43,Suvaha_BO!A:F,5,0))</f>
        <v>0</v>
      </c>
      <c r="C22" s="14">
        <f>IF(ISERROR(VLOOKUP(53,Suvaha_BO!A:F,5,0)),0,VLOOKUP(53,Suvaha_BO!A:F,5,0))</f>
        <v>0</v>
      </c>
      <c r="D22" s="14">
        <f>IF(ISERROR(VLOOKUP(63,Suvaha_BO!A:F,5,0)),0,VLOOKUP(63,Suvaha_BO!A:F,5,0))</f>
        <v>0</v>
      </c>
      <c r="E22" s="14">
        <f>IF(ISERROR(VLOOKUP(73,Suvaha_BO!A:F,5,0)),0,VLOOKUP(73,Suvaha_BO!A:F,5,0))</f>
        <v>0</v>
      </c>
      <c r="F22" s="14">
        <f>IF(ISERROR(VLOOKUP(83,Suvaha_BO!A:F,5,0)),0,VLOOKUP(83,Suvaha_BO!A:F,5,0))</f>
        <v>0</v>
      </c>
      <c r="G22" s="14">
        <f>IF(ISERROR(VLOOKUP(92,Suvaha_BO!A:F,5,0)),0,VLOOKUP(92,Suvaha_BO!A:F,5,0))</f>
        <v>0</v>
      </c>
      <c r="H22" s="14">
        <f>IF(ISERROR(VLOOKUP(102,Suvaha_BO!A:F,5,0)),0,VLOOKUP(102,Suvaha_BO!A:F,5,0))</f>
        <v>0</v>
      </c>
      <c r="I22" s="14">
        <f>B22+C22+D22+E22+F22+G22+H22</f>
        <v>0</v>
      </c>
    </row>
    <row r="23" spans="1:9" ht="26.1" customHeight="1" x14ac:dyDescent="0.3">
      <c r="A23" s="5" t="s">
        <v>1298</v>
      </c>
      <c r="B23" s="14">
        <f t="shared" ref="B23:H23" si="1">B20+B21-B22</f>
        <v>0</v>
      </c>
      <c r="C23" s="14">
        <f t="shared" si="1"/>
        <v>0</v>
      </c>
      <c r="D23" s="14">
        <f t="shared" si="1"/>
        <v>0</v>
      </c>
      <c r="E23" s="14">
        <f t="shared" si="1"/>
        <v>0</v>
      </c>
      <c r="F23" s="14">
        <f t="shared" si="1"/>
        <v>0</v>
      </c>
      <c r="G23" s="14">
        <f t="shared" si="1"/>
        <v>0</v>
      </c>
      <c r="H23" s="14">
        <f t="shared" si="1"/>
        <v>0</v>
      </c>
      <c r="I23" s="14">
        <f>B23+C23+D23+E23+F23+G23+H23</f>
        <v>0</v>
      </c>
    </row>
    <row r="24" spans="1:9" ht="15.9" customHeight="1" x14ac:dyDescent="0.3">
      <c r="A24" s="4" t="s">
        <v>1021</v>
      </c>
      <c r="B24" s="123"/>
      <c r="C24" s="123"/>
      <c r="D24" s="123"/>
      <c r="E24" s="123"/>
      <c r="F24" s="123"/>
      <c r="G24" s="123"/>
      <c r="H24" s="123"/>
      <c r="I24" s="123"/>
    </row>
    <row r="25" spans="1:9" ht="26.1" customHeight="1" x14ac:dyDescent="0.3">
      <c r="A25" s="5" t="s">
        <v>400</v>
      </c>
      <c r="B25" s="14">
        <f t="shared" ref="B25:H25" si="2">B9-B15-B20</f>
        <v>0</v>
      </c>
      <c r="C25" s="14">
        <f t="shared" si="2"/>
        <v>906</v>
      </c>
      <c r="D25" s="14">
        <f t="shared" si="2"/>
        <v>0</v>
      </c>
      <c r="E25" s="14">
        <f t="shared" si="2"/>
        <v>0</v>
      </c>
      <c r="F25" s="14">
        <f t="shared" si="2"/>
        <v>0</v>
      </c>
      <c r="G25" s="14">
        <f t="shared" si="2"/>
        <v>0</v>
      </c>
      <c r="H25" s="14">
        <f t="shared" si="2"/>
        <v>0</v>
      </c>
      <c r="I25" s="14">
        <f>B25+C25+D25+E25+F25+G25+H25</f>
        <v>906</v>
      </c>
    </row>
    <row r="26" spans="1:9" ht="26.1" customHeight="1" x14ac:dyDescent="0.3">
      <c r="A26" s="5" t="s">
        <v>1298</v>
      </c>
      <c r="B26" s="14">
        <f t="shared" ref="B26:H26" si="3">B13-B18-B23</f>
        <v>0</v>
      </c>
      <c r="C26" s="14">
        <f t="shared" si="3"/>
        <v>146</v>
      </c>
      <c r="D26" s="14">
        <f t="shared" si="3"/>
        <v>0</v>
      </c>
      <c r="E26" s="14">
        <f t="shared" si="3"/>
        <v>0</v>
      </c>
      <c r="F26" s="14">
        <f t="shared" si="3"/>
        <v>0</v>
      </c>
      <c r="G26" s="14">
        <f t="shared" si="3"/>
        <v>0</v>
      </c>
      <c r="H26" s="14">
        <f t="shared" si="3"/>
        <v>0</v>
      </c>
      <c r="I26" s="14">
        <f>B26+C26+D26+E26+F26+G26+H26</f>
        <v>146</v>
      </c>
    </row>
    <row r="43" spans="1:9" x14ac:dyDescent="0.3">
      <c r="A43" s="216" t="s">
        <v>305</v>
      </c>
      <c r="B43" s="215" t="s">
        <v>430</v>
      </c>
      <c r="C43" s="215"/>
      <c r="D43" s="215"/>
      <c r="E43" s="215"/>
      <c r="F43" s="215"/>
      <c r="G43" s="215"/>
      <c r="H43" s="215"/>
      <c r="I43" s="215"/>
    </row>
    <row r="44" spans="1:9" ht="36" x14ac:dyDescent="0.3">
      <c r="A44" s="217"/>
      <c r="B44" s="7" t="s">
        <v>201</v>
      </c>
      <c r="C44" s="7" t="s">
        <v>480</v>
      </c>
      <c r="D44" s="7" t="s">
        <v>258</v>
      </c>
      <c r="E44" s="7" t="s">
        <v>354</v>
      </c>
      <c r="F44" s="7" t="s">
        <v>242</v>
      </c>
      <c r="G44" s="7" t="s">
        <v>166</v>
      </c>
      <c r="H44" s="7" t="s">
        <v>446</v>
      </c>
      <c r="I44" s="7" t="s">
        <v>518</v>
      </c>
    </row>
    <row r="45" spans="1:9" x14ac:dyDescent="0.3">
      <c r="A45" s="53" t="s">
        <v>1001</v>
      </c>
      <c r="B45" s="53" t="s">
        <v>28</v>
      </c>
      <c r="C45" s="53" t="s">
        <v>788</v>
      </c>
      <c r="D45" s="53" t="s">
        <v>296</v>
      </c>
      <c r="E45" s="53" t="s">
        <v>889</v>
      </c>
      <c r="F45" s="53" t="s">
        <v>191</v>
      </c>
      <c r="G45" s="53" t="s">
        <v>747</v>
      </c>
      <c r="H45" s="53" t="s">
        <v>139</v>
      </c>
      <c r="I45" s="53" t="s">
        <v>778</v>
      </c>
    </row>
    <row r="46" spans="1:9" x14ac:dyDescent="0.3">
      <c r="A46" s="52" t="s">
        <v>437</v>
      </c>
      <c r="B46" s="152"/>
      <c r="C46" s="152"/>
      <c r="D46" s="152"/>
      <c r="E46" s="152"/>
      <c r="F46" s="152"/>
      <c r="G46" s="152"/>
      <c r="H46" s="152"/>
      <c r="I46" s="152"/>
    </row>
    <row r="47" spans="1:9" ht="24.6" x14ac:dyDescent="0.3">
      <c r="A47" s="5" t="s">
        <v>400</v>
      </c>
      <c r="B47" s="14">
        <f>IF(ISERROR(VLOOKUP(41,Suvaha_PO!A:F,4,0)),0,VLOOKUP(41,Suvaha_PO!A:F,4,0))</f>
        <v>0</v>
      </c>
      <c r="C47" s="14">
        <f>IF(ISERROR(VLOOKUP(51,Suvaha_PO!A:F,4,0)),0,VLOOKUP(51,Suvaha_PO!A:F,4,0))</f>
        <v>3035</v>
      </c>
      <c r="D47" s="14">
        <f>IF(ISERROR(VLOOKUP(61,Suvaha_PO!A:F,4,0)),0,VLOOKUP(61,Suvaha_PO!A:F,4,0))</f>
        <v>0</v>
      </c>
      <c r="E47" s="14">
        <f>IF(ISERROR(VLOOKUP(71,Suvaha_PO!A:F,4,0)),0,VLOOKUP(71,Suvaha_PO!A:F,4,0))</f>
        <v>0</v>
      </c>
      <c r="F47" s="14">
        <f>IF(ISERROR(VLOOKUP(81,Suvaha_PO!A:F,4,0)),0,VLOOKUP(81,Suvaha_PO!A:F,4,0))</f>
        <v>0</v>
      </c>
      <c r="G47" s="14">
        <f>IF(ISERROR(VLOOKUP(91,Suvaha_PO!A:F,4,0)),0,VLOOKUP(91,Suvaha_PO!A:F,4,0))</f>
        <v>0</v>
      </c>
      <c r="H47" s="14">
        <f>IF(ISERROR(VLOOKUP(101,Suvaha_PO!A:F,4,0)),0,VLOOKUP(101,Suvaha_PO!A:F,4,0))</f>
        <v>0</v>
      </c>
      <c r="I47" s="14">
        <f>B47+C47+D47+E47+F47+G47+H47</f>
        <v>3035</v>
      </c>
    </row>
    <row r="48" spans="1:9" x14ac:dyDescent="0.3">
      <c r="A48" s="4" t="s">
        <v>197</v>
      </c>
      <c r="B48" s="14">
        <f>IF(ISERROR(VLOOKUP(41,Suvaha_PO!A:F,5,0)),0,VLOOKUP(41,Suvaha_PO!A:F,5,0))</f>
        <v>0</v>
      </c>
      <c r="C48" s="14">
        <f>IF(ISERROR(VLOOKUP(51,Suvaha_PO!A:F,5,0)),0,VLOOKUP(51,Suvaha_PO!A:F,5,0))</f>
        <v>0</v>
      </c>
      <c r="D48" s="14">
        <f>IF(ISERROR(VLOOKUP(61,Suvaha_PO!A:F,5,0)),0,VLOOKUP(61,Suvaha_PO!A:F,5,0))</f>
        <v>0</v>
      </c>
      <c r="E48" s="14">
        <f>IF(ISERROR(VLOOKUP(71,Suvaha_PO!A:F,5,0)),0,VLOOKUP(71,Suvaha_PO!A:F,5,0))</f>
        <v>0</v>
      </c>
      <c r="F48" s="14">
        <f>IF(ISERROR(VLOOKUP(81,Suvaha_PO!A:F,5,0)),0,VLOOKUP(81,Suvaha_PO!A:F,5,0))</f>
        <v>0</v>
      </c>
      <c r="G48" s="14">
        <f>IF(ISERROR(VLOOKUP(91,Suvaha_PO!A:F,5,0)),0,VLOOKUP(91,Suvaha_PO!A:F,5,0))</f>
        <v>0</v>
      </c>
      <c r="H48" s="14">
        <f>IF(ISERROR(VLOOKUP(101,Suvaha_PO!A:F,5,0)),0,VLOOKUP(101,Suvaha_PO!A:F,5,0))</f>
        <v>0</v>
      </c>
      <c r="I48" s="14">
        <f>B48+C48+D48+E48+F48+G48+H48</f>
        <v>0</v>
      </c>
    </row>
    <row r="49" spans="1:9" x14ac:dyDescent="0.3">
      <c r="A49" s="4" t="s">
        <v>484</v>
      </c>
      <c r="B49" s="14">
        <f>IF(ISERROR(VLOOKUP(41,Suvaha_PO!A:F,6,0)),0,VLOOKUP(41,Suvaha_PO!A:F,6,0))</f>
        <v>0</v>
      </c>
      <c r="C49" s="14">
        <f>IF(ISERROR(VLOOKUP(51,Suvaha_PO!A:F,6,0)),0,VLOOKUP(51,Suvaha_PO!A:F,6,0))</f>
        <v>0</v>
      </c>
      <c r="D49" s="14">
        <f>IF(ISERROR(VLOOKUP(61,Suvaha_PO!A:F,6,0)),0,VLOOKUP(61,Suvaha_PO!A:F,6,0))</f>
        <v>0</v>
      </c>
      <c r="E49" s="14">
        <f>IF(ISERROR(VLOOKUP(71,Suvaha_PO!A:F,6,0)),0,VLOOKUP(71,Suvaha_PO!A:F,6,0))</f>
        <v>0</v>
      </c>
      <c r="F49" s="14">
        <f>IF(ISERROR(VLOOKUP(81,Suvaha_PO!A:F,6,0)),0,VLOOKUP(81,Suvaha_PO!A:F,6,0))</f>
        <v>0</v>
      </c>
      <c r="G49" s="14">
        <f>IF(ISERROR(VLOOKUP(91,Suvaha_PO!A:F,6,0)),0,VLOOKUP(91,Suvaha_PO!A:F,6,0))</f>
        <v>0</v>
      </c>
      <c r="H49" s="14">
        <f>IF(ISERROR(VLOOKUP(101,Suvaha_PO!A:F,6,0)),0,VLOOKUP(101,Suvaha_PO!A:F,6,0))</f>
        <v>0</v>
      </c>
      <c r="I49" s="14">
        <f>B49+C49+D49+E49+F49+G49+H49</f>
        <v>0</v>
      </c>
    </row>
    <row r="50" spans="1:9" x14ac:dyDescent="0.3">
      <c r="A50" s="4" t="s">
        <v>990</v>
      </c>
      <c r="B50" s="14"/>
      <c r="C50" s="14"/>
      <c r="D50" s="14"/>
      <c r="E50" s="14"/>
      <c r="F50" s="14"/>
      <c r="G50" s="14"/>
      <c r="H50" s="14"/>
      <c r="I50" s="14">
        <f>B50+C50+D50+E50+F50+G50+H50</f>
        <v>0</v>
      </c>
    </row>
    <row r="51" spans="1:9" ht="24.6" x14ac:dyDescent="0.3">
      <c r="A51" s="5" t="s">
        <v>1298</v>
      </c>
      <c r="B51" s="14">
        <f t="shared" ref="B51:H51" si="4">B47+B48-B49-B50</f>
        <v>0</v>
      </c>
      <c r="C51" s="14">
        <f t="shared" si="4"/>
        <v>3035</v>
      </c>
      <c r="D51" s="14">
        <f t="shared" si="4"/>
        <v>0</v>
      </c>
      <c r="E51" s="14">
        <f t="shared" si="4"/>
        <v>0</v>
      </c>
      <c r="F51" s="14">
        <f t="shared" si="4"/>
        <v>0</v>
      </c>
      <c r="G51" s="14">
        <f t="shared" si="4"/>
        <v>0</v>
      </c>
      <c r="H51" s="14">
        <f t="shared" si="4"/>
        <v>0</v>
      </c>
      <c r="I51" s="14">
        <f>B51+C51+D51+E51+F51+G51+H51</f>
        <v>3035</v>
      </c>
    </row>
    <row r="52" spans="1:9" x14ac:dyDescent="0.3">
      <c r="A52" s="4" t="s">
        <v>302</v>
      </c>
      <c r="B52" s="123"/>
      <c r="C52" s="123"/>
      <c r="D52" s="123"/>
      <c r="E52" s="123"/>
      <c r="F52" s="123"/>
      <c r="G52" s="123"/>
      <c r="H52" s="123"/>
      <c r="I52" s="123"/>
    </row>
    <row r="53" spans="1:9" ht="24.6" x14ac:dyDescent="0.3">
      <c r="A53" s="5" t="s">
        <v>400</v>
      </c>
      <c r="B53" s="14">
        <f>IF(ISERROR(VLOOKUP(42,Suvaha_PO!A:F,4,0)),0,VLOOKUP(42,Suvaha_PO!A:F,4,0))</f>
        <v>0</v>
      </c>
      <c r="C53" s="14">
        <f>IF(ISERROR(VLOOKUP(52,Suvaha_PO!A:F,4,0)),0,VLOOKUP(52,Suvaha_PO!A:F,4,0))</f>
        <v>1369</v>
      </c>
      <c r="D53" s="14">
        <f>IF(ISERROR(VLOOKUP(62,Suvaha_PO!A:F,4,0)),0,VLOOKUP(62,Suvaha_PO!A:F,4,0))</f>
        <v>0</v>
      </c>
      <c r="E53" s="14">
        <f>IF(ISERROR(VLOOKUP(72,Suvaha_PO!A:F,4,0)),0,VLOOKUP(72,Suvaha_PO!A:F,4,0))</f>
        <v>0</v>
      </c>
      <c r="F53" s="14">
        <f>IF(ISERROR(VLOOKUP(82,Suvaha_PO!A:F,4,0)),0,VLOOKUP(82,Suvaha_PO!A:F,4,0))</f>
        <v>0</v>
      </c>
      <c r="G53" s="14"/>
      <c r="H53" s="14"/>
      <c r="I53" s="14">
        <f>B53+C53+D53+E53+F53+G53+H53</f>
        <v>1369</v>
      </c>
    </row>
    <row r="54" spans="1:9" x14ac:dyDescent="0.3">
      <c r="A54" s="4" t="s">
        <v>197</v>
      </c>
      <c r="B54" s="14">
        <f>IF(ISERROR(VLOOKUP(42,Suvaha_PO!A:F,6,0)),0,VLOOKUP(42,Suvaha_PO!A:F,6,0))</f>
        <v>0</v>
      </c>
      <c r="C54" s="14">
        <f>IF(ISERROR(VLOOKUP(52,Suvaha_PO!A:F,6,0)),0,VLOOKUP(52,Suvaha_PO!A:F,6,0))</f>
        <v>760</v>
      </c>
      <c r="D54" s="14">
        <f>IF(ISERROR(VLOOKUP(62,Suvaha_PO!A:F,6,0)),0,VLOOKUP(62,Suvaha_PO!A:F,6,0))</f>
        <v>0</v>
      </c>
      <c r="E54" s="14">
        <f>IF(ISERROR(VLOOKUP(72,Suvaha_PO!A:F,6,0)),0,VLOOKUP(72,Suvaha_PO!A:F,6,0))</f>
        <v>0</v>
      </c>
      <c r="F54" s="14">
        <f>IF(ISERROR(VLOOKUP(82,Suvaha_PO!A:F,6,0)),0,VLOOKUP(82,Suvaha_PO!A:F,6,0))</f>
        <v>0</v>
      </c>
      <c r="G54" s="14"/>
      <c r="H54" s="14"/>
      <c r="I54" s="14">
        <f>B54+C54+D54+E54+F54+G54+H54</f>
        <v>760</v>
      </c>
    </row>
    <row r="55" spans="1:9" x14ac:dyDescent="0.3">
      <c r="A55" s="4" t="s">
        <v>484</v>
      </c>
      <c r="B55" s="14">
        <f>IF(ISERROR(VLOOKUP(42,Suvaha_PO!A:F,5,0)),0,VLOOKUP(42,Suvaha_PO!A:F,5,0))</f>
        <v>0</v>
      </c>
      <c r="C55" s="14">
        <f>IF(ISERROR(VLOOKUP(52,Suvaha_PO!A:F,5,0)),0,VLOOKUP(52,Suvaha_PO!A:F,5,0))</f>
        <v>0</v>
      </c>
      <c r="D55" s="14">
        <f>IF(ISERROR(VLOOKUP(62,Suvaha_PO!A:F,5,0)),0,VLOOKUP(62,Suvaha_PO!A:F,5,0))</f>
        <v>0</v>
      </c>
      <c r="E55" s="14">
        <f>IF(ISERROR(VLOOKUP(72,Suvaha_PO!A:F,5,0)),0,VLOOKUP(72,Suvaha_PO!A:F,5,0))</f>
        <v>0</v>
      </c>
      <c r="F55" s="14">
        <f>IF(ISERROR(VLOOKUP(82,Suvaha_PO!A:F,5,0)),0,VLOOKUP(82,Suvaha_PO!A:F,5,0))</f>
        <v>0</v>
      </c>
      <c r="G55" s="14"/>
      <c r="H55" s="14"/>
      <c r="I55" s="14">
        <f>B55+C55+D55+E55+F55+G55+H55</f>
        <v>0</v>
      </c>
    </row>
    <row r="56" spans="1:9" ht="24.6" x14ac:dyDescent="0.3">
      <c r="A56" s="5" t="s">
        <v>1298</v>
      </c>
      <c r="B56" s="14">
        <f>B53+B54-B55</f>
        <v>0</v>
      </c>
      <c r="C56" s="14">
        <f>C53+C54-C55</f>
        <v>2129</v>
      </c>
      <c r="D56" s="14">
        <f>D53+D54-D55</f>
        <v>0</v>
      </c>
      <c r="E56" s="14">
        <f>E53+E54-E55</f>
        <v>0</v>
      </c>
      <c r="F56" s="14">
        <f>F53+F54-F55</f>
        <v>0</v>
      </c>
      <c r="G56" s="14"/>
      <c r="H56" s="14"/>
      <c r="I56" s="14">
        <f>B56+C56+D56+E56+F56+G56+H56</f>
        <v>2129</v>
      </c>
    </row>
    <row r="57" spans="1:9" x14ac:dyDescent="0.3">
      <c r="A57" s="4" t="s">
        <v>1266</v>
      </c>
      <c r="B57" s="123"/>
      <c r="C57" s="123"/>
      <c r="D57" s="123"/>
      <c r="E57" s="123"/>
      <c r="F57" s="123"/>
      <c r="G57" s="123"/>
      <c r="H57" s="123"/>
      <c r="I57" s="123"/>
    </row>
    <row r="58" spans="1:9" ht="24.6" x14ac:dyDescent="0.3">
      <c r="A58" s="5" t="s">
        <v>400</v>
      </c>
      <c r="B58" s="14">
        <f>IF(ISERROR(VLOOKUP(43,Suvaha_PO!A:F,4,0)),0,VLOOKUP(43,Suvaha_PO!A:F,4,0))</f>
        <v>0</v>
      </c>
      <c r="C58" s="14">
        <f>IF(ISERROR(VLOOKUP(53,Suvaha_PO!A:F,4,0)),0,VLOOKUP(53,Suvaha_PO!A:F,4,0))</f>
        <v>0</v>
      </c>
      <c r="D58" s="14">
        <f>IF(ISERROR(VLOOKUP(63,Suvaha_PO!A:F,4,0)),0,VLOOKUP(63,Suvaha_PO!A:F,4,0))</f>
        <v>0</v>
      </c>
      <c r="E58" s="14">
        <f>IF(ISERROR(VLOOKUP(73,Suvaha_PO!A:F,4,0)),0,VLOOKUP(73,Suvaha_PO!A:F,4,0))</f>
        <v>0</v>
      </c>
      <c r="F58" s="14">
        <f>IF(ISERROR(VLOOKUP(83,Suvaha_PO!A:F,4,0)),0,VLOOKUP(83,Suvaha_PO!A:F,4,0))</f>
        <v>0</v>
      </c>
      <c r="G58" s="14">
        <f>IF(ISERROR(VLOOKUP(92,Suvaha_PO!A:F,4,0)),0,VLOOKUP(92,Suvaha_PO!A:F,4,0))</f>
        <v>0</v>
      </c>
      <c r="H58" s="14">
        <f>IF(ISERROR(VLOOKUP(102,Suvaha_PO!A:F,4,0)),0,VLOOKUP(102,Suvaha_PO!A:F,4,0))</f>
        <v>0</v>
      </c>
      <c r="I58" s="14">
        <f>B58+C58+D58+E58+F58+G58+H58</f>
        <v>0</v>
      </c>
    </row>
    <row r="59" spans="1:9" x14ac:dyDescent="0.3">
      <c r="A59" s="4" t="s">
        <v>197</v>
      </c>
      <c r="B59" s="14">
        <f>IF(ISERROR(VLOOKUP(43,Suvaha_PO!A:F,6,0)),0,VLOOKUP(43,Suvaha_PO!A:F,6,0))</f>
        <v>0</v>
      </c>
      <c r="C59" s="14">
        <f>IF(ISERROR(VLOOKUP(53,Suvaha_PO!A:F,6,0)),0,VLOOKUP(53,Suvaha_PO!A:F,6,0))</f>
        <v>0</v>
      </c>
      <c r="D59" s="14">
        <f>IF(ISERROR(VLOOKUP(63,Suvaha_PO!A:F,6,0)),0,VLOOKUP(63,Suvaha_PO!A:F,6,0))</f>
        <v>0</v>
      </c>
      <c r="E59" s="14">
        <f>IF(ISERROR(VLOOKUP(73,Suvaha_PO!A:F,6,0)),0,VLOOKUP(73,Suvaha_PO!A:F,6,0))</f>
        <v>0</v>
      </c>
      <c r="F59" s="14">
        <f>IF(ISERROR(VLOOKUP(83,Suvaha_PO!A:F,6,0)),0,VLOOKUP(83,Suvaha_PO!A:F,6,0))</f>
        <v>0</v>
      </c>
      <c r="G59" s="14">
        <f>IF(ISERROR(VLOOKUP(92,Suvaha_PO!A:F,6,0)),0,VLOOKUP(92,Suvaha_PO!A:F,6,0))</f>
        <v>0</v>
      </c>
      <c r="H59" s="14">
        <f>IF(ISERROR(VLOOKUP(102,Suvaha_PO!A:F,6,0)),0,VLOOKUP(102,Suvaha_PO!A:F,6,0))</f>
        <v>0</v>
      </c>
      <c r="I59" s="14">
        <f>B59+C59+D59+E59+F59+G59+H59</f>
        <v>0</v>
      </c>
    </row>
    <row r="60" spans="1:9" x14ac:dyDescent="0.3">
      <c r="A60" s="4" t="s">
        <v>484</v>
      </c>
      <c r="B60" s="14">
        <f>IF(ISERROR(VLOOKUP(43,Suvaha_PO!A:F,5,0)),0,VLOOKUP(43,Suvaha_PO!A:F,5,0))</f>
        <v>0</v>
      </c>
      <c r="C60" s="14">
        <f>IF(ISERROR(VLOOKUP(53,Suvaha_PO!A:F,5,0)),0,VLOOKUP(53,Suvaha_PO!A:F,5,0))</f>
        <v>0</v>
      </c>
      <c r="D60" s="14">
        <f>IF(ISERROR(VLOOKUP(63,Suvaha_PO!A:F,5,0)),0,VLOOKUP(63,Suvaha_PO!A:F,5,0))</f>
        <v>0</v>
      </c>
      <c r="E60" s="14">
        <f>IF(ISERROR(VLOOKUP(73,Suvaha_PO!A:F,5,0)),0,VLOOKUP(73,Suvaha_PO!A:F,5,0))</f>
        <v>0</v>
      </c>
      <c r="F60" s="14">
        <f>IF(ISERROR(VLOOKUP(83,Suvaha_PO!A:F,5,0)),0,VLOOKUP(83,Suvaha_PO!A:F,5,0))</f>
        <v>0</v>
      </c>
      <c r="G60" s="14">
        <f>IF(ISERROR(VLOOKUP(92,Suvaha_PO!A:F,5,0)),0,VLOOKUP(92,Suvaha_PO!A:F,5,0))</f>
        <v>0</v>
      </c>
      <c r="H60" s="14">
        <f>IF(ISERROR(VLOOKUP(102,Suvaha_PO!A:F,5,0)),0,VLOOKUP(102,Suvaha_PO!A:F,5,0))</f>
        <v>0</v>
      </c>
      <c r="I60" s="14">
        <f>B60+C60+D60+E60+F60+G60+H60</f>
        <v>0</v>
      </c>
    </row>
    <row r="61" spans="1:9" ht="24.6" x14ac:dyDescent="0.3">
      <c r="A61" s="5" t="s">
        <v>1298</v>
      </c>
      <c r="B61" s="14">
        <f t="shared" ref="B61:H61" si="5">B58+B59-B60</f>
        <v>0</v>
      </c>
      <c r="C61" s="14">
        <f t="shared" si="5"/>
        <v>0</v>
      </c>
      <c r="D61" s="14">
        <f t="shared" si="5"/>
        <v>0</v>
      </c>
      <c r="E61" s="14">
        <f t="shared" si="5"/>
        <v>0</v>
      </c>
      <c r="F61" s="14">
        <f t="shared" si="5"/>
        <v>0</v>
      </c>
      <c r="G61" s="14">
        <f t="shared" si="5"/>
        <v>0</v>
      </c>
      <c r="H61" s="14">
        <f t="shared" si="5"/>
        <v>0</v>
      </c>
      <c r="I61" s="14">
        <f>B61+C61+D61+E61+F61+G61+H61</f>
        <v>0</v>
      </c>
    </row>
    <row r="62" spans="1:9" x14ac:dyDescent="0.3">
      <c r="A62" s="4" t="s">
        <v>1021</v>
      </c>
      <c r="B62" s="123"/>
      <c r="C62" s="123"/>
      <c r="D62" s="123"/>
      <c r="E62" s="123"/>
      <c r="F62" s="123"/>
      <c r="G62" s="123"/>
      <c r="H62" s="123"/>
      <c r="I62" s="123"/>
    </row>
    <row r="63" spans="1:9" ht="24.6" x14ac:dyDescent="0.3">
      <c r="A63" s="5" t="s">
        <v>400</v>
      </c>
      <c r="B63" s="14">
        <f t="shared" ref="B63:H63" si="6">B47-B53-B58</f>
        <v>0</v>
      </c>
      <c r="C63" s="14">
        <f t="shared" si="6"/>
        <v>1666</v>
      </c>
      <c r="D63" s="14">
        <f t="shared" si="6"/>
        <v>0</v>
      </c>
      <c r="E63" s="14">
        <f t="shared" si="6"/>
        <v>0</v>
      </c>
      <c r="F63" s="14">
        <f t="shared" si="6"/>
        <v>0</v>
      </c>
      <c r="G63" s="14">
        <f t="shared" si="6"/>
        <v>0</v>
      </c>
      <c r="H63" s="14">
        <f t="shared" si="6"/>
        <v>0</v>
      </c>
      <c r="I63" s="14">
        <f>B63+C63+D63+E63+F63+G63+H63</f>
        <v>1666</v>
      </c>
    </row>
    <row r="64" spans="1:9" ht="24.6" x14ac:dyDescent="0.3">
      <c r="A64" s="5" t="s">
        <v>1298</v>
      </c>
      <c r="B64" s="14">
        <f t="shared" ref="B64:H64" si="7">B51-B56-B61</f>
        <v>0</v>
      </c>
      <c r="C64" s="14">
        <f t="shared" si="7"/>
        <v>906</v>
      </c>
      <c r="D64" s="14">
        <f t="shared" si="7"/>
        <v>0</v>
      </c>
      <c r="E64" s="14">
        <f t="shared" si="7"/>
        <v>0</v>
      </c>
      <c r="F64" s="14">
        <f t="shared" si="7"/>
        <v>0</v>
      </c>
      <c r="G64" s="14">
        <f t="shared" si="7"/>
        <v>0</v>
      </c>
      <c r="H64" s="14">
        <f t="shared" si="7"/>
        <v>0</v>
      </c>
      <c r="I64" s="14">
        <f>B64+C64+D64+E64+F64+G64+H64</f>
        <v>906</v>
      </c>
    </row>
    <row r="68" ht="15" customHeight="1" x14ac:dyDescent="0.3"/>
    <row r="69" ht="15" customHeight="1" x14ac:dyDescent="0.3"/>
    <row r="70" ht="15" customHeight="1" x14ac:dyDescent="0.3"/>
  </sheetData>
  <mergeCells count="12">
    <mergeCell ref="B57:I57"/>
    <mergeCell ref="B62:I62"/>
    <mergeCell ref="A43:A44"/>
    <mergeCell ref="B43:I43"/>
    <mergeCell ref="B46:I46"/>
    <mergeCell ref="B52:I52"/>
    <mergeCell ref="B24:I24"/>
    <mergeCell ref="B5:I5"/>
    <mergeCell ref="A5:A6"/>
    <mergeCell ref="B8:I8"/>
    <mergeCell ref="B14:I14"/>
    <mergeCell ref="B19:I1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62"/>
  <sheetViews>
    <sheetView view="pageBreakPreview" topLeftCell="A5" zoomScale="77" zoomScaleNormal="100" zoomScaleSheetLayoutView="77" workbookViewId="0">
      <selection activeCell="D22" sqref="D22"/>
    </sheetView>
  </sheetViews>
  <sheetFormatPr defaultColWidth="9.109375" defaultRowHeight="14.4" x14ac:dyDescent="0.3"/>
  <cols>
    <col min="1" max="1" width="16" style="11" customWidth="1"/>
    <col min="2" max="10" width="7.88671875" style="11" customWidth="1"/>
    <col min="11" max="18" width="9.109375" style="8" customWidth="1"/>
    <col min="19" max="16384" width="9.109375" style="11"/>
  </cols>
  <sheetData>
    <row r="1" spans="1:18" x14ac:dyDescent="0.3">
      <c r="B1" s="3"/>
    </row>
    <row r="2" spans="1:18" ht="15.6" x14ac:dyDescent="0.3">
      <c r="A2" s="12" t="s">
        <v>1235</v>
      </c>
    </row>
    <row r="4" spans="1:18" s="2" customFormat="1" x14ac:dyDescent="0.3">
      <c r="A4" s="216" t="s">
        <v>239</v>
      </c>
      <c r="B4" s="215" t="s">
        <v>405</v>
      </c>
      <c r="C4" s="215"/>
      <c r="D4" s="215"/>
      <c r="E4" s="215"/>
      <c r="F4" s="215"/>
      <c r="G4" s="215"/>
      <c r="H4" s="215"/>
      <c r="I4" s="215"/>
      <c r="J4" s="215"/>
      <c r="K4" s="9"/>
      <c r="L4" s="9"/>
      <c r="M4" s="9"/>
      <c r="N4" s="9"/>
      <c r="O4" s="9"/>
      <c r="P4" s="9"/>
      <c r="Q4" s="9"/>
      <c r="R4" s="9"/>
    </row>
    <row r="5" spans="1:18" s="1" customFormat="1" ht="74.25" customHeight="1" x14ac:dyDescent="0.3">
      <c r="A5" s="217"/>
      <c r="B5" s="7" t="s">
        <v>527</v>
      </c>
      <c r="C5" s="7" t="s">
        <v>294</v>
      </c>
      <c r="D5" s="7" t="s">
        <v>220</v>
      </c>
      <c r="E5" s="7" t="s">
        <v>171</v>
      </c>
      <c r="F5" s="7" t="s">
        <v>833</v>
      </c>
      <c r="G5" s="7" t="s">
        <v>872</v>
      </c>
      <c r="H5" s="7" t="s">
        <v>839</v>
      </c>
      <c r="I5" s="7" t="s">
        <v>738</v>
      </c>
      <c r="J5" s="7" t="s">
        <v>518</v>
      </c>
      <c r="K5" s="10"/>
      <c r="L5" s="10"/>
      <c r="M5" s="10"/>
      <c r="N5" s="10"/>
      <c r="O5" s="10"/>
      <c r="P5" s="10"/>
      <c r="Q5" s="10"/>
      <c r="R5" s="10"/>
    </row>
    <row r="6" spans="1:18" x14ac:dyDescent="0.3">
      <c r="A6" s="53" t="s">
        <v>1001</v>
      </c>
      <c r="B6" s="53" t="s">
        <v>28</v>
      </c>
      <c r="C6" s="53" t="s">
        <v>788</v>
      </c>
      <c r="D6" s="53" t="s">
        <v>296</v>
      </c>
      <c r="E6" s="53" t="s">
        <v>889</v>
      </c>
      <c r="F6" s="53" t="s">
        <v>191</v>
      </c>
      <c r="G6" s="53" t="s">
        <v>747</v>
      </c>
      <c r="H6" s="53" t="s">
        <v>139</v>
      </c>
      <c r="I6" s="53" t="s">
        <v>778</v>
      </c>
      <c r="J6" s="53" t="s">
        <v>303</v>
      </c>
    </row>
    <row r="7" spans="1:18" ht="15.9" customHeight="1" x14ac:dyDescent="0.3">
      <c r="A7" s="52" t="s">
        <v>437</v>
      </c>
      <c r="B7" s="152"/>
      <c r="C7" s="152"/>
      <c r="D7" s="152"/>
      <c r="E7" s="152"/>
      <c r="F7" s="152"/>
      <c r="G7" s="152"/>
      <c r="H7" s="152"/>
      <c r="I7" s="152"/>
      <c r="J7" s="152"/>
    </row>
    <row r="8" spans="1:18" ht="26.1" customHeight="1" x14ac:dyDescent="0.3">
      <c r="A8" s="5" t="s">
        <v>400</v>
      </c>
      <c r="B8" s="14">
        <f>IF(ISERROR(VLOOKUP(121,Suvaha_BO!A:F,4,0)),0,VLOOKUP(121,Suvaha_BO!A:F,4,0))</f>
        <v>764000</v>
      </c>
      <c r="C8" s="14">
        <f>IF(ISERROR(VLOOKUP(131,Suvaha_BO!A:F,4,0)),0,VLOOKUP(131,Suvaha_BO!A:F,4,0))</f>
        <v>1346295</v>
      </c>
      <c r="D8" s="14">
        <f>IF(ISERROR(VLOOKUP(141,Suvaha_BO!A:F,4,0)),0,VLOOKUP(141,Suvaha_BO!A:F,4,0))</f>
        <v>3077035</v>
      </c>
      <c r="E8" s="14">
        <f>IF(ISERROR(VLOOKUP(151,Suvaha_BO!A:F,4,0)),0,VLOOKUP(151,Suvaha_BO!A:F,4,0))</f>
        <v>0</v>
      </c>
      <c r="F8" s="14">
        <f>IF(ISERROR(VLOOKUP(161,Suvaha_BO!A:F,4,0)),0,VLOOKUP(161,Suvaha_BO!A:F,4,0))</f>
        <v>0</v>
      </c>
      <c r="G8" s="14">
        <f>IF(ISERROR(VLOOKUP(171,Suvaha_BO!A:F,4,0)),0,VLOOKUP(171,Suvaha_BO!A:F,4,0))+IF(ISERROR(VLOOKUP(172,Suvaha_BO!A:F,4,0)),0,VLOOKUP(172,Suvaha_BO!A:F,4,0))</f>
        <v>0</v>
      </c>
      <c r="H8" s="14">
        <f>IF(ISERROR(VLOOKUP(181,Suvaha_BO!A:F,4,0)),0,VLOOKUP(181,Suvaha_BO!A:F,4,0))</f>
        <v>396877</v>
      </c>
      <c r="I8" s="14">
        <f>IF(ISERROR(VLOOKUP(191,Suvaha_BO!A:F,4,0)),0,VLOOKUP(191,Suvaha_BO!A:F,4,0))</f>
        <v>76533</v>
      </c>
      <c r="J8" s="14">
        <f>B8+C8+D8+E8+F8+G8+H8+I8</f>
        <v>5660740</v>
      </c>
    </row>
    <row r="9" spans="1:18" ht="15.9" customHeight="1" x14ac:dyDescent="0.3">
      <c r="A9" s="4" t="s">
        <v>197</v>
      </c>
      <c r="B9" s="14">
        <f>IF(ISERROR(VLOOKUP(121,Suvaha_BO!A:F,5,0)),0,VLOOKUP(121,Suvaha_BO!A:F,5,0))</f>
        <v>0</v>
      </c>
      <c r="C9" s="14">
        <f>IF(ISERROR(VLOOKUP(131,Suvaha_BO!A:F,5,0)),0,VLOOKUP(131,Suvaha_BO!A:F,5,0))</f>
        <v>142831</v>
      </c>
      <c r="D9" s="14">
        <f>IF(ISERROR(VLOOKUP(141,Suvaha_BO!A:F,5,0)),0,VLOOKUP(141,Suvaha_BO!A:F,5,0))</f>
        <v>342387</v>
      </c>
      <c r="E9" s="14">
        <f>IF(ISERROR(VLOOKUP(151,Suvaha_BO!A:F,5,0)),0,VLOOKUP(151,Suvaha_BO!A:F,5,0))</f>
        <v>0</v>
      </c>
      <c r="F9" s="14">
        <f>IF(ISERROR(VLOOKUP(161,Suvaha_BO!A:F,5,0)),0,VLOOKUP(161,Suvaha_BO!A:F,5,0))</f>
        <v>0</v>
      </c>
      <c r="G9" s="14">
        <f>IF(ISERROR(VLOOKUP(171,Suvaha_BO!A:F,5,0)),0,VLOOKUP(171,Suvaha_BO!A:F,5,0))+IF(ISERROR(VLOOKUP(172,Suvaha_BO!A:F,5,0)),0,VLOOKUP(172,Suvaha_BO!A:F,5,0))</f>
        <v>0</v>
      </c>
      <c r="H9" s="14">
        <f>IF(ISERROR(VLOOKUP(181,Suvaha_BO!A:F,5,0)),0,VLOOKUP(181,Suvaha_BO!A:F,5,0))</f>
        <v>106352</v>
      </c>
      <c r="I9" s="14">
        <f>IF(ISERROR(VLOOKUP(191,Suvaha_BO!A:F,5,0)),0,VLOOKUP(191,Suvaha_BO!A:F,5,0))</f>
        <v>0</v>
      </c>
      <c r="J9" s="14">
        <f>B9+C9+D9+E9+F9+G9+H9+I9</f>
        <v>591570</v>
      </c>
    </row>
    <row r="10" spans="1:18" ht="15.9" customHeight="1" x14ac:dyDescent="0.3">
      <c r="A10" s="4" t="s">
        <v>484</v>
      </c>
      <c r="B10" s="14">
        <f>IF(ISERROR(VLOOKUP(121,Suvaha_BO!A:F,6,0)),0,VLOOKUP(121,Suvaha_BO!A:F,6,0))</f>
        <v>0</v>
      </c>
      <c r="C10" s="14">
        <f>IF(ISERROR(VLOOKUP(131,Suvaha_BO!A:F,6,0)),0,VLOOKUP(131,Suvaha_BO!A:F,6,0))</f>
        <v>0</v>
      </c>
      <c r="D10" s="14">
        <f>IF(ISERROR(VLOOKUP(141,Suvaha_BO!A:F,6,0)),0,VLOOKUP(141,Suvaha_BO!A:F,6,0))</f>
        <v>1953842</v>
      </c>
      <c r="E10" s="14">
        <f>IF(ISERROR(VLOOKUP(151,Suvaha_BO!A:F,6,0)),0,VLOOKUP(151,Suvaha_BO!A:F,6,0))</f>
        <v>0</v>
      </c>
      <c r="F10" s="14">
        <f>IF(ISERROR(VLOOKUP(161,Suvaha_BO!A:F,6,0)),0,VLOOKUP(161,Suvaha_BO!A:F,6,0))</f>
        <v>0</v>
      </c>
      <c r="G10" s="14">
        <f>IF(ISERROR(VLOOKUP(171,Suvaha_BO!A:F,6,0)),0,VLOOKUP(171,Suvaha_BO!A:F,6,0))+IF(ISERROR(VLOOKUP(172,Suvaha_BO!A:F,6,0)),0,VLOOKUP(172,Suvaha_BO!A:F,6,0))</f>
        <v>0</v>
      </c>
      <c r="H10" s="14">
        <f>IF(ISERROR(VLOOKUP(181,Suvaha_BO!A:F,6,0)),0,VLOOKUP(181,Suvaha_BO!A:F,6,0))</f>
        <v>485218</v>
      </c>
      <c r="I10" s="14">
        <f>IF(ISERROR(VLOOKUP(191,Suvaha_BO!A:F,6,0)),0,VLOOKUP(191,Suvaha_BO!A:F,6,0))</f>
        <v>76533</v>
      </c>
      <c r="J10" s="14">
        <f>B10+C10+D10+E10+F10+G10+H10+I10</f>
        <v>2515593</v>
      </c>
    </row>
    <row r="11" spans="1:18" ht="15.9" customHeight="1" x14ac:dyDescent="0.3">
      <c r="A11" s="4" t="s">
        <v>990</v>
      </c>
      <c r="B11" s="14"/>
      <c r="C11" s="14"/>
      <c r="D11" s="14"/>
      <c r="E11" s="14"/>
      <c r="F11" s="14"/>
      <c r="G11" s="14"/>
      <c r="H11" s="14"/>
      <c r="I11" s="14"/>
      <c r="J11" s="14">
        <f>B11+C11+D11+E11+F11+G11+H11+I11</f>
        <v>0</v>
      </c>
    </row>
    <row r="12" spans="1:18" ht="26.1" customHeight="1" x14ac:dyDescent="0.3">
      <c r="A12" s="5" t="s">
        <v>1298</v>
      </c>
      <c r="B12" s="14">
        <f t="shared" ref="B12:I12" si="0">B8+B9-B10-B11</f>
        <v>764000</v>
      </c>
      <c r="C12" s="14">
        <f t="shared" si="0"/>
        <v>1489126</v>
      </c>
      <c r="D12" s="14">
        <f t="shared" si="0"/>
        <v>1465580</v>
      </c>
      <c r="E12" s="14">
        <f t="shared" si="0"/>
        <v>0</v>
      </c>
      <c r="F12" s="14">
        <f t="shared" si="0"/>
        <v>0</v>
      </c>
      <c r="G12" s="14">
        <f t="shared" si="0"/>
        <v>0</v>
      </c>
      <c r="H12" s="14">
        <f t="shared" si="0"/>
        <v>18011</v>
      </c>
      <c r="I12" s="14">
        <f t="shared" si="0"/>
        <v>0</v>
      </c>
      <c r="J12" s="14">
        <f>B12+C12+D12+E12+F12+G12+H12+I12</f>
        <v>3736717</v>
      </c>
    </row>
    <row r="13" spans="1:18" ht="15.9" customHeight="1" x14ac:dyDescent="0.3">
      <c r="A13" s="4" t="s">
        <v>302</v>
      </c>
      <c r="B13" s="123"/>
      <c r="C13" s="123"/>
      <c r="D13" s="123"/>
      <c r="E13" s="123"/>
      <c r="F13" s="123"/>
      <c r="G13" s="123"/>
      <c r="H13" s="123"/>
      <c r="I13" s="123"/>
      <c r="J13" s="123"/>
    </row>
    <row r="14" spans="1:18" ht="26.1" customHeight="1" x14ac:dyDescent="0.3">
      <c r="A14" s="5" t="s">
        <v>400</v>
      </c>
      <c r="B14" s="14"/>
      <c r="C14" s="14">
        <f>IF(ISERROR(VLOOKUP(132,Suvaha_BO!A:F,4,0)),0,VLOOKUP(132,Suvaha_BO!A:F,4,0))</f>
        <v>213182</v>
      </c>
      <c r="D14" s="14">
        <f>IF(ISERROR(VLOOKUP(142,Suvaha_BO!A:F,4,0)),0,VLOOKUP(142,Suvaha_BO!A:F,4,0))</f>
        <v>605802</v>
      </c>
      <c r="E14" s="14">
        <f>IF(ISERROR(VLOOKUP(152,Suvaha_BO!A:F,4,0)),0,VLOOKUP(152,Suvaha_BO!A:F,4,0))</f>
        <v>0</v>
      </c>
      <c r="F14" s="14">
        <f>IF(ISERROR(VLOOKUP(162,Suvaha_BO!A:F,4,0)),0,VLOOKUP(162,Suvaha_BO!A:F,4,0))</f>
        <v>0</v>
      </c>
      <c r="G14" s="14">
        <f>IF(ISERROR(VLOOKUP(173,Suvaha_BO!A:F,4,0)),0,VLOOKUP(173,Suvaha_BO!A:F,4,0))</f>
        <v>0</v>
      </c>
      <c r="H14" s="14"/>
      <c r="I14" s="14"/>
      <c r="J14" s="14">
        <f>B14+C14+D14+E14+F14+G14+H14+I14</f>
        <v>818984</v>
      </c>
    </row>
    <row r="15" spans="1:18" ht="15.9" customHeight="1" x14ac:dyDescent="0.3">
      <c r="A15" s="4" t="s">
        <v>197</v>
      </c>
      <c r="B15" s="14"/>
      <c r="C15" s="14">
        <f>IF(ISERROR(VLOOKUP(132,Suvaha_BO!A:F,6,0)),0,VLOOKUP(132,Suvaha_BO!A:F,6,0))</f>
        <v>73357</v>
      </c>
      <c r="D15" s="14">
        <f>IF(ISERROR(VLOOKUP(142,Suvaha_BO!A:F,6,0)),0,VLOOKUP(142,Suvaha_BO!A:F,6,0))</f>
        <v>1903388</v>
      </c>
      <c r="E15" s="14">
        <f>IF(ISERROR(VLOOKUP(152,Suvaha_BO!A:F,6,0)),0,VLOOKUP(152,Suvaha_BO!A:F,6,0))</f>
        <v>0</v>
      </c>
      <c r="F15" s="14">
        <f>IF(ISERROR(VLOOKUP(162,Suvaha_BO!A:F,6,0)),0,VLOOKUP(162,Suvaha_BO!A:F,6,0))</f>
        <v>0</v>
      </c>
      <c r="G15" s="14">
        <f>IF(ISERROR(VLOOKUP(173,Suvaha_BO!A:F,6,0)),0,VLOOKUP(173,Suvaha_BO!A:F,6,0))</f>
        <v>0</v>
      </c>
      <c r="H15" s="14"/>
      <c r="I15" s="14"/>
      <c r="J15" s="14">
        <f>B15+C15+D15+E15+F15+G15+H15+I15</f>
        <v>1976745</v>
      </c>
    </row>
    <row r="16" spans="1:18" s="8" customFormat="1" ht="15.9" customHeight="1" x14ac:dyDescent="0.3">
      <c r="A16" s="4" t="s">
        <v>484</v>
      </c>
      <c r="B16" s="14"/>
      <c r="C16" s="14">
        <f>IF(ISERROR(VLOOKUP(132,Suvaha_BO!A:F,5,0)),0,VLOOKUP(132,Suvaha_BO!A:F,5,0))</f>
        <v>0</v>
      </c>
      <c r="D16" s="14">
        <f>IF(ISERROR(VLOOKUP(142,Suvaha_BO!A:F,5,0)),0,VLOOKUP(142,Suvaha_BO!A:F,5,0))</f>
        <v>1953842</v>
      </c>
      <c r="E16" s="14">
        <f>IF(ISERROR(VLOOKUP(152,Suvaha_BO!A:F,5,0)),0,VLOOKUP(152,Suvaha_BO!A:F,5,0))</f>
        <v>0</v>
      </c>
      <c r="F16" s="14">
        <f>IF(ISERROR(VLOOKUP(162,Suvaha_BO!A:F,5,0)),0,VLOOKUP(162,Suvaha_BO!A:F,5,0))</f>
        <v>0</v>
      </c>
      <c r="G16" s="14">
        <f>IF(ISERROR(VLOOKUP(173,Suvaha_BO!A:F,5,0)),0,VLOOKUP(173,Suvaha_BO!A:F,5,0))</f>
        <v>0</v>
      </c>
      <c r="H16" s="14"/>
      <c r="I16" s="14"/>
      <c r="J16" s="14">
        <f>B16+C16+D16+E16+F16+G16+H16+I16</f>
        <v>1953842</v>
      </c>
    </row>
    <row r="17" spans="1:10" s="8" customFormat="1" ht="26.1" customHeight="1" x14ac:dyDescent="0.3">
      <c r="A17" s="5" t="s">
        <v>1298</v>
      </c>
      <c r="B17" s="14"/>
      <c r="C17" s="14">
        <f>C14+C15-C16</f>
        <v>286539</v>
      </c>
      <c r="D17" s="14">
        <f>D14+D15-D16</f>
        <v>555348</v>
      </c>
      <c r="E17" s="14">
        <f>E14+E15-E16</f>
        <v>0</v>
      </c>
      <c r="F17" s="14">
        <f>F14+F15-F16</f>
        <v>0</v>
      </c>
      <c r="G17" s="14">
        <f>G14+G15-G16</f>
        <v>0</v>
      </c>
      <c r="H17" s="14"/>
      <c r="I17" s="14"/>
      <c r="J17" s="14">
        <f>B17+C17+D17+E17+F17+G17+H17+I17</f>
        <v>841887</v>
      </c>
    </row>
    <row r="18" spans="1:10" s="8" customFormat="1" ht="15.9" customHeight="1" x14ac:dyDescent="0.3">
      <c r="A18" s="4" t="s">
        <v>1266</v>
      </c>
      <c r="B18" s="123"/>
      <c r="C18" s="123"/>
      <c r="D18" s="123"/>
      <c r="E18" s="123"/>
      <c r="F18" s="123"/>
      <c r="G18" s="123"/>
      <c r="H18" s="123"/>
      <c r="I18" s="123"/>
      <c r="J18" s="123"/>
    </row>
    <row r="19" spans="1:10" s="8" customFormat="1" ht="26.1" customHeight="1" x14ac:dyDescent="0.3">
      <c r="A19" s="5" t="s">
        <v>400</v>
      </c>
      <c r="B19" s="14">
        <f>IF(ISERROR(VLOOKUP(122,Suvaha_BO!A:F,4,0)),0,VLOOKUP(122,Suvaha_BO!A:F,4,0))</f>
        <v>0</v>
      </c>
      <c r="C19" s="14">
        <f>IF(ISERROR(VLOOKUP(133,Suvaha_BO!A:F,4,0)),0,VLOOKUP(133,Suvaha_BO!A:F,4,0))</f>
        <v>0</v>
      </c>
      <c r="D19" s="14">
        <f>IF(ISERROR(VLOOKUP(143,Suvaha_BO!A:F,4,0)),0,VLOOKUP(143,Suvaha_BO!A:F,4,0))</f>
        <v>0</v>
      </c>
      <c r="E19" s="14">
        <f>IF(ISERROR(VLOOKUP(153,Suvaha_BO!A:F,4,0)),0,VLOOKUP(153,Suvaha_BO!A:F,4,0))</f>
        <v>0</v>
      </c>
      <c r="F19" s="14">
        <f>IF(ISERROR(VLOOKUP(163,Suvaha_BO!A:F,4,0)),0,VLOOKUP(163,Suvaha_BO!A:F,4,0))</f>
        <v>0</v>
      </c>
      <c r="G19" s="14">
        <f>IF(ISERROR(VLOOKUP(174,Suvaha_BO!A:F,4,0)),0,VLOOKUP(174,Suvaha_BO!A:F,4,0))</f>
        <v>0</v>
      </c>
      <c r="H19" s="14">
        <f>IF(ISERROR(VLOOKUP(182,Suvaha_BO!A:F,4,0)),0,VLOOKUP(182,Suvaha_BO!A:F,4,0))</f>
        <v>0</v>
      </c>
      <c r="I19" s="14">
        <f>IF(ISERROR(VLOOKUP(192,Suvaha_BO!A:F,4,0)),0,VLOOKUP(192,Suvaha_BO!A:F,4,0))</f>
        <v>0</v>
      </c>
      <c r="J19" s="14">
        <f>B19+C19+D19+E19+F19+G19+H19+I19</f>
        <v>0</v>
      </c>
    </row>
    <row r="20" spans="1:10" s="8" customFormat="1" ht="15.9" customHeight="1" x14ac:dyDescent="0.3">
      <c r="A20" s="4" t="s">
        <v>197</v>
      </c>
      <c r="B20" s="14">
        <f>IF(ISERROR(VLOOKUP(122,Suvaha_BO!A:F,6,0)),0,VLOOKUP(122,Suvaha_BO!A:F,6,0))</f>
        <v>0</v>
      </c>
      <c r="C20" s="14">
        <f>IF(ISERROR(VLOOKUP(133,Suvaha_BO!A:F,6,0)),0,VLOOKUP(133,Suvaha_BO!A:F,6,0))</f>
        <v>0</v>
      </c>
      <c r="D20" s="14">
        <v>275000</v>
      </c>
      <c r="E20" s="14">
        <f>IF(ISERROR(VLOOKUP(153,Suvaha_BO!A:F,6,0)),0,VLOOKUP(153,Suvaha_BO!A:F,6,0))</f>
        <v>0</v>
      </c>
      <c r="F20" s="14">
        <f>IF(ISERROR(VLOOKUP(163,Suvaha_BO!A:F,6,0)),0,VLOOKUP(163,Suvaha_BO!A:F,6,0))</f>
        <v>0</v>
      </c>
      <c r="G20" s="14">
        <f>IF(ISERROR(VLOOKUP(174,Suvaha_BO!A:F,6,0)),0,VLOOKUP(174,Suvaha_BO!A:F,6,0))</f>
        <v>0</v>
      </c>
      <c r="H20" s="14">
        <f>IF(ISERROR(VLOOKUP(182,Suvaha_BO!A:F,6,0)),0,VLOOKUP(182,Suvaha_BO!A:F,6,0))</f>
        <v>0</v>
      </c>
      <c r="I20" s="14">
        <f>IF(ISERROR(VLOOKUP(192,Suvaha_BO!A:F,6,0)),0,VLOOKUP(192,Suvaha_BO!A:F,6,0))</f>
        <v>0</v>
      </c>
      <c r="J20" s="14">
        <f>B20+C20+D20+E20+F20+G20+H20+I20</f>
        <v>275000</v>
      </c>
    </row>
    <row r="21" spans="1:10" s="8" customFormat="1" ht="15.9" customHeight="1" x14ac:dyDescent="0.3">
      <c r="A21" s="4" t="s">
        <v>484</v>
      </c>
      <c r="B21" s="14">
        <f>IF(ISERROR(VLOOKUP(122,Suvaha_BO!A:F,5,0)),0,VLOOKUP(122,Suvaha_BO!A:F,5,0))</f>
        <v>0</v>
      </c>
      <c r="C21" s="14">
        <f>IF(ISERROR(VLOOKUP(133,Suvaha_BO!A:F,5,0)),0,VLOOKUP(133,Suvaha_BO!A:F,5,0))</f>
        <v>0</v>
      </c>
      <c r="D21" s="14">
        <f>IF(ISERROR(VLOOKUP(143,Suvaha_BO!A:F,5,0)),0,VLOOKUP(143,Suvaha_BO!A:F,5,0))</f>
        <v>0</v>
      </c>
      <c r="E21" s="14">
        <f>IF(ISERROR(VLOOKUP(153,Suvaha_BO!A:F,5,0)),0,VLOOKUP(153,Suvaha_BO!A:F,5,0))</f>
        <v>0</v>
      </c>
      <c r="F21" s="14">
        <f>IF(ISERROR(VLOOKUP(163,Suvaha_BO!A:F,5,0)),0,VLOOKUP(163,Suvaha_BO!A:F,5,0))</f>
        <v>0</v>
      </c>
      <c r="G21" s="14">
        <f>IF(ISERROR(VLOOKUP(174,Suvaha_BO!A:F,5,0)),0,VLOOKUP(174,Suvaha_BO!A:F,5,0))</f>
        <v>0</v>
      </c>
      <c r="H21" s="14">
        <f>IF(ISERROR(VLOOKUP(182,Suvaha_BO!A:F,5,0)),0,VLOOKUP(182,Suvaha_BO!A:F,5,0))</f>
        <v>0</v>
      </c>
      <c r="I21" s="14">
        <f>IF(ISERROR(VLOOKUP(192,Suvaha_BO!A:F,5,0)),0,VLOOKUP(192,Suvaha_BO!A:F,5,0))</f>
        <v>0</v>
      </c>
      <c r="J21" s="14">
        <f>B21+C21+D21+E21+F21+G21+H21+I21</f>
        <v>0</v>
      </c>
    </row>
    <row r="22" spans="1:10" s="8" customFormat="1" ht="26.1" customHeight="1" x14ac:dyDescent="0.3">
      <c r="A22" s="5" t="s">
        <v>1298</v>
      </c>
      <c r="B22" s="14">
        <f t="shared" ref="B22:I22" si="1">B19+B20-B21</f>
        <v>0</v>
      </c>
      <c r="C22" s="14">
        <f t="shared" si="1"/>
        <v>0</v>
      </c>
      <c r="D22" s="14">
        <f t="shared" si="1"/>
        <v>275000</v>
      </c>
      <c r="E22" s="14">
        <f t="shared" si="1"/>
        <v>0</v>
      </c>
      <c r="F22" s="14">
        <f t="shared" si="1"/>
        <v>0</v>
      </c>
      <c r="G22" s="14">
        <f t="shared" si="1"/>
        <v>0</v>
      </c>
      <c r="H22" s="14">
        <f t="shared" si="1"/>
        <v>0</v>
      </c>
      <c r="I22" s="14">
        <f t="shared" si="1"/>
        <v>0</v>
      </c>
      <c r="J22" s="14">
        <f>B22+C22+D22+E22+F22+G22+H22+I22</f>
        <v>275000</v>
      </c>
    </row>
    <row r="23" spans="1:10" s="8" customFormat="1" ht="15.9" customHeight="1" x14ac:dyDescent="0.3">
      <c r="A23" s="4" t="s">
        <v>1021</v>
      </c>
      <c r="B23" s="123"/>
      <c r="C23" s="123"/>
      <c r="D23" s="123"/>
      <c r="E23" s="123"/>
      <c r="F23" s="123"/>
      <c r="G23" s="123"/>
      <c r="H23" s="123"/>
      <c r="I23" s="123"/>
      <c r="J23" s="123"/>
    </row>
    <row r="24" spans="1:10" s="8" customFormat="1" ht="26.1" customHeight="1" x14ac:dyDescent="0.3">
      <c r="A24" s="5" t="s">
        <v>400</v>
      </c>
      <c r="B24" s="14">
        <f t="shared" ref="B24:I24" si="2">B8-B14-B19</f>
        <v>764000</v>
      </c>
      <c r="C24" s="14">
        <f t="shared" si="2"/>
        <v>1133113</v>
      </c>
      <c r="D24" s="14">
        <f t="shared" si="2"/>
        <v>2471233</v>
      </c>
      <c r="E24" s="14">
        <f t="shared" si="2"/>
        <v>0</v>
      </c>
      <c r="F24" s="14">
        <f t="shared" si="2"/>
        <v>0</v>
      </c>
      <c r="G24" s="14">
        <f t="shared" si="2"/>
        <v>0</v>
      </c>
      <c r="H24" s="14">
        <f t="shared" si="2"/>
        <v>396877</v>
      </c>
      <c r="I24" s="14">
        <f t="shared" si="2"/>
        <v>76533</v>
      </c>
      <c r="J24" s="14">
        <f>B24+C24+D24+E24+F24+G24+H24+I24</f>
        <v>4841756</v>
      </c>
    </row>
    <row r="25" spans="1:10" s="8" customFormat="1" ht="26.1" customHeight="1" x14ac:dyDescent="0.3">
      <c r="A25" s="5" t="s">
        <v>1298</v>
      </c>
      <c r="B25" s="14">
        <f t="shared" ref="B25:I25" si="3">B12-B17-B22</f>
        <v>764000</v>
      </c>
      <c r="C25" s="14">
        <f t="shared" si="3"/>
        <v>1202587</v>
      </c>
      <c r="D25" s="14">
        <f t="shared" si="3"/>
        <v>635232</v>
      </c>
      <c r="E25" s="14">
        <f t="shared" si="3"/>
        <v>0</v>
      </c>
      <c r="F25" s="14">
        <f t="shared" si="3"/>
        <v>0</v>
      </c>
      <c r="G25" s="14">
        <f t="shared" si="3"/>
        <v>0</v>
      </c>
      <c r="H25" s="14">
        <f t="shared" si="3"/>
        <v>18011</v>
      </c>
      <c r="I25" s="14">
        <f t="shared" si="3"/>
        <v>0</v>
      </c>
      <c r="J25" s="14">
        <f>B25+C25+D25+E25+F25+G25+H25+I25</f>
        <v>2619830</v>
      </c>
    </row>
    <row r="41" spans="1:10" x14ac:dyDescent="0.3">
      <c r="A41" s="216" t="s">
        <v>239</v>
      </c>
      <c r="B41" s="215" t="s">
        <v>430</v>
      </c>
      <c r="C41" s="215"/>
      <c r="D41" s="215"/>
      <c r="E41" s="215"/>
      <c r="F41" s="215"/>
      <c r="G41" s="215"/>
      <c r="H41" s="215"/>
      <c r="I41" s="215"/>
      <c r="J41" s="215"/>
    </row>
    <row r="42" spans="1:10" ht="72" x14ac:dyDescent="0.3">
      <c r="A42" s="217"/>
      <c r="B42" s="7" t="s">
        <v>527</v>
      </c>
      <c r="C42" s="7" t="s">
        <v>294</v>
      </c>
      <c r="D42" s="7" t="s">
        <v>220</v>
      </c>
      <c r="E42" s="7" t="s">
        <v>171</v>
      </c>
      <c r="F42" s="7" t="s">
        <v>833</v>
      </c>
      <c r="G42" s="7" t="s">
        <v>872</v>
      </c>
      <c r="H42" s="7" t="s">
        <v>839</v>
      </c>
      <c r="I42" s="7" t="s">
        <v>738</v>
      </c>
      <c r="J42" s="7" t="s">
        <v>518</v>
      </c>
    </row>
    <row r="43" spans="1:10" x14ac:dyDescent="0.3">
      <c r="A43" s="53" t="s">
        <v>1001</v>
      </c>
      <c r="B43" s="53" t="s">
        <v>28</v>
      </c>
      <c r="C43" s="53" t="s">
        <v>788</v>
      </c>
      <c r="D43" s="53" t="s">
        <v>296</v>
      </c>
      <c r="E43" s="53" t="s">
        <v>889</v>
      </c>
      <c r="F43" s="53" t="s">
        <v>191</v>
      </c>
      <c r="G43" s="53" t="s">
        <v>747</v>
      </c>
      <c r="H43" s="53" t="s">
        <v>139</v>
      </c>
      <c r="I43" s="53" t="s">
        <v>778</v>
      </c>
      <c r="J43" s="53" t="s">
        <v>303</v>
      </c>
    </row>
    <row r="44" spans="1:10" ht="15" customHeight="1" x14ac:dyDescent="0.3">
      <c r="A44" s="52" t="s">
        <v>437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0" ht="15" customHeight="1" x14ac:dyDescent="0.3">
      <c r="A45" s="5" t="s">
        <v>400</v>
      </c>
      <c r="B45" s="14">
        <f>IF(ISERROR(VLOOKUP(121,Suvaha_PO!A:F,4,0)),0,VLOOKUP(121,Suvaha_PO!A:F,4,0))</f>
        <v>764000</v>
      </c>
      <c r="C45" s="14">
        <f>IF(ISERROR(VLOOKUP(131,Suvaha_PO!A:F,4,0)),0,VLOOKUP(131,Suvaha_PO!A:F,4,0))</f>
        <v>1306466</v>
      </c>
      <c r="D45" s="14">
        <f>IF(ISERROR(VLOOKUP(141,Suvaha_PO!A:F,4,0)),0,VLOOKUP(141,Suvaha_PO!A:F,4,0))</f>
        <v>1551646</v>
      </c>
      <c r="E45" s="14">
        <f>IF(ISERROR(VLOOKUP(151,Suvaha_PO!A:F,4,0)),0,VLOOKUP(151,Suvaha_PO!A:F,4,0))</f>
        <v>0</v>
      </c>
      <c r="F45" s="14">
        <f>IF(ISERROR(VLOOKUP(161,Suvaha_PO!A:F,4,0)),0,VLOOKUP(161,Suvaha_PO!A:F,4,0))</f>
        <v>0</v>
      </c>
      <c r="G45" s="14">
        <f>IF(ISERROR(VLOOKUP(171,Suvaha_PO!A:F,4,0)),0,VLOOKUP(171,Suvaha_PO!A:F,4,0))+IF(ISERROR(VLOOKUP(172,Suvaha_PO!A:F,4,0)),0,VLOOKUP(172,Suvaha_PO!A:F,4,0))</f>
        <v>0</v>
      </c>
      <c r="H45" s="14">
        <f>IF(ISERROR(VLOOKUP(181,Suvaha_PO!A:F,4,0)),0,VLOOKUP(181,Suvaha_PO!A:F,4,0))</f>
        <v>326106</v>
      </c>
      <c r="I45" s="14">
        <f>IF(ISERROR(VLOOKUP(191,Suvaha_PO!A:F,4,0)),0,VLOOKUP(191,Suvaha_PO!A:F,4,0))</f>
        <v>876473</v>
      </c>
      <c r="J45" s="14">
        <f>B45+C45+D45+E45+F45+G45+H45+I45</f>
        <v>4824691</v>
      </c>
    </row>
    <row r="46" spans="1:10" ht="15" customHeight="1" x14ac:dyDescent="0.3">
      <c r="A46" s="4" t="s">
        <v>197</v>
      </c>
      <c r="B46" s="14">
        <f>IF(ISERROR(VLOOKUP(121,Suvaha_PO!A:F,5,0)),0,VLOOKUP(121,Suvaha_PO!A:F,5,0))</f>
        <v>0</v>
      </c>
      <c r="C46" s="14">
        <f>IF(ISERROR(VLOOKUP(131,Suvaha_PO!A:F,5,0)),0,VLOOKUP(131,Suvaha_PO!A:F,5,0))</f>
        <v>39829</v>
      </c>
      <c r="D46" s="14">
        <f>IF(ISERROR(VLOOKUP(141,Suvaha_PO!A:F,5,0)),0,VLOOKUP(141,Suvaha_PO!A:F,5,0))</f>
        <v>1525389</v>
      </c>
      <c r="E46" s="14">
        <f>IF(ISERROR(VLOOKUP(151,Suvaha_PO!A:F,5,0)),0,VLOOKUP(151,Suvaha_PO!A:F,5,0))</f>
        <v>0</v>
      </c>
      <c r="F46" s="14">
        <f>IF(ISERROR(VLOOKUP(161,Suvaha_PO!A:F,5,0)),0,VLOOKUP(161,Suvaha_PO!A:F,5,0))</f>
        <v>0</v>
      </c>
      <c r="G46" s="14">
        <f>IF(ISERROR(VLOOKUP(171,Suvaha_PO!A:F,5,0)),0,VLOOKUP(171,Suvaha_PO!A:F,5,0))+IF(ISERROR(VLOOKUP(172,Suvaha_PO!A:F,5,0)),0,VLOOKUP(172,Suvaha_PO!A:F,5,0))</f>
        <v>0</v>
      </c>
      <c r="H46" s="14">
        <f>IF(ISERROR(VLOOKUP(181,Suvaha_PO!A:F,5,0)),0,VLOOKUP(181,Suvaha_PO!A:F,5,0))</f>
        <v>1639110</v>
      </c>
      <c r="I46" s="14">
        <f>IF(ISERROR(VLOOKUP(191,Suvaha_PO!A:F,5,0)),0,VLOOKUP(191,Suvaha_PO!A:F,5,0))</f>
        <v>94381</v>
      </c>
      <c r="J46" s="14">
        <f>B46+C46+D46+E46+F46+G46+H46+I46</f>
        <v>3298709</v>
      </c>
    </row>
    <row r="47" spans="1:10" x14ac:dyDescent="0.3">
      <c r="A47" s="4" t="s">
        <v>484</v>
      </c>
      <c r="B47" s="14">
        <f>IF(ISERROR(VLOOKUP(121,Suvaha_PO!A:F,6,0)),0,VLOOKUP(121,Suvaha_PO!A:F,6,0))</f>
        <v>0</v>
      </c>
      <c r="C47" s="14">
        <f>IF(ISERROR(VLOOKUP(131,Suvaha_PO!A:F,6,0)),0,VLOOKUP(131,Suvaha_PO!A:F,6,0))</f>
        <v>0</v>
      </c>
      <c r="D47" s="14">
        <f>IF(ISERROR(VLOOKUP(141,Suvaha_PO!A:F,6,0)),0,VLOOKUP(141,Suvaha_PO!A:F,6,0))</f>
        <v>0</v>
      </c>
      <c r="E47" s="14">
        <f>IF(ISERROR(VLOOKUP(151,Suvaha_PO!A:F,6,0)),0,VLOOKUP(151,Suvaha_PO!A:F,6,0))</f>
        <v>0</v>
      </c>
      <c r="F47" s="14">
        <f>IF(ISERROR(VLOOKUP(161,Suvaha_PO!A:F,6,0)),0,VLOOKUP(161,Suvaha_PO!A:F,6,0))</f>
        <v>0</v>
      </c>
      <c r="G47" s="14">
        <f>IF(ISERROR(VLOOKUP(171,Suvaha_PO!A:F,6,0)),0,VLOOKUP(171,Suvaha_PO!A:F,6,0))+IF(ISERROR(VLOOKUP(172,Suvaha_PO!A:F,6,0)),0,VLOOKUP(172,Suvaha_PO!A:F,6,0))</f>
        <v>0</v>
      </c>
      <c r="H47" s="14">
        <f>IF(ISERROR(VLOOKUP(181,Suvaha_PO!A:F,6,0)),0,VLOOKUP(181,Suvaha_PO!A:F,6,0))</f>
        <v>1568339</v>
      </c>
      <c r="I47" s="14">
        <f>IF(ISERROR(VLOOKUP(191,Suvaha_PO!A:F,6,0)),0,VLOOKUP(191,Suvaha_PO!A:F,6,0))</f>
        <v>894321</v>
      </c>
      <c r="J47" s="14">
        <f>B47+C47+D47+E47+F47+G47+H47+I47</f>
        <v>2462660</v>
      </c>
    </row>
    <row r="48" spans="1:10" x14ac:dyDescent="0.3">
      <c r="A48" s="4" t="s">
        <v>990</v>
      </c>
      <c r="B48" s="14"/>
      <c r="C48" s="14"/>
      <c r="D48" s="14"/>
      <c r="E48" s="14"/>
      <c r="F48" s="14"/>
      <c r="G48" s="14"/>
      <c r="H48" s="14"/>
      <c r="I48" s="14"/>
      <c r="J48" s="14">
        <f>B48+C48+D48+E48+F48+G48+H48+I48</f>
        <v>0</v>
      </c>
    </row>
    <row r="49" spans="1:10" ht="24.6" x14ac:dyDescent="0.3">
      <c r="A49" s="5" t="s">
        <v>1298</v>
      </c>
      <c r="B49" s="14">
        <f t="shared" ref="B49:I49" si="4">B45+B46-B47-B48</f>
        <v>764000</v>
      </c>
      <c r="C49" s="14">
        <f t="shared" si="4"/>
        <v>1346295</v>
      </c>
      <c r="D49" s="14">
        <f t="shared" si="4"/>
        <v>3077035</v>
      </c>
      <c r="E49" s="14">
        <f t="shared" si="4"/>
        <v>0</v>
      </c>
      <c r="F49" s="14">
        <f t="shared" si="4"/>
        <v>0</v>
      </c>
      <c r="G49" s="14">
        <f t="shared" si="4"/>
        <v>0</v>
      </c>
      <c r="H49" s="14">
        <f t="shared" si="4"/>
        <v>396877</v>
      </c>
      <c r="I49" s="14">
        <f t="shared" si="4"/>
        <v>76533</v>
      </c>
      <c r="J49" s="14">
        <f>B49+C49+D49+E49+F49+G49+H49+I49</f>
        <v>5660740</v>
      </c>
    </row>
    <row r="50" spans="1:10" x14ac:dyDescent="0.3">
      <c r="A50" s="4" t="s">
        <v>302</v>
      </c>
      <c r="B50" s="123"/>
      <c r="C50" s="123"/>
      <c r="D50" s="123"/>
      <c r="E50" s="123"/>
      <c r="F50" s="123"/>
      <c r="G50" s="123"/>
      <c r="H50" s="123"/>
      <c r="I50" s="123"/>
      <c r="J50" s="123"/>
    </row>
    <row r="51" spans="1:10" ht="24.6" x14ac:dyDescent="0.3">
      <c r="A51" s="5" t="s">
        <v>400</v>
      </c>
      <c r="B51" s="14"/>
      <c r="C51" s="14">
        <f>IF(ISERROR(VLOOKUP(132,Suvaha_PO!A:F,4,0)),0,VLOOKUP(132,Suvaha_PO!A:F,4,0))</f>
        <v>146042</v>
      </c>
      <c r="D51" s="14">
        <f>IF(ISERROR(VLOOKUP(142,Suvaha_PO!A:F,4,0)),0,VLOOKUP(142,Suvaha_PO!A:F,4,0))</f>
        <v>285421</v>
      </c>
      <c r="E51" s="14">
        <f>IF(ISERROR(VLOOKUP(152,Suvaha_PO!A:F,4,0)),0,VLOOKUP(152,Suvaha_PO!A:F,4,0))</f>
        <v>0</v>
      </c>
      <c r="F51" s="14">
        <f>IF(ISERROR(VLOOKUP(162,Suvaha_PO!A:F,4,0)),0,VLOOKUP(162,Suvaha_PO!A:F,4,0))</f>
        <v>0</v>
      </c>
      <c r="G51" s="14">
        <f>IF(ISERROR(VLOOKUP(173,Suvaha_PO!A:F,4,0)),0,VLOOKUP(173,Suvaha_PO!A:F,4,0))</f>
        <v>0</v>
      </c>
      <c r="H51" s="14"/>
      <c r="I51" s="14"/>
      <c r="J51" s="14">
        <f>B51+C51+D51+E51+F51+G51+H51+I51</f>
        <v>431463</v>
      </c>
    </row>
    <row r="52" spans="1:10" x14ac:dyDescent="0.3">
      <c r="A52" s="4" t="s">
        <v>197</v>
      </c>
      <c r="B52" s="14"/>
      <c r="C52" s="14">
        <f>IF(ISERROR(VLOOKUP(132,Suvaha_PO!A:F,6,0)),0,VLOOKUP(132,Suvaha_PO!A:F,6,0))</f>
        <v>67140</v>
      </c>
      <c r="D52" s="14">
        <f>IF(ISERROR(VLOOKUP(142,Suvaha_PO!A:F,6,0)),0,VLOOKUP(142,Suvaha_PO!A:F,6,0))</f>
        <v>320381</v>
      </c>
      <c r="E52" s="14">
        <f>IF(ISERROR(VLOOKUP(152,Suvaha_PO!A:F,6,0)),0,VLOOKUP(152,Suvaha_PO!A:F,6,0))</f>
        <v>0</v>
      </c>
      <c r="F52" s="14">
        <f>IF(ISERROR(VLOOKUP(162,Suvaha_PO!A:F,6,0)),0,VLOOKUP(162,Suvaha_PO!A:F,6,0))</f>
        <v>0</v>
      </c>
      <c r="G52" s="14">
        <f>IF(ISERROR(VLOOKUP(173,Suvaha_PO!A:F,6,0)),0,VLOOKUP(173,Suvaha_PO!A:F,6,0))</f>
        <v>0</v>
      </c>
      <c r="H52" s="14"/>
      <c r="I52" s="14"/>
      <c r="J52" s="14">
        <f>B52+C52+D52+E52+F52+G52+H52+I52</f>
        <v>387521</v>
      </c>
    </row>
    <row r="53" spans="1:10" x14ac:dyDescent="0.3">
      <c r="A53" s="4" t="s">
        <v>484</v>
      </c>
      <c r="B53" s="14"/>
      <c r="C53" s="14">
        <f>IF(ISERROR(VLOOKUP(132,Suvaha_PO!A:F,5,0)),0,VLOOKUP(132,Suvaha_PO!A:F,5,0))</f>
        <v>0</v>
      </c>
      <c r="D53" s="14">
        <f>IF(ISERROR(VLOOKUP(142,Suvaha_PO!A:F,5,0)),0,VLOOKUP(142,Suvaha_PO!A:F,5,0))</f>
        <v>0</v>
      </c>
      <c r="E53" s="14">
        <f>IF(ISERROR(VLOOKUP(152,Suvaha_PO!A:F,5,0)),0,VLOOKUP(152,Suvaha_PO!A:F,5,0))</f>
        <v>0</v>
      </c>
      <c r="F53" s="14">
        <f>IF(ISERROR(VLOOKUP(162,Suvaha_PO!A:F,5,0)),0,VLOOKUP(162,Suvaha_PO!A:F,5,0))</f>
        <v>0</v>
      </c>
      <c r="G53" s="14">
        <f>IF(ISERROR(VLOOKUP(173,Suvaha_PO!A:F,5,0)),0,VLOOKUP(173,Suvaha_PO!A:F,5,0))</f>
        <v>0</v>
      </c>
      <c r="H53" s="14"/>
      <c r="I53" s="14"/>
      <c r="J53" s="14">
        <f>B53+C53+D53+E53+F53+G53+H53+I53</f>
        <v>0</v>
      </c>
    </row>
    <row r="54" spans="1:10" ht="24.6" x14ac:dyDescent="0.3">
      <c r="A54" s="5" t="s">
        <v>1298</v>
      </c>
      <c r="B54" s="14"/>
      <c r="C54" s="14">
        <f>C51+C52-C53</f>
        <v>213182</v>
      </c>
      <c r="D54" s="14">
        <f>D51+D52-D53</f>
        <v>605802</v>
      </c>
      <c r="E54" s="14">
        <f>E51+E52-E53</f>
        <v>0</v>
      </c>
      <c r="F54" s="14">
        <f>F51+F52-F53</f>
        <v>0</v>
      </c>
      <c r="G54" s="14">
        <f>G51+G52-G53</f>
        <v>0</v>
      </c>
      <c r="H54" s="14"/>
      <c r="I54" s="14"/>
      <c r="J54" s="14">
        <f>B54+C54+D54+E54+F54+G54+H54+I54</f>
        <v>818984</v>
      </c>
    </row>
    <row r="55" spans="1:10" x14ac:dyDescent="0.3">
      <c r="A55" s="4" t="s">
        <v>1266</v>
      </c>
      <c r="B55" s="123"/>
      <c r="C55" s="123"/>
      <c r="D55" s="123"/>
      <c r="E55" s="123"/>
      <c r="F55" s="123"/>
      <c r="G55" s="123"/>
      <c r="H55" s="123"/>
      <c r="I55" s="123"/>
      <c r="J55" s="123"/>
    </row>
    <row r="56" spans="1:10" ht="24.6" x14ac:dyDescent="0.3">
      <c r="A56" s="5" t="s">
        <v>400</v>
      </c>
      <c r="B56" s="14">
        <f>IF(ISERROR(VLOOKUP(122,Suvaha_PO!A:F,4,0)),0,VLOOKUP(122,Suvaha_PO!A:F,4,0))</f>
        <v>0</v>
      </c>
      <c r="C56" s="14">
        <f>IF(ISERROR(VLOOKUP(133,Suvaha_PO!A:F,4,0)),0,VLOOKUP(133,Suvaha_PO!A:F,4,0))</f>
        <v>0</v>
      </c>
      <c r="D56" s="14">
        <f>IF(ISERROR(VLOOKUP(143,Suvaha_PO!A:F,4,0)),0,VLOOKUP(143,Suvaha_PO!A:F,4,0))</f>
        <v>0</v>
      </c>
      <c r="E56" s="14">
        <f>IF(ISERROR(VLOOKUP(153,Suvaha_PO!A:F,4,0)),0,VLOOKUP(153,Suvaha_PO!A:F,4,0))</f>
        <v>0</v>
      </c>
      <c r="F56" s="14">
        <f>IF(ISERROR(VLOOKUP(163,Suvaha_PO!A:F,4,0)),0,VLOOKUP(163,Suvaha_PO!A:F,4,0))</f>
        <v>0</v>
      </c>
      <c r="G56" s="14">
        <f>IF(ISERROR(VLOOKUP(174,Suvaha_PO!A:F,4,0)),0,VLOOKUP(174,Suvaha_PO!A:F,4,0))</f>
        <v>0</v>
      </c>
      <c r="H56" s="14">
        <f>IF(ISERROR(VLOOKUP(182,Suvaha_PO!A:F,4,0)),0,VLOOKUP(182,Suvaha_PO!A:F,4,0))</f>
        <v>0</v>
      </c>
      <c r="I56" s="14">
        <f>IF(ISERROR(VLOOKUP(192,Suvaha_PO!A:F,4,0)),0,VLOOKUP(192,Suvaha_PO!A:F,4,0))</f>
        <v>0</v>
      </c>
      <c r="J56" s="14">
        <f>B56+C56+D56+E56+F56+G56+H56+I56</f>
        <v>0</v>
      </c>
    </row>
    <row r="57" spans="1:10" x14ac:dyDescent="0.3">
      <c r="A57" s="4" t="s">
        <v>197</v>
      </c>
      <c r="B57" s="14">
        <f>IF(ISERROR(VLOOKUP(122,Suvaha_PO!A:F,6,0)),0,VLOOKUP(122,Suvaha_PO!A:F,6,0))</f>
        <v>0</v>
      </c>
      <c r="C57" s="14">
        <f>IF(ISERROR(VLOOKUP(133,Suvaha_PO!A:F,6,0)),0,VLOOKUP(133,Suvaha_PO!A:F,6,0))</f>
        <v>0</v>
      </c>
      <c r="D57" s="14">
        <f>IF(ISERROR(VLOOKUP(143,Suvaha_PO!A:F,6,0)),0,VLOOKUP(143,Suvaha_PO!A:F,6,0))</f>
        <v>0</v>
      </c>
      <c r="E57" s="14">
        <f>IF(ISERROR(VLOOKUP(153,Suvaha_PO!A:F,6,0)),0,VLOOKUP(153,Suvaha_PO!A:F,6,0))</f>
        <v>0</v>
      </c>
      <c r="F57" s="14">
        <f>IF(ISERROR(VLOOKUP(163,Suvaha_PO!A:F,6,0)),0,VLOOKUP(163,Suvaha_PO!A:F,6,0))</f>
        <v>0</v>
      </c>
      <c r="G57" s="14">
        <f>IF(ISERROR(VLOOKUP(174,Suvaha_PO!A:F,6,0)),0,VLOOKUP(174,Suvaha_PO!A:F,6,0))</f>
        <v>0</v>
      </c>
      <c r="H57" s="14">
        <f>IF(ISERROR(VLOOKUP(182,Suvaha_PO!A:F,6,0)),0,VLOOKUP(182,Suvaha_PO!A:F,6,0))</f>
        <v>0</v>
      </c>
      <c r="I57" s="14">
        <f>IF(ISERROR(VLOOKUP(192,Suvaha_PO!A:F,6,0)),0,VLOOKUP(192,Suvaha_PO!A:F,6,0))</f>
        <v>0</v>
      </c>
      <c r="J57" s="14">
        <f>B57+C57+D57+E57+F57+G57+H57+I57</f>
        <v>0</v>
      </c>
    </row>
    <row r="58" spans="1:10" x14ac:dyDescent="0.3">
      <c r="A58" s="4" t="s">
        <v>484</v>
      </c>
      <c r="B58" s="14">
        <f>IF(ISERROR(VLOOKUP(122,Suvaha_PO!A:F,5,0)),0,VLOOKUP(122,Suvaha_PO!A:F,5,0))</f>
        <v>0</v>
      </c>
      <c r="C58" s="14">
        <f>IF(ISERROR(VLOOKUP(133,Suvaha_PO!A:F,5,0)),0,VLOOKUP(133,Suvaha_PO!A:F,5,0))</f>
        <v>0</v>
      </c>
      <c r="D58" s="14">
        <f>IF(ISERROR(VLOOKUP(143,Suvaha_PO!A:F,5,0)),0,VLOOKUP(143,Suvaha_PO!A:F,5,0))</f>
        <v>0</v>
      </c>
      <c r="E58" s="14">
        <f>IF(ISERROR(VLOOKUP(153,Suvaha_PO!A:F,5,0)),0,VLOOKUP(153,Suvaha_PO!A:F,5,0))</f>
        <v>0</v>
      </c>
      <c r="F58" s="14">
        <f>IF(ISERROR(VLOOKUP(163,Suvaha_PO!A:F,5,0)),0,VLOOKUP(163,Suvaha_PO!A:F,5,0))</f>
        <v>0</v>
      </c>
      <c r="G58" s="14">
        <f>IF(ISERROR(VLOOKUP(174,Suvaha_PO!A:F,5,0)),0,VLOOKUP(174,Suvaha_PO!A:F,5,0))</f>
        <v>0</v>
      </c>
      <c r="H58" s="14">
        <f>IF(ISERROR(VLOOKUP(182,Suvaha_PO!A:F,5,0)),0,VLOOKUP(182,Suvaha_PO!A:F,5,0))</f>
        <v>0</v>
      </c>
      <c r="I58" s="14">
        <f>IF(ISERROR(VLOOKUP(192,Suvaha_PO!A:F,5,0)),0,VLOOKUP(192,Suvaha_PO!A:F,5,0))</f>
        <v>0</v>
      </c>
      <c r="J58" s="14">
        <f>B58+C58+D58+E58+F58+G58+H58+I58</f>
        <v>0</v>
      </c>
    </row>
    <row r="59" spans="1:10" ht="24.6" x14ac:dyDescent="0.3">
      <c r="A59" s="5" t="s">
        <v>1298</v>
      </c>
      <c r="B59" s="14">
        <f t="shared" ref="B59:I59" si="5">B56+B57-B58</f>
        <v>0</v>
      </c>
      <c r="C59" s="14">
        <f t="shared" si="5"/>
        <v>0</v>
      </c>
      <c r="D59" s="14">
        <f t="shared" si="5"/>
        <v>0</v>
      </c>
      <c r="E59" s="14">
        <f t="shared" si="5"/>
        <v>0</v>
      </c>
      <c r="F59" s="14">
        <f t="shared" si="5"/>
        <v>0</v>
      </c>
      <c r="G59" s="14">
        <f t="shared" si="5"/>
        <v>0</v>
      </c>
      <c r="H59" s="14">
        <f t="shared" si="5"/>
        <v>0</v>
      </c>
      <c r="I59" s="14">
        <f t="shared" si="5"/>
        <v>0</v>
      </c>
      <c r="J59" s="14">
        <f>B59+C59+D59+E59+F59+G59+H59+I59</f>
        <v>0</v>
      </c>
    </row>
    <row r="60" spans="1:10" x14ac:dyDescent="0.3">
      <c r="A60" s="4" t="s">
        <v>1021</v>
      </c>
      <c r="B60" s="123"/>
      <c r="C60" s="123"/>
      <c r="D60" s="123"/>
      <c r="E60" s="123"/>
      <c r="F60" s="123"/>
      <c r="G60" s="123"/>
      <c r="H60" s="123"/>
      <c r="I60" s="123"/>
      <c r="J60" s="123"/>
    </row>
    <row r="61" spans="1:10" ht="24.6" x14ac:dyDescent="0.3">
      <c r="A61" s="5" t="s">
        <v>400</v>
      </c>
      <c r="B61" s="14">
        <f t="shared" ref="B61:I61" si="6">B45-B51-B56</f>
        <v>764000</v>
      </c>
      <c r="C61" s="14">
        <f t="shared" si="6"/>
        <v>1160424</v>
      </c>
      <c r="D61" s="14">
        <f t="shared" si="6"/>
        <v>1266225</v>
      </c>
      <c r="E61" s="14">
        <f t="shared" si="6"/>
        <v>0</v>
      </c>
      <c r="F61" s="14">
        <f t="shared" si="6"/>
        <v>0</v>
      </c>
      <c r="G61" s="14">
        <f t="shared" si="6"/>
        <v>0</v>
      </c>
      <c r="H61" s="14">
        <f t="shared" si="6"/>
        <v>326106</v>
      </c>
      <c r="I61" s="14">
        <f t="shared" si="6"/>
        <v>876473</v>
      </c>
      <c r="J61" s="14">
        <f>B61+C61+D61+E61+F61+G61+H61+I61</f>
        <v>4393228</v>
      </c>
    </row>
    <row r="62" spans="1:10" ht="24.6" x14ac:dyDescent="0.3">
      <c r="A62" s="5" t="s">
        <v>1298</v>
      </c>
      <c r="B62" s="14">
        <f t="shared" ref="B62:I62" si="7">B49-B54-B59</f>
        <v>764000</v>
      </c>
      <c r="C62" s="14">
        <f t="shared" si="7"/>
        <v>1133113</v>
      </c>
      <c r="D62" s="14">
        <f t="shared" si="7"/>
        <v>2471233</v>
      </c>
      <c r="E62" s="14">
        <f t="shared" si="7"/>
        <v>0</v>
      </c>
      <c r="F62" s="14">
        <f t="shared" si="7"/>
        <v>0</v>
      </c>
      <c r="G62" s="14">
        <f t="shared" si="7"/>
        <v>0</v>
      </c>
      <c r="H62" s="14">
        <f t="shared" si="7"/>
        <v>396877</v>
      </c>
      <c r="I62" s="14">
        <f t="shared" si="7"/>
        <v>76533</v>
      </c>
      <c r="J62" s="14">
        <f>B62+C62+D62+E62+F62+G62+H62+I62</f>
        <v>4841756</v>
      </c>
    </row>
  </sheetData>
  <mergeCells count="12">
    <mergeCell ref="B60:J60"/>
    <mergeCell ref="A4:A5"/>
    <mergeCell ref="B4:J4"/>
    <mergeCell ref="B7:J7"/>
    <mergeCell ref="B13:J13"/>
    <mergeCell ref="B18:J18"/>
    <mergeCell ref="B23:J23"/>
    <mergeCell ref="A41:A42"/>
    <mergeCell ref="B41:J41"/>
    <mergeCell ref="B44:J44"/>
    <mergeCell ref="B50:J50"/>
    <mergeCell ref="B55:J5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71"/>
  <sheetViews>
    <sheetView view="pageBreakPreview" topLeftCell="A52" zoomScaleNormal="100" zoomScaleSheetLayoutView="100" workbookViewId="0">
      <selection activeCell="L14" sqref="L14"/>
    </sheetView>
  </sheetViews>
  <sheetFormatPr defaultRowHeight="14.4" x14ac:dyDescent="0.3"/>
  <cols>
    <col min="1" max="10" width="8.33203125" customWidth="1"/>
  </cols>
  <sheetData>
    <row r="2" spans="1:10" ht="15.6" x14ac:dyDescent="0.3">
      <c r="A2" s="12" t="s">
        <v>309</v>
      </c>
    </row>
    <row r="4" spans="1:10" x14ac:dyDescent="0.3">
      <c r="A4" s="134" t="s">
        <v>56</v>
      </c>
      <c r="B4" s="218"/>
      <c r="C4" s="218"/>
      <c r="D4" s="219"/>
      <c r="E4" s="134" t="s">
        <v>1121</v>
      </c>
      <c r="F4" s="218"/>
      <c r="G4" s="219"/>
      <c r="H4" s="134" t="s">
        <v>55</v>
      </c>
      <c r="I4" s="225"/>
      <c r="J4" s="226"/>
    </row>
    <row r="5" spans="1:10" x14ac:dyDescent="0.3">
      <c r="A5" s="151" t="s">
        <v>1348</v>
      </c>
      <c r="B5" s="151"/>
      <c r="C5" s="151"/>
      <c r="D5" s="151"/>
      <c r="E5" s="220">
        <f>1278000+810000+17000+610000+81481</f>
        <v>2796481</v>
      </c>
      <c r="F5" s="220"/>
      <c r="G5" s="220"/>
      <c r="H5" s="151" t="s">
        <v>1349</v>
      </c>
      <c r="I5" s="151"/>
      <c r="J5" s="151"/>
    </row>
    <row r="6" spans="1:10" x14ac:dyDescent="0.3">
      <c r="A6" s="123" t="s">
        <v>1348</v>
      </c>
      <c r="B6" s="123"/>
      <c r="C6" s="123"/>
      <c r="D6" s="123"/>
      <c r="E6" s="221">
        <v>4597000</v>
      </c>
      <c r="F6" s="221"/>
      <c r="G6" s="221"/>
      <c r="H6" s="123" t="s">
        <v>1350</v>
      </c>
      <c r="I6" s="123"/>
      <c r="J6" s="123"/>
    </row>
    <row r="7" spans="1:10" x14ac:dyDescent="0.3">
      <c r="A7" s="123" t="s">
        <v>1351</v>
      </c>
      <c r="B7" s="123"/>
      <c r="C7" s="123"/>
      <c r="D7" s="123"/>
      <c r="E7" s="221">
        <v>36240</v>
      </c>
      <c r="F7" s="221"/>
      <c r="G7" s="221"/>
      <c r="H7" s="123" t="s">
        <v>1352</v>
      </c>
      <c r="I7" s="123"/>
      <c r="J7" s="123"/>
    </row>
    <row r="8" spans="1:10" s="86" customFormat="1" x14ac:dyDescent="0.3">
      <c r="A8" s="194" t="s">
        <v>1353</v>
      </c>
      <c r="B8" s="195"/>
      <c r="C8" s="195"/>
      <c r="D8" s="196"/>
      <c r="E8" s="115">
        <v>28115</v>
      </c>
      <c r="F8" s="116"/>
      <c r="G8" s="117"/>
      <c r="H8" s="194" t="s">
        <v>1354</v>
      </c>
      <c r="I8" s="195"/>
      <c r="J8" s="196"/>
    </row>
    <row r="9" spans="1:10" x14ac:dyDescent="0.3">
      <c r="A9" s="123" t="s">
        <v>1355</v>
      </c>
      <c r="B9" s="123"/>
      <c r="C9" s="123"/>
      <c r="D9" s="123"/>
      <c r="E9" s="221">
        <v>28115</v>
      </c>
      <c r="F9" s="221"/>
      <c r="G9" s="221"/>
      <c r="H9" s="123" t="s">
        <v>1356</v>
      </c>
      <c r="I9" s="123"/>
      <c r="J9" s="123"/>
    </row>
    <row r="11" spans="1:10" ht="30" customHeight="1" x14ac:dyDescent="0.3">
      <c r="A11" s="167" t="s">
        <v>520</v>
      </c>
      <c r="B11" s="168"/>
      <c r="C11" s="168"/>
      <c r="D11" s="168"/>
      <c r="E11" s="168"/>
      <c r="F11" s="168"/>
      <c r="G11" s="168"/>
      <c r="H11" s="168"/>
      <c r="I11" s="168"/>
      <c r="J11" s="168"/>
    </row>
    <row r="13" spans="1:10" ht="15" customHeight="1" x14ac:dyDescent="0.3">
      <c r="A13" s="222" t="s">
        <v>305</v>
      </c>
      <c r="B13" s="223"/>
      <c r="C13" s="223"/>
      <c r="D13" s="223"/>
      <c r="E13" s="223"/>
      <c r="F13" s="222" t="s">
        <v>559</v>
      </c>
      <c r="G13" s="223"/>
      <c r="H13" s="223"/>
      <c r="I13" s="223"/>
      <c r="J13" s="223"/>
    </row>
    <row r="14" spans="1:10" ht="24.9" customHeight="1" x14ac:dyDescent="0.3">
      <c r="A14" s="141" t="s">
        <v>106</v>
      </c>
      <c r="B14" s="224"/>
      <c r="C14" s="224"/>
      <c r="D14" s="224"/>
      <c r="E14" s="224"/>
      <c r="F14" s="151"/>
      <c r="G14" s="152"/>
      <c r="H14" s="152"/>
      <c r="I14" s="152"/>
      <c r="J14" s="152"/>
    </row>
    <row r="15" spans="1:10" ht="24.9" customHeight="1" x14ac:dyDescent="0.3">
      <c r="A15" s="147" t="s">
        <v>1249</v>
      </c>
      <c r="B15" s="163"/>
      <c r="C15" s="163"/>
      <c r="D15" s="163"/>
      <c r="E15" s="163"/>
      <c r="F15" s="123"/>
      <c r="G15" s="124"/>
      <c r="H15" s="124"/>
      <c r="I15" s="124"/>
      <c r="J15" s="124"/>
    </row>
    <row r="17" spans="1:10" s="77" customFormat="1" ht="30" customHeight="1" x14ac:dyDescent="0.3">
      <c r="A17" s="167" t="s">
        <v>165</v>
      </c>
      <c r="B17" s="168"/>
      <c r="C17" s="168"/>
      <c r="D17" s="168"/>
      <c r="E17" s="168"/>
      <c r="F17" s="168"/>
      <c r="G17" s="168"/>
      <c r="H17" s="168"/>
      <c r="I17" s="168"/>
      <c r="J17" s="168"/>
    </row>
    <row r="18" spans="1:10" s="77" customFormat="1" x14ac:dyDescent="0.3"/>
    <row r="19" spans="1:10" ht="15" customHeight="1" x14ac:dyDescent="0.3">
      <c r="A19" s="222" t="s">
        <v>239</v>
      </c>
      <c r="B19" s="223"/>
      <c r="C19" s="223"/>
      <c r="D19" s="223"/>
      <c r="E19" s="223"/>
      <c r="F19" s="222" t="s">
        <v>559</v>
      </c>
      <c r="G19" s="223"/>
      <c r="H19" s="223"/>
      <c r="I19" s="223"/>
      <c r="J19" s="223"/>
    </row>
    <row r="20" spans="1:10" ht="24.9" customHeight="1" x14ac:dyDescent="0.3">
      <c r="A20" s="141" t="s">
        <v>250</v>
      </c>
      <c r="B20" s="224"/>
      <c r="C20" s="224"/>
      <c r="D20" s="224"/>
      <c r="E20" s="224"/>
      <c r="F20" s="151"/>
      <c r="G20" s="152"/>
      <c r="H20" s="152"/>
      <c r="I20" s="152"/>
      <c r="J20" s="152"/>
    </row>
    <row r="21" spans="1:10" ht="24.9" customHeight="1" x14ac:dyDescent="0.3">
      <c r="A21" s="147" t="s">
        <v>306</v>
      </c>
      <c r="B21" s="163"/>
      <c r="C21" s="163"/>
      <c r="D21" s="163"/>
      <c r="E21" s="163"/>
      <c r="F21" s="123"/>
      <c r="G21" s="124"/>
      <c r="H21" s="124"/>
      <c r="I21" s="124"/>
      <c r="J21" s="124"/>
    </row>
    <row r="24" spans="1:10" ht="45" customHeight="1" x14ac:dyDescent="0.3">
      <c r="A24" s="167" t="s">
        <v>878</v>
      </c>
      <c r="B24" s="168"/>
      <c r="C24" s="168"/>
      <c r="D24" s="168"/>
      <c r="E24" s="168"/>
      <c r="F24" s="168"/>
      <c r="G24" s="168"/>
      <c r="H24" s="168"/>
      <c r="I24" s="168"/>
      <c r="J24" s="168"/>
    </row>
    <row r="26" spans="1:10" x14ac:dyDescent="0.3">
      <c r="A26" s="134" t="s">
        <v>274</v>
      </c>
      <c r="B26" s="135"/>
      <c r="C26" s="135"/>
      <c r="D26" s="135"/>
      <c r="E26" s="135"/>
      <c r="F26" s="136"/>
      <c r="G26" s="186" t="s">
        <v>559</v>
      </c>
      <c r="H26" s="186"/>
      <c r="I26" s="186"/>
      <c r="J26" s="186"/>
    </row>
    <row r="27" spans="1:10" x14ac:dyDescent="0.3">
      <c r="A27" s="151"/>
      <c r="B27" s="151"/>
      <c r="C27" s="151"/>
      <c r="D27" s="151"/>
      <c r="E27" s="151"/>
      <c r="F27" s="151"/>
      <c r="G27" s="138"/>
      <c r="H27" s="139"/>
      <c r="I27" s="97"/>
      <c r="J27" s="98"/>
    </row>
    <row r="28" spans="1:10" x14ac:dyDescent="0.3">
      <c r="A28" s="123"/>
      <c r="B28" s="123"/>
      <c r="C28" s="123"/>
      <c r="D28" s="123"/>
      <c r="E28" s="123"/>
      <c r="F28" s="123"/>
      <c r="G28" s="142"/>
      <c r="H28" s="148"/>
      <c r="I28" s="157"/>
      <c r="J28" s="143"/>
    </row>
    <row r="29" spans="1:10" x14ac:dyDescent="0.3">
      <c r="A29" s="123"/>
      <c r="B29" s="123"/>
      <c r="C29" s="123"/>
      <c r="D29" s="123"/>
      <c r="E29" s="123"/>
      <c r="F29" s="123"/>
      <c r="G29" s="142"/>
      <c r="H29" s="148"/>
      <c r="I29" s="157"/>
      <c r="J29" s="143"/>
    </row>
    <row r="30" spans="1:10" x14ac:dyDescent="0.3">
      <c r="A30" s="123"/>
      <c r="B30" s="123"/>
      <c r="C30" s="123"/>
      <c r="D30" s="123"/>
      <c r="E30" s="123"/>
      <c r="F30" s="123"/>
      <c r="G30" s="142"/>
      <c r="H30" s="148"/>
      <c r="I30" s="157"/>
      <c r="J30" s="143"/>
    </row>
    <row r="32" spans="1:10" ht="45" customHeight="1" x14ac:dyDescent="0.3">
      <c r="A32" s="167" t="s">
        <v>1222</v>
      </c>
      <c r="B32" s="168"/>
      <c r="C32" s="168"/>
      <c r="D32" s="168"/>
      <c r="E32" s="168"/>
      <c r="F32" s="168"/>
      <c r="G32" s="168"/>
      <c r="H32" s="168"/>
      <c r="I32" s="168"/>
      <c r="J32" s="168"/>
    </row>
    <row r="33" spans="1:10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3">
      <c r="A34" s="134" t="s">
        <v>274</v>
      </c>
      <c r="B34" s="218"/>
      <c r="C34" s="218"/>
      <c r="D34" s="218"/>
      <c r="E34" s="218"/>
      <c r="F34" s="219"/>
      <c r="G34" s="186" t="s">
        <v>559</v>
      </c>
      <c r="H34" s="186"/>
      <c r="I34" s="186"/>
      <c r="J34" s="186"/>
    </row>
    <row r="35" spans="1:10" x14ac:dyDescent="0.3">
      <c r="A35" s="151"/>
      <c r="B35" s="151"/>
      <c r="C35" s="151"/>
      <c r="D35" s="151"/>
      <c r="E35" s="151"/>
      <c r="F35" s="151"/>
      <c r="G35" s="138"/>
      <c r="H35" s="139"/>
      <c r="I35" s="97"/>
      <c r="J35" s="98"/>
    </row>
    <row r="36" spans="1:10" x14ac:dyDescent="0.3">
      <c r="A36" s="123"/>
      <c r="B36" s="123"/>
      <c r="C36" s="123"/>
      <c r="D36" s="123"/>
      <c r="E36" s="123"/>
      <c r="F36" s="123"/>
      <c r="G36" s="142"/>
      <c r="H36" s="148"/>
      <c r="I36" s="157"/>
      <c r="J36" s="143"/>
    </row>
    <row r="37" spans="1:10" x14ac:dyDescent="0.3">
      <c r="A37" s="123"/>
      <c r="B37" s="123"/>
      <c r="C37" s="123"/>
      <c r="D37" s="123"/>
      <c r="E37" s="123"/>
      <c r="F37" s="123"/>
      <c r="G37" s="142"/>
      <c r="H37" s="148"/>
      <c r="I37" s="157"/>
      <c r="J37" s="143"/>
    </row>
    <row r="38" spans="1:10" x14ac:dyDescent="0.3">
      <c r="A38" s="123"/>
      <c r="B38" s="123"/>
      <c r="C38" s="123"/>
      <c r="D38" s="123"/>
      <c r="E38" s="123"/>
      <c r="F38" s="123"/>
      <c r="G38" s="142"/>
      <c r="H38" s="148"/>
      <c r="I38" s="157"/>
      <c r="J38" s="143"/>
    </row>
    <row r="39" spans="1:10" s="11" customFormat="1" x14ac:dyDescent="0.3">
      <c r="A39" s="48"/>
      <c r="B39" s="48"/>
      <c r="C39" s="48"/>
      <c r="D39" s="48"/>
      <c r="E39" s="48"/>
      <c r="F39" s="48"/>
      <c r="G39" s="48"/>
      <c r="H39" s="48"/>
      <c r="I39" s="44"/>
      <c r="J39" s="44"/>
    </row>
    <row r="40" spans="1:10" s="77" customFormat="1" x14ac:dyDescent="0.3">
      <c r="A40" s="48"/>
      <c r="B40" s="48"/>
      <c r="C40" s="48"/>
      <c r="D40" s="48"/>
      <c r="E40" s="48"/>
      <c r="F40" s="48"/>
      <c r="G40" s="48"/>
      <c r="H40" s="48"/>
      <c r="I40" s="76"/>
      <c r="J40" s="76"/>
    </row>
    <row r="41" spans="1:10" s="77" customFormat="1" x14ac:dyDescent="0.3">
      <c r="A41" s="48"/>
      <c r="B41" s="48"/>
      <c r="C41" s="48"/>
      <c r="D41" s="48"/>
      <c r="E41" s="48"/>
      <c r="F41" s="48"/>
      <c r="G41" s="48"/>
      <c r="H41" s="48"/>
      <c r="I41" s="76"/>
      <c r="J41" s="76"/>
    </row>
    <row r="42" spans="1:10" s="11" customFormat="1" x14ac:dyDescent="0.3">
      <c r="A42" s="48"/>
      <c r="B42" s="48"/>
      <c r="C42" s="48"/>
      <c r="D42" s="48"/>
      <c r="E42" s="48"/>
      <c r="F42" s="48"/>
      <c r="G42" s="48"/>
      <c r="H42" s="48"/>
      <c r="I42" s="44"/>
      <c r="J42" s="44"/>
    </row>
    <row r="43" spans="1:10" s="11" customFormat="1" x14ac:dyDescent="0.3">
      <c r="A43" s="48"/>
      <c r="B43" s="48"/>
      <c r="C43" s="48"/>
      <c r="D43" s="48"/>
      <c r="E43" s="48"/>
      <c r="F43" s="48"/>
      <c r="G43" s="48"/>
      <c r="H43" s="48"/>
      <c r="I43" s="44"/>
      <c r="J43" s="44"/>
    </row>
    <row r="44" spans="1:10" ht="15.6" x14ac:dyDescent="0.3">
      <c r="A44" s="12" t="s">
        <v>720</v>
      </c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3">
      <c r="A46" s="134" t="s">
        <v>566</v>
      </c>
      <c r="B46" s="218"/>
      <c r="C46" s="218"/>
      <c r="D46" s="219"/>
      <c r="E46" s="134" t="s">
        <v>559</v>
      </c>
      <c r="F46" s="218"/>
      <c r="G46" s="219"/>
      <c r="H46" s="134" t="s">
        <v>356</v>
      </c>
      <c r="I46" s="225"/>
      <c r="J46" s="226"/>
    </row>
    <row r="47" spans="1:10" x14ac:dyDescent="0.3">
      <c r="A47" s="151"/>
      <c r="B47" s="151"/>
      <c r="C47" s="151"/>
      <c r="D47" s="151"/>
      <c r="E47" s="151"/>
      <c r="F47" s="151"/>
      <c r="G47" s="151"/>
      <c r="H47" s="151"/>
      <c r="I47" s="151"/>
      <c r="J47" s="151"/>
    </row>
    <row r="48" spans="1:10" x14ac:dyDescent="0.3">
      <c r="A48" s="123"/>
      <c r="B48" s="123"/>
      <c r="C48" s="123"/>
      <c r="D48" s="123"/>
      <c r="E48" s="123"/>
      <c r="F48" s="123"/>
      <c r="G48" s="123"/>
      <c r="H48" s="123"/>
      <c r="I48" s="123"/>
      <c r="J48" s="123"/>
    </row>
    <row r="49" spans="1:10" x14ac:dyDescent="0.3">
      <c r="A49" s="123"/>
      <c r="B49" s="123"/>
      <c r="C49" s="123"/>
      <c r="D49" s="123"/>
      <c r="E49" s="123"/>
      <c r="F49" s="123"/>
      <c r="G49" s="123"/>
      <c r="H49" s="123"/>
      <c r="I49" s="123"/>
      <c r="J49" s="123"/>
    </row>
    <row r="50" spans="1:10" x14ac:dyDescent="0.3">
      <c r="A50" s="123"/>
      <c r="B50" s="123"/>
      <c r="C50" s="123"/>
      <c r="D50" s="123"/>
      <c r="E50" s="123"/>
      <c r="F50" s="123"/>
      <c r="G50" s="123"/>
      <c r="H50" s="123"/>
      <c r="I50" s="123"/>
      <c r="J50" s="123"/>
    </row>
    <row r="52" spans="1:10" ht="30" customHeight="1" x14ac:dyDescent="0.3">
      <c r="A52" s="167" t="s">
        <v>1167</v>
      </c>
      <c r="B52" s="168"/>
      <c r="C52" s="168"/>
      <c r="D52" s="168"/>
      <c r="E52" s="168"/>
      <c r="F52" s="168"/>
      <c r="G52" s="168"/>
      <c r="H52" s="168"/>
      <c r="I52" s="168"/>
      <c r="J52" s="168"/>
    </row>
    <row r="53" spans="1:10" x14ac:dyDescent="0.3">
      <c r="A53" s="11"/>
      <c r="B53" s="11"/>
      <c r="C53" s="11"/>
      <c r="D53" s="11"/>
    </row>
    <row r="54" spans="1:10" x14ac:dyDescent="0.3">
      <c r="A54" s="134" t="s">
        <v>1153</v>
      </c>
      <c r="B54" s="218"/>
      <c r="C54" s="218"/>
      <c r="D54" s="219"/>
      <c r="E54" s="186" t="s">
        <v>120</v>
      </c>
      <c r="F54" s="186"/>
      <c r="G54" s="186" t="s">
        <v>302</v>
      </c>
      <c r="H54" s="186"/>
      <c r="I54" s="186" t="s">
        <v>972</v>
      </c>
      <c r="J54" s="186"/>
    </row>
    <row r="55" spans="1:10" x14ac:dyDescent="0.3">
      <c r="A55" s="151"/>
      <c r="B55" s="151"/>
      <c r="C55" s="151"/>
      <c r="D55" s="151"/>
      <c r="E55" s="152"/>
      <c r="F55" s="152"/>
      <c r="G55" s="152"/>
      <c r="H55" s="152"/>
      <c r="I55" s="152"/>
      <c r="J55" s="152"/>
    </row>
    <row r="56" spans="1:10" x14ac:dyDescent="0.3">
      <c r="A56" s="123"/>
      <c r="B56" s="123"/>
      <c r="C56" s="123"/>
      <c r="D56" s="123"/>
      <c r="E56" s="124"/>
      <c r="F56" s="124"/>
      <c r="G56" s="124"/>
      <c r="H56" s="124"/>
      <c r="I56" s="124"/>
      <c r="J56" s="124"/>
    </row>
    <row r="57" spans="1:10" x14ac:dyDescent="0.3">
      <c r="A57" s="123"/>
      <c r="B57" s="123"/>
      <c r="C57" s="123"/>
      <c r="D57" s="123"/>
      <c r="E57" s="124"/>
      <c r="F57" s="124"/>
      <c r="G57" s="124"/>
      <c r="H57" s="124"/>
      <c r="I57" s="124"/>
      <c r="J57" s="124"/>
    </row>
    <row r="58" spans="1:10" x14ac:dyDescent="0.3">
      <c r="A58" s="123"/>
      <c r="B58" s="123"/>
      <c r="C58" s="123"/>
      <c r="D58" s="123"/>
      <c r="E58" s="124"/>
      <c r="F58" s="124"/>
      <c r="G58" s="124"/>
      <c r="H58" s="124"/>
      <c r="I58" s="124"/>
      <c r="J58" s="124"/>
    </row>
    <row r="59" spans="1:10" s="11" customFormat="1" x14ac:dyDescent="0.3">
      <c r="A59" s="123"/>
      <c r="B59" s="123"/>
      <c r="C59" s="123"/>
      <c r="D59" s="123"/>
      <c r="E59" s="124"/>
      <c r="F59" s="124"/>
      <c r="G59" s="124"/>
      <c r="H59" s="124"/>
      <c r="I59" s="124"/>
      <c r="J59" s="124"/>
    </row>
    <row r="60" spans="1:10" s="11" customFormat="1" x14ac:dyDescent="0.3">
      <c r="A60" s="123"/>
      <c r="B60" s="123"/>
      <c r="C60" s="123"/>
      <c r="D60" s="123"/>
      <c r="E60" s="124"/>
      <c r="F60" s="124"/>
      <c r="G60" s="124"/>
      <c r="H60" s="124"/>
      <c r="I60" s="124"/>
      <c r="J60" s="124"/>
    </row>
    <row r="63" spans="1:10" ht="15.6" x14ac:dyDescent="0.3">
      <c r="A63" s="12" t="s">
        <v>1</v>
      </c>
      <c r="B63" s="11"/>
      <c r="C63" s="11"/>
      <c r="D63" s="11"/>
    </row>
    <row r="64" spans="1:10" x14ac:dyDescent="0.3">
      <c r="A64" s="11"/>
      <c r="B64" s="11"/>
      <c r="C64" s="11"/>
      <c r="D64" s="11"/>
    </row>
    <row r="65" spans="1:10" ht="29.25" customHeight="1" x14ac:dyDescent="0.3">
      <c r="A65" s="202" t="s">
        <v>415</v>
      </c>
      <c r="B65" s="227"/>
      <c r="C65" s="202" t="s">
        <v>763</v>
      </c>
      <c r="D65" s="227"/>
      <c r="E65" s="202" t="s">
        <v>975</v>
      </c>
      <c r="F65" s="202"/>
      <c r="G65" s="202"/>
      <c r="H65" s="202" t="s">
        <v>1145</v>
      </c>
      <c r="I65" s="202"/>
      <c r="J65" s="202"/>
    </row>
    <row r="66" spans="1:10" x14ac:dyDescent="0.3">
      <c r="A66" s="151"/>
      <c r="B66" s="152"/>
      <c r="C66" s="151"/>
      <c r="D66" s="152"/>
      <c r="E66" s="152"/>
      <c r="F66" s="152"/>
      <c r="G66" s="152"/>
      <c r="H66" s="152"/>
      <c r="I66" s="152"/>
      <c r="J66" s="152"/>
    </row>
    <row r="67" spans="1:10" s="11" customFormat="1" x14ac:dyDescent="0.3">
      <c r="A67" s="123"/>
      <c r="B67" s="124"/>
      <c r="C67" s="123"/>
      <c r="D67" s="124"/>
      <c r="E67" s="124"/>
      <c r="F67" s="124"/>
      <c r="G67" s="124"/>
      <c r="H67" s="124"/>
      <c r="I67" s="124"/>
      <c r="J67" s="124"/>
    </row>
    <row r="68" spans="1:10" s="11" customFormat="1" x14ac:dyDescent="0.3">
      <c r="A68" s="123"/>
      <c r="B68" s="124"/>
      <c r="C68" s="123"/>
      <c r="D68" s="124"/>
      <c r="E68" s="124"/>
      <c r="F68" s="124"/>
      <c r="G68" s="124"/>
      <c r="H68" s="124"/>
      <c r="I68" s="124"/>
      <c r="J68" s="124"/>
    </row>
    <row r="69" spans="1:10" s="11" customFormat="1" x14ac:dyDescent="0.3">
      <c r="A69" s="123"/>
      <c r="B69" s="124"/>
      <c r="C69" s="123"/>
      <c r="D69" s="124"/>
      <c r="E69" s="124"/>
      <c r="F69" s="124"/>
      <c r="G69" s="124"/>
      <c r="H69" s="124"/>
      <c r="I69" s="124"/>
      <c r="J69" s="124"/>
    </row>
    <row r="70" spans="1:10" s="11" customFormat="1" x14ac:dyDescent="0.3">
      <c r="A70" s="123"/>
      <c r="B70" s="124"/>
      <c r="C70" s="123"/>
      <c r="D70" s="124"/>
      <c r="E70" s="124"/>
      <c r="F70" s="124"/>
      <c r="G70" s="124"/>
      <c r="H70" s="124"/>
      <c r="I70" s="124"/>
      <c r="J70" s="124"/>
    </row>
    <row r="71" spans="1:10" s="11" customFormat="1" x14ac:dyDescent="0.3">
      <c r="A71" s="123"/>
      <c r="B71" s="124"/>
      <c r="C71" s="123"/>
      <c r="D71" s="124"/>
      <c r="E71" s="124"/>
      <c r="F71" s="124"/>
      <c r="G71" s="124"/>
      <c r="H71" s="124"/>
      <c r="I71" s="124"/>
      <c r="J71" s="124"/>
    </row>
  </sheetData>
  <mergeCells count="126">
    <mergeCell ref="A57:D57"/>
    <mergeCell ref="E57:F57"/>
    <mergeCell ref="E58:F58"/>
    <mergeCell ref="G57:H57"/>
    <mergeCell ref="I58:J58"/>
    <mergeCell ref="C69:D69"/>
    <mergeCell ref="E66:G66"/>
    <mergeCell ref="A71:B71"/>
    <mergeCell ref="C71:D71"/>
    <mergeCell ref="E71:G71"/>
    <mergeCell ref="H71:J71"/>
    <mergeCell ref="A68:B68"/>
    <mergeCell ref="A70:B70"/>
    <mergeCell ref="C70:D70"/>
    <mergeCell ref="E70:G70"/>
    <mergeCell ref="H70:J70"/>
    <mergeCell ref="E68:G68"/>
    <mergeCell ref="H68:J68"/>
    <mergeCell ref="H67:J67"/>
    <mergeCell ref="A69:B69"/>
    <mergeCell ref="C68:D68"/>
    <mergeCell ref="E67:G67"/>
    <mergeCell ref="E69:G69"/>
    <mergeCell ref="H69:J69"/>
    <mergeCell ref="A67:B67"/>
    <mergeCell ref="I56:J56"/>
    <mergeCell ref="A54:D54"/>
    <mergeCell ref="I54:J54"/>
    <mergeCell ref="E55:F55"/>
    <mergeCell ref="G55:H55"/>
    <mergeCell ref="G56:H56"/>
    <mergeCell ref="H65:J65"/>
    <mergeCell ref="C67:D67"/>
    <mergeCell ref="H66:J66"/>
    <mergeCell ref="E59:F59"/>
    <mergeCell ref="G59:H59"/>
    <mergeCell ref="I59:J59"/>
    <mergeCell ref="A65:B65"/>
    <mergeCell ref="C65:D65"/>
    <mergeCell ref="E65:G65"/>
    <mergeCell ref="A66:B66"/>
    <mergeCell ref="C66:D66"/>
    <mergeCell ref="A58:D58"/>
    <mergeCell ref="A60:D60"/>
    <mergeCell ref="E60:F60"/>
    <mergeCell ref="G60:H60"/>
    <mergeCell ref="I60:J60"/>
    <mergeCell ref="I57:J57"/>
    <mergeCell ref="A59:D59"/>
    <mergeCell ref="E56:F56"/>
    <mergeCell ref="E49:G49"/>
    <mergeCell ref="G35:J35"/>
    <mergeCell ref="G36:J36"/>
    <mergeCell ref="G37:J37"/>
    <mergeCell ref="G58:H58"/>
    <mergeCell ref="G27:J27"/>
    <mergeCell ref="G28:J28"/>
    <mergeCell ref="G29:J29"/>
    <mergeCell ref="G30:J30"/>
    <mergeCell ref="A34:F34"/>
    <mergeCell ref="A32:J32"/>
    <mergeCell ref="A30:F30"/>
    <mergeCell ref="A27:F27"/>
    <mergeCell ref="H49:J49"/>
    <mergeCell ref="G54:H54"/>
    <mergeCell ref="E48:G48"/>
    <mergeCell ref="H48:J48"/>
    <mergeCell ref="H50:J50"/>
    <mergeCell ref="A52:J52"/>
    <mergeCell ref="A55:D55"/>
    <mergeCell ref="A56:D56"/>
    <mergeCell ref="E54:F54"/>
    <mergeCell ref="I55:J55"/>
    <mergeCell ref="H47:J47"/>
    <mergeCell ref="H46:J46"/>
    <mergeCell ref="A50:D50"/>
    <mergeCell ref="A47:D47"/>
    <mergeCell ref="A48:D48"/>
    <mergeCell ref="A49:D49"/>
    <mergeCell ref="E50:G50"/>
    <mergeCell ref="E47:G47"/>
    <mergeCell ref="A46:D46"/>
    <mergeCell ref="E46:G46"/>
    <mergeCell ref="G38:J38"/>
    <mergeCell ref="A38:F38"/>
    <mergeCell ref="H5:J5"/>
    <mergeCell ref="A20:E20"/>
    <mergeCell ref="A9:D9"/>
    <mergeCell ref="A15:E15"/>
    <mergeCell ref="H9:J9"/>
    <mergeCell ref="E9:G9"/>
    <mergeCell ref="F15:J15"/>
    <mergeCell ref="H7:J7"/>
    <mergeCell ref="A21:E21"/>
    <mergeCell ref="F21:J21"/>
    <mergeCell ref="H6:J6"/>
    <mergeCell ref="F19:J19"/>
    <mergeCell ref="A37:F37"/>
    <mergeCell ref="A35:F35"/>
    <mergeCell ref="A36:F36"/>
    <mergeCell ref="G34:J34"/>
    <mergeCell ref="G26:J26"/>
    <mergeCell ref="A28:F28"/>
    <mergeCell ref="A29:F29"/>
    <mergeCell ref="A24:J24"/>
    <mergeCell ref="A26:F26"/>
    <mergeCell ref="E4:G4"/>
    <mergeCell ref="A4:D4"/>
    <mergeCell ref="A5:D5"/>
    <mergeCell ref="A6:D6"/>
    <mergeCell ref="A7:D7"/>
    <mergeCell ref="E5:G5"/>
    <mergeCell ref="E6:G6"/>
    <mergeCell ref="E7:G7"/>
    <mergeCell ref="F20:J20"/>
    <mergeCell ref="A13:E13"/>
    <mergeCell ref="F13:J13"/>
    <mergeCell ref="A14:E14"/>
    <mergeCell ref="A11:J11"/>
    <mergeCell ref="F14:J14"/>
    <mergeCell ref="A19:E19"/>
    <mergeCell ref="A17:J17"/>
    <mergeCell ref="A8:D8"/>
    <mergeCell ref="E8:G8"/>
    <mergeCell ref="H8:J8"/>
    <mergeCell ref="H4:J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2"/>
  <sheetViews>
    <sheetView workbookViewId="0"/>
  </sheetViews>
  <sheetFormatPr defaultRowHeight="14.4" x14ac:dyDescent="0.3"/>
  <cols>
    <col min="1" max="13" width="6.6640625" customWidth="1"/>
  </cols>
  <sheetData>
    <row r="1" spans="1:15" x14ac:dyDescent="0.3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11" customFormat="1" ht="15.6" x14ac:dyDescent="0.3">
      <c r="A2" s="15" t="s">
        <v>137</v>
      </c>
      <c r="B2" s="33"/>
      <c r="C2" s="33"/>
      <c r="D2" s="33"/>
      <c r="E2" s="33"/>
      <c r="F2" s="33"/>
      <c r="G2" s="33"/>
      <c r="H2" s="33"/>
      <c r="I2" s="33"/>
      <c r="J2" s="33"/>
    </row>
    <row r="4" spans="1:15" x14ac:dyDescent="0.3">
      <c r="A4" s="228" t="s">
        <v>388</v>
      </c>
      <c r="B4" s="228"/>
      <c r="C4" s="228"/>
      <c r="D4" s="230" t="s">
        <v>405</v>
      </c>
      <c r="E4" s="230"/>
      <c r="F4" s="230"/>
      <c r="G4" s="230"/>
      <c r="H4" s="230"/>
      <c r="I4" s="230"/>
      <c r="J4" s="230"/>
      <c r="K4" s="230"/>
      <c r="L4" s="230"/>
      <c r="M4" s="230"/>
    </row>
    <row r="5" spans="1:15" ht="60" customHeight="1" x14ac:dyDescent="0.3">
      <c r="A5" s="228"/>
      <c r="B5" s="228"/>
      <c r="C5" s="228"/>
      <c r="D5" s="228" t="s">
        <v>877</v>
      </c>
      <c r="E5" s="228"/>
      <c r="F5" s="228" t="s">
        <v>315</v>
      </c>
      <c r="G5" s="228"/>
      <c r="H5" s="228" t="s">
        <v>1091</v>
      </c>
      <c r="I5" s="228"/>
      <c r="J5" s="228" t="s">
        <v>1281</v>
      </c>
      <c r="K5" s="228"/>
      <c r="L5" s="228" t="s">
        <v>809</v>
      </c>
      <c r="M5" s="228"/>
    </row>
    <row r="6" spans="1:15" x14ac:dyDescent="0.3">
      <c r="A6" s="229" t="s">
        <v>1001</v>
      </c>
      <c r="B6" s="229"/>
      <c r="C6" s="229"/>
      <c r="D6" s="229" t="s">
        <v>28</v>
      </c>
      <c r="E6" s="229"/>
      <c r="F6" s="229" t="s">
        <v>788</v>
      </c>
      <c r="G6" s="229"/>
      <c r="H6" s="229" t="s">
        <v>296</v>
      </c>
      <c r="I6" s="229"/>
      <c r="J6" s="229" t="s">
        <v>889</v>
      </c>
      <c r="K6" s="229"/>
      <c r="L6" s="229" t="s">
        <v>191</v>
      </c>
      <c r="M6" s="229"/>
    </row>
    <row r="7" spans="1:15" x14ac:dyDescent="0.3">
      <c r="A7" s="234" t="s">
        <v>593</v>
      </c>
      <c r="B7" s="234"/>
      <c r="C7" s="234"/>
      <c r="D7" s="152"/>
      <c r="E7" s="152"/>
      <c r="F7" s="152"/>
      <c r="G7" s="152"/>
      <c r="H7" s="152"/>
      <c r="I7" s="152"/>
      <c r="J7" s="152"/>
      <c r="K7" s="152"/>
      <c r="L7" s="152"/>
      <c r="M7" s="152"/>
    </row>
    <row r="8" spans="1:15" x14ac:dyDescent="0.3">
      <c r="A8" s="231"/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</row>
    <row r="9" spans="1:15" x14ac:dyDescent="0.3">
      <c r="A9" s="231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</row>
    <row r="10" spans="1:15" x14ac:dyDescent="0.3">
      <c r="A10" s="231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</row>
    <row r="11" spans="1:15" s="11" customFormat="1" x14ac:dyDescent="0.3">
      <c r="A11" s="232" t="s">
        <v>203</v>
      </c>
      <c r="B11" s="232"/>
      <c r="C11" s="232"/>
      <c r="D11" s="124"/>
      <c r="E11" s="124"/>
      <c r="F11" s="124"/>
      <c r="G11" s="124"/>
      <c r="H11" s="124"/>
      <c r="I11" s="124"/>
      <c r="J11" s="124"/>
      <c r="K11" s="124"/>
      <c r="L11" s="124"/>
      <c r="M11" s="124"/>
    </row>
    <row r="12" spans="1:15" s="11" customFormat="1" x14ac:dyDescent="0.3">
      <c r="A12" s="231"/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</row>
    <row r="13" spans="1:15" s="11" customFormat="1" x14ac:dyDescent="0.3">
      <c r="A13" s="231"/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</row>
    <row r="14" spans="1:15" s="11" customFormat="1" x14ac:dyDescent="0.3">
      <c r="A14" s="231"/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</row>
    <row r="15" spans="1:15" s="11" customFormat="1" x14ac:dyDescent="0.3">
      <c r="A15" s="232" t="s">
        <v>970</v>
      </c>
      <c r="B15" s="232"/>
      <c r="C15" s="232"/>
      <c r="D15" s="124"/>
      <c r="E15" s="124"/>
      <c r="F15" s="124"/>
      <c r="G15" s="124"/>
      <c r="H15" s="124"/>
      <c r="I15" s="124"/>
      <c r="J15" s="124"/>
      <c r="K15" s="124"/>
      <c r="L15" s="124"/>
      <c r="M15" s="124"/>
    </row>
    <row r="16" spans="1:15" s="11" customFormat="1" x14ac:dyDescent="0.3">
      <c r="A16" s="231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</row>
    <row r="17" spans="1:13" s="11" customFormat="1" x14ac:dyDescent="0.3">
      <c r="A17" s="231"/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</row>
    <row r="18" spans="1:13" s="11" customFormat="1" x14ac:dyDescent="0.3">
      <c r="A18" s="231"/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</row>
    <row r="19" spans="1:13" s="11" customFormat="1" x14ac:dyDescent="0.3">
      <c r="A19" s="232" t="s">
        <v>837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</row>
    <row r="20" spans="1:13" s="11" customFormat="1" x14ac:dyDescent="0.3">
      <c r="A20" s="231"/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</row>
    <row r="21" spans="1:13" s="11" customFormat="1" x14ac:dyDescent="0.3">
      <c r="A21" s="231"/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</row>
    <row r="22" spans="1:13" s="11" customFormat="1" x14ac:dyDescent="0.3">
      <c r="A22" s="232" t="s">
        <v>90</v>
      </c>
      <c r="B22" s="232"/>
      <c r="C22" s="232"/>
      <c r="D22" s="233" t="s">
        <v>676</v>
      </c>
      <c r="E22" s="233"/>
      <c r="F22" s="233" t="s">
        <v>676</v>
      </c>
      <c r="G22" s="233"/>
      <c r="H22" s="233" t="s">
        <v>676</v>
      </c>
      <c r="I22" s="233"/>
      <c r="J22" s="233" t="s">
        <v>676</v>
      </c>
      <c r="K22" s="233"/>
      <c r="L22" s="231">
        <f>L8+L9+L10+L12+L13+L14+L16+L17+L18+L20+L21</f>
        <v>0</v>
      </c>
      <c r="M22" s="231"/>
    </row>
  </sheetData>
  <mergeCells count="89">
    <mergeCell ref="A19:M19"/>
    <mergeCell ref="A18:C18"/>
    <mergeCell ref="D18:E18"/>
    <mergeCell ref="F18:G18"/>
    <mergeCell ref="H18:I18"/>
    <mergeCell ref="J18:K18"/>
    <mergeCell ref="L18:M18"/>
    <mergeCell ref="J17:K17"/>
    <mergeCell ref="L17:M17"/>
    <mergeCell ref="A7:M7"/>
    <mergeCell ref="A11:M11"/>
    <mergeCell ref="A15:M15"/>
    <mergeCell ref="L14:M14"/>
    <mergeCell ref="A14:C14"/>
    <mergeCell ref="D14:E14"/>
    <mergeCell ref="F14:G14"/>
    <mergeCell ref="H14:I14"/>
    <mergeCell ref="J14:K14"/>
    <mergeCell ref="L12:M12"/>
    <mergeCell ref="A13:C13"/>
    <mergeCell ref="D13:E13"/>
    <mergeCell ref="F13:G13"/>
    <mergeCell ref="H13:I13"/>
    <mergeCell ref="L21:M21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0:M20"/>
    <mergeCell ref="A16:C16"/>
    <mergeCell ref="D16:E16"/>
    <mergeCell ref="F16:G16"/>
    <mergeCell ref="H16:I16"/>
    <mergeCell ref="J16:K16"/>
    <mergeCell ref="L16:M16"/>
    <mergeCell ref="A17:C17"/>
    <mergeCell ref="D17:E17"/>
    <mergeCell ref="F17:G17"/>
    <mergeCell ref="A20:C20"/>
    <mergeCell ref="D20:E20"/>
    <mergeCell ref="F20:G20"/>
    <mergeCell ref="H20:I20"/>
    <mergeCell ref="J20:K20"/>
    <mergeCell ref="H17:I17"/>
    <mergeCell ref="J13:K13"/>
    <mergeCell ref="L13:M13"/>
    <mergeCell ref="A12:C12"/>
    <mergeCell ref="D12:E12"/>
    <mergeCell ref="F12:G12"/>
    <mergeCell ref="H12:I12"/>
    <mergeCell ref="J12:K12"/>
    <mergeCell ref="H8:I8"/>
    <mergeCell ref="J8:K8"/>
    <mergeCell ref="L8:M8"/>
    <mergeCell ref="D10:E10"/>
    <mergeCell ref="F10:G10"/>
    <mergeCell ref="H10:I10"/>
    <mergeCell ref="J10:K10"/>
    <mergeCell ref="L10:M10"/>
    <mergeCell ref="D9:E9"/>
    <mergeCell ref="F9:G9"/>
    <mergeCell ref="H9:I9"/>
    <mergeCell ref="J9:K9"/>
    <mergeCell ref="L9:M9"/>
    <mergeCell ref="A8:C8"/>
    <mergeCell ref="A9:C9"/>
    <mergeCell ref="A10:C10"/>
    <mergeCell ref="D8:E8"/>
    <mergeCell ref="F8:G8"/>
    <mergeCell ref="J5:K5"/>
    <mergeCell ref="L5:M5"/>
    <mergeCell ref="A4:C5"/>
    <mergeCell ref="A6:C6"/>
    <mergeCell ref="D6:E6"/>
    <mergeCell ref="F6:G6"/>
    <mergeCell ref="H6:I6"/>
    <mergeCell ref="J6:K6"/>
    <mergeCell ref="D4:M4"/>
    <mergeCell ref="D5:E5"/>
    <mergeCell ref="F5:G5"/>
    <mergeCell ref="H5:I5"/>
    <mergeCell ref="L6:M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59"/>
  <sheetViews>
    <sheetView view="pageBreakPreview" topLeftCell="A2" zoomScaleNormal="100" zoomScaleSheetLayoutView="100" workbookViewId="0">
      <selection activeCell="B8" sqref="B8"/>
    </sheetView>
  </sheetViews>
  <sheetFormatPr defaultColWidth="9.109375" defaultRowHeight="14.4" x14ac:dyDescent="0.3"/>
  <cols>
    <col min="1" max="1" width="16" style="11" customWidth="1"/>
    <col min="2" max="10" width="7.88671875" style="11" customWidth="1"/>
    <col min="11" max="18" width="9.109375" style="8" customWidth="1"/>
    <col min="19" max="16384" width="9.109375" style="11"/>
  </cols>
  <sheetData>
    <row r="1" spans="1:18" x14ac:dyDescent="0.3">
      <c r="B1" s="3"/>
    </row>
    <row r="2" spans="1:18" ht="15.6" x14ac:dyDescent="0.3">
      <c r="A2" s="12" t="s">
        <v>318</v>
      </c>
    </row>
    <row r="4" spans="1:18" s="2" customFormat="1" x14ac:dyDescent="0.3">
      <c r="A4" s="216" t="s">
        <v>90</v>
      </c>
      <c r="B4" s="215" t="s">
        <v>405</v>
      </c>
      <c r="C4" s="215"/>
      <c r="D4" s="215"/>
      <c r="E4" s="215"/>
      <c r="F4" s="215"/>
      <c r="G4" s="215"/>
      <c r="H4" s="215"/>
      <c r="I4" s="215"/>
      <c r="J4" s="215"/>
      <c r="K4" s="9"/>
      <c r="L4" s="9"/>
      <c r="M4" s="9"/>
      <c r="N4" s="9"/>
      <c r="O4" s="9"/>
      <c r="P4" s="9"/>
      <c r="Q4" s="9"/>
      <c r="R4" s="9"/>
    </row>
    <row r="5" spans="1:18" s="1" customFormat="1" ht="105" customHeight="1" x14ac:dyDescent="0.3">
      <c r="A5" s="217"/>
      <c r="B5" s="7" t="s">
        <v>733</v>
      </c>
      <c r="C5" s="7" t="s">
        <v>286</v>
      </c>
      <c r="D5" s="7" t="s">
        <v>429</v>
      </c>
      <c r="E5" s="7" t="s">
        <v>130</v>
      </c>
      <c r="F5" s="7" t="s">
        <v>280</v>
      </c>
      <c r="G5" s="7" t="s">
        <v>529</v>
      </c>
      <c r="H5" s="7" t="s">
        <v>110</v>
      </c>
      <c r="I5" s="7" t="s">
        <v>50</v>
      </c>
      <c r="J5" s="7" t="s">
        <v>518</v>
      </c>
      <c r="K5" s="10"/>
      <c r="L5" s="10"/>
      <c r="M5" s="10"/>
      <c r="N5" s="10"/>
      <c r="O5" s="10"/>
      <c r="P5" s="10"/>
      <c r="Q5" s="10"/>
      <c r="R5" s="10"/>
    </row>
    <row r="6" spans="1:18" x14ac:dyDescent="0.3">
      <c r="A6" s="53" t="s">
        <v>1001</v>
      </c>
      <c r="B6" s="53" t="s">
        <v>28</v>
      </c>
      <c r="C6" s="53" t="s">
        <v>788</v>
      </c>
      <c r="D6" s="53" t="s">
        <v>296</v>
      </c>
      <c r="E6" s="53" t="s">
        <v>889</v>
      </c>
      <c r="F6" s="53" t="s">
        <v>191</v>
      </c>
      <c r="G6" s="53" t="s">
        <v>747</v>
      </c>
      <c r="H6" s="53" t="s">
        <v>139</v>
      </c>
      <c r="I6" s="53" t="s">
        <v>778</v>
      </c>
      <c r="J6" s="53" t="s">
        <v>303</v>
      </c>
    </row>
    <row r="7" spans="1:18" ht="15.9" customHeight="1" x14ac:dyDescent="0.3">
      <c r="A7" s="52" t="s">
        <v>437</v>
      </c>
      <c r="B7" s="152"/>
      <c r="C7" s="152"/>
      <c r="D7" s="152"/>
      <c r="E7" s="152"/>
      <c r="F7" s="152"/>
      <c r="G7" s="152"/>
      <c r="H7" s="152"/>
      <c r="I7" s="152"/>
      <c r="J7" s="152"/>
    </row>
    <row r="8" spans="1:18" ht="26.1" customHeight="1" x14ac:dyDescent="0.3">
      <c r="A8" s="5" t="s">
        <v>400</v>
      </c>
      <c r="B8" s="14">
        <f>IF(ISERROR(VLOOKUP(221,Suvaha_BO!A:F,4,0)),0,VLOOKUP(221,Suvaha_BO!A:F,4,0))</f>
        <v>0</v>
      </c>
      <c r="C8" s="14">
        <f>IF(ISERROR(VLOOKUP(231,Suvaha_BO!A:F,4,0)),0,VLOOKUP(231,Suvaha_BO!A:F,4,0))</f>
        <v>0</v>
      </c>
      <c r="D8" s="14">
        <f>IF(ISERROR(VLOOKUP(241,Suvaha_BO!A:F,4,0)),0,VLOOKUP(241,Suvaha_BO!A:F,4,0))</f>
        <v>0</v>
      </c>
      <c r="E8" s="14">
        <f>IF(ISERROR(VLOOKUP(251,Suvaha_BO!A:F,4,0)),0,VLOOKUP(251,Suvaha_BO!A:F,4,0))</f>
        <v>0</v>
      </c>
      <c r="F8" s="14">
        <f>IF(ISERROR(VLOOKUP(261,Suvaha_BO!A:F,4,0)),0,VLOOKUP(261,Suvaha_BO!A:F,4,0))</f>
        <v>0</v>
      </c>
      <c r="G8" s="14">
        <f>IF(ISERROR(VLOOKUP(271,Suvaha_BO!A:F,4,0)),0,VLOOKUP(271,Suvaha_BO!A:F,4,0))</f>
        <v>0</v>
      </c>
      <c r="H8" s="14">
        <f>IF(ISERROR(VLOOKUP(281,Suvaha_BO!A:F,4,0)),0,VLOOKUP(281,Suvaha_BO!A:F,4,0))</f>
        <v>0</v>
      </c>
      <c r="I8" s="14">
        <f>IF(ISERROR(VLOOKUP(291,Suvaha_BO!A:F,4,0)),0,VLOOKUP(291,Suvaha_BO!A:F,4,0))</f>
        <v>0</v>
      </c>
      <c r="J8" s="14">
        <f>B8+C8+D8+E8+F8+G8+H8+I8</f>
        <v>0</v>
      </c>
    </row>
    <row r="9" spans="1:18" ht="15.9" customHeight="1" x14ac:dyDescent="0.3">
      <c r="A9" s="4" t="s">
        <v>197</v>
      </c>
      <c r="B9" s="14">
        <f>IF(ISERROR(VLOOKUP(221,Suvaha_BO!A:F,5,0)),0,VLOOKUP(221,Suvaha_BO!A:F,5,0))</f>
        <v>0</v>
      </c>
      <c r="C9" s="14">
        <f>IF(ISERROR(VLOOKUP(231,Suvaha_BO!A:F,5,0)),0,VLOOKUP(231,Suvaha_BO!A:F,5,0))</f>
        <v>0</v>
      </c>
      <c r="D9" s="14">
        <f>IF(ISERROR(VLOOKUP(241,Suvaha_BO!A:F,5,0)),0,VLOOKUP(241,Suvaha_BO!A:F,5,0))</f>
        <v>0</v>
      </c>
      <c r="E9" s="14">
        <f>IF(ISERROR(VLOOKUP(251,Suvaha_BO!A:F,5,0)),0,VLOOKUP(251,Suvaha_BO!A:F,5,0))</f>
        <v>0</v>
      </c>
      <c r="F9" s="14">
        <f>IF(ISERROR(VLOOKUP(261,Suvaha_BO!A:F,5,0)),0,VLOOKUP(261,Suvaha_BO!A:F,5,0))</f>
        <v>0</v>
      </c>
      <c r="G9" s="14">
        <f>IF(ISERROR(VLOOKUP(271,Suvaha_BO!A:F,5,0)),0,VLOOKUP(271,Suvaha_BO!A:F,5,0))</f>
        <v>0</v>
      </c>
      <c r="H9" s="14">
        <f>IF(ISERROR(VLOOKUP(281,Suvaha_BO!A:F,5,0)),0,VLOOKUP(281,Suvaha_BO!A:F,5,0))</f>
        <v>0</v>
      </c>
      <c r="I9" s="14">
        <f>IF(ISERROR(VLOOKUP(291,Suvaha_BO!A:F,5,0)),0,VLOOKUP(291,Suvaha_BO!A:F,5,0))</f>
        <v>0</v>
      </c>
      <c r="J9" s="14">
        <f>B9+C9+D9+E9+F9+G9+H9+I9</f>
        <v>0</v>
      </c>
    </row>
    <row r="10" spans="1:18" ht="15.9" customHeight="1" x14ac:dyDescent="0.3">
      <c r="A10" s="4" t="s">
        <v>484</v>
      </c>
      <c r="B10" s="14">
        <f>IF(ISERROR(VLOOKUP(221,Suvaha_BO!A:F,6,0)),0,VLOOKUP(221,Suvaha_BO!A:F,6,0))</f>
        <v>0</v>
      </c>
      <c r="C10" s="14">
        <f>IF(ISERROR(VLOOKUP(231,Suvaha_BO!A:F,6,0)),0,VLOOKUP(231,Suvaha_BO!A:F,6,0))</f>
        <v>0</v>
      </c>
      <c r="D10" s="14">
        <f>IF(ISERROR(VLOOKUP(241,Suvaha_BO!A:F,6,0)),0,VLOOKUP(241,Suvaha_BO!A:F,6,0))</f>
        <v>0</v>
      </c>
      <c r="E10" s="14">
        <f>IF(ISERROR(VLOOKUP(251,Suvaha_BO!A:F,6,0)),0,VLOOKUP(251,Suvaha_BO!A:F,6,0))</f>
        <v>0</v>
      </c>
      <c r="F10" s="14">
        <f>IF(ISERROR(VLOOKUP(261,Suvaha_BO!A:F,6,0)),0,VLOOKUP(261,Suvaha_BO!A:F,6,0))</f>
        <v>0</v>
      </c>
      <c r="G10" s="14">
        <f>IF(ISERROR(VLOOKUP(271,Suvaha_BO!A:F,6,0)),0,VLOOKUP(271,Suvaha_BO!A:F,6,0))</f>
        <v>0</v>
      </c>
      <c r="H10" s="14">
        <f>IF(ISERROR(VLOOKUP(281,Suvaha_BO!A:F,6,0)),0,VLOOKUP(281,Suvaha_BO!A:F,6,0))</f>
        <v>0</v>
      </c>
      <c r="I10" s="14">
        <f>IF(ISERROR(VLOOKUP(291,Suvaha_BO!A:F,6,0)),0,VLOOKUP(291,Suvaha_BO!A:F,6,0))</f>
        <v>0</v>
      </c>
      <c r="J10" s="14">
        <f>B10+C10+D10+E10+F10+G10+H10+I10</f>
        <v>0</v>
      </c>
    </row>
    <row r="11" spans="1:18" ht="15.9" customHeight="1" x14ac:dyDescent="0.3">
      <c r="A11" s="4" t="s">
        <v>990</v>
      </c>
      <c r="B11" s="14"/>
      <c r="C11" s="14"/>
      <c r="D11" s="14"/>
      <c r="E11" s="14"/>
      <c r="F11" s="14"/>
      <c r="G11" s="14"/>
      <c r="H11" s="14"/>
      <c r="I11" s="14"/>
      <c r="J11" s="14">
        <f>B11+C11+D11+E11+F11+G11+H11+I11</f>
        <v>0</v>
      </c>
    </row>
    <row r="12" spans="1:18" ht="26.1" customHeight="1" x14ac:dyDescent="0.3">
      <c r="A12" s="5" t="s">
        <v>1298</v>
      </c>
      <c r="B12" s="14">
        <f t="shared" ref="B12:I12" si="0">B8+B9-B10-B11</f>
        <v>0</v>
      </c>
      <c r="C12" s="14">
        <f t="shared" si="0"/>
        <v>0</v>
      </c>
      <c r="D12" s="14">
        <f t="shared" si="0"/>
        <v>0</v>
      </c>
      <c r="E12" s="14">
        <f t="shared" si="0"/>
        <v>0</v>
      </c>
      <c r="F12" s="14">
        <f t="shared" si="0"/>
        <v>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4">
        <f>B12+C12+D12+E12+F12+G12+H12+I12</f>
        <v>0</v>
      </c>
    </row>
    <row r="13" spans="1:18" s="8" customFormat="1" ht="15.9" customHeight="1" x14ac:dyDescent="0.3">
      <c r="A13" s="4" t="s">
        <v>1266</v>
      </c>
      <c r="B13" s="123"/>
      <c r="C13" s="123"/>
      <c r="D13" s="123"/>
      <c r="E13" s="123"/>
      <c r="F13" s="123"/>
      <c r="G13" s="123"/>
      <c r="H13" s="123"/>
      <c r="I13" s="123"/>
      <c r="J13" s="123"/>
    </row>
    <row r="14" spans="1:18" s="8" customFormat="1" ht="26.1" customHeight="1" x14ac:dyDescent="0.3">
      <c r="A14" s="5" t="s">
        <v>400</v>
      </c>
      <c r="B14" s="14">
        <f>IF(ISERROR(VLOOKUP(222,Suvaha_BO!A:F,4,0)),0,VLOOKUP(222,Suvaha_BO!A:F,4,0))</f>
        <v>0</v>
      </c>
      <c r="C14" s="14">
        <f>IF(ISERROR(VLOOKUP(232,Suvaha_BO!A:F,4,0)),0,VLOOKUP(232,Suvaha_BO!A:F,4,0))</f>
        <v>0</v>
      </c>
      <c r="D14" s="14">
        <f>IF(ISERROR(VLOOKUP(242,Suvaha_BO!A:F,4,0)),0,VLOOKUP(242,Suvaha_BO!A:F,4,0))</f>
        <v>0</v>
      </c>
      <c r="E14" s="14">
        <f>IF(ISERROR(VLOOKUP(252,Suvaha_BO!A:F,4,0)),0,VLOOKUP(252,Suvaha_BO!A:F,4,0))</f>
        <v>0</v>
      </c>
      <c r="F14" s="14">
        <f>IF(ISERROR(VLOOKUP(262,Suvaha_BO!A:F,4,0)),0,VLOOKUP(262,Suvaha_BO!A:F,4,0))</f>
        <v>0</v>
      </c>
      <c r="G14" s="14">
        <f>IF(ISERROR(VLOOKUP(272,Suvaha_BO!A:F,4,0)),0,VLOOKUP(272,Suvaha_BO!A:F,4,0))</f>
        <v>0</v>
      </c>
      <c r="H14" s="14">
        <f>IF(ISERROR(VLOOKUP(282,Suvaha_BO!A:F,4,0)),0,VLOOKUP(282,Suvaha_BO!A:F,4,0))</f>
        <v>0</v>
      </c>
      <c r="I14" s="14">
        <f>IF(ISERROR(VLOOKUP(292,Suvaha_BO!A:F,4,0)),0,VLOOKUP(292,Suvaha_BO!A:F,4,0))</f>
        <v>0</v>
      </c>
      <c r="J14" s="14">
        <f>B14+C14+D14+E14+F14+G14+H14+I14</f>
        <v>0</v>
      </c>
    </row>
    <row r="15" spans="1:18" s="8" customFormat="1" ht="15.9" customHeight="1" x14ac:dyDescent="0.3">
      <c r="A15" s="4" t="s">
        <v>197</v>
      </c>
      <c r="B15" s="14">
        <f>IF(ISERROR(VLOOKUP(222,Suvaha_BO!A:F,6,0)),0,VLOOKUP(222,Suvaha_BO!A:F,6,0))</f>
        <v>0</v>
      </c>
      <c r="C15" s="14">
        <f>IF(ISERROR(VLOOKUP(232,Suvaha_BO!A:F,6,0)),0,VLOOKUP(232,Suvaha_BO!A:F,6,0))</f>
        <v>0</v>
      </c>
      <c r="D15" s="14">
        <f>IF(ISERROR(VLOOKUP(242,Suvaha_BO!A:F,6,0)),0,VLOOKUP(242,Suvaha_BO!A:F,6,0))</f>
        <v>0</v>
      </c>
      <c r="E15" s="14">
        <f>IF(ISERROR(VLOOKUP(252,Suvaha_BO!A:F,6,0)),0,VLOOKUP(252,Suvaha_BO!A:F,6,0))</f>
        <v>0</v>
      </c>
      <c r="F15" s="14">
        <f>IF(ISERROR(VLOOKUP(262,Suvaha_BO!A:F,6,0)),0,VLOOKUP(262,Suvaha_BO!A:F,6,0))</f>
        <v>0</v>
      </c>
      <c r="G15" s="14">
        <f>IF(ISERROR(VLOOKUP(272,Suvaha_BO!A:F,6,0)),0,VLOOKUP(272,Suvaha_BO!A:F,6,0))</f>
        <v>0</v>
      </c>
      <c r="H15" s="14">
        <f>IF(ISERROR(VLOOKUP(282,Suvaha_BO!A:F,6,0)),0,VLOOKUP(282,Suvaha_BO!A:F,6,0))</f>
        <v>0</v>
      </c>
      <c r="I15" s="14">
        <f>IF(ISERROR(VLOOKUP(292,Suvaha_BO!A:F,6,0)),0,VLOOKUP(292,Suvaha_BO!A:F,6,0))</f>
        <v>0</v>
      </c>
      <c r="J15" s="14">
        <f>B15+C15+D15+E15+F15+G15+H15+I15</f>
        <v>0</v>
      </c>
    </row>
    <row r="16" spans="1:18" s="8" customFormat="1" ht="15.9" customHeight="1" x14ac:dyDescent="0.3">
      <c r="A16" s="4" t="s">
        <v>484</v>
      </c>
      <c r="B16" s="14">
        <f>IF(ISERROR(VLOOKUP(222,Suvaha_BO!A:F,5,0)),0,VLOOKUP(222,Suvaha_BO!A:F,5,0))</f>
        <v>0</v>
      </c>
      <c r="C16" s="14">
        <f>IF(ISERROR(VLOOKUP(232,Suvaha_BO!A:F,5,0)),0,VLOOKUP(232,Suvaha_BO!A:F,5,0))</f>
        <v>0</v>
      </c>
      <c r="D16" s="14">
        <f>IF(ISERROR(VLOOKUP(242,Suvaha_BO!A:F,5,0)),0,VLOOKUP(242,Suvaha_BO!A:F,5,0))</f>
        <v>0</v>
      </c>
      <c r="E16" s="14">
        <f>IF(ISERROR(VLOOKUP(252,Suvaha_BO!A:F,5,0)),0,VLOOKUP(252,Suvaha_BO!A:F,5,0))</f>
        <v>0</v>
      </c>
      <c r="F16" s="14">
        <f>IF(ISERROR(VLOOKUP(262,Suvaha_BO!A:F,5,0)),0,VLOOKUP(262,Suvaha_BO!A:F,5,0))</f>
        <v>0</v>
      </c>
      <c r="G16" s="14">
        <f>IF(ISERROR(VLOOKUP(272,Suvaha_BO!A:F,5,0)),0,VLOOKUP(272,Suvaha_BO!A:F,5,0))</f>
        <v>0</v>
      </c>
      <c r="H16" s="14">
        <f>IF(ISERROR(VLOOKUP(282,Suvaha_BO!A:F,5,0)),0,VLOOKUP(282,Suvaha_BO!A:F,5,0))</f>
        <v>0</v>
      </c>
      <c r="I16" s="14">
        <f>IF(ISERROR(VLOOKUP(292,Suvaha_BO!A:F,5,0)),0,VLOOKUP(292,Suvaha_BO!A:F,5,0))</f>
        <v>0</v>
      </c>
      <c r="J16" s="14">
        <f>B16+C16+D16+E16+F16+G16+H16+I16</f>
        <v>0</v>
      </c>
    </row>
    <row r="17" spans="1:10" s="8" customFormat="1" ht="26.1" customHeight="1" x14ac:dyDescent="0.3">
      <c r="A17" s="5" t="s">
        <v>1298</v>
      </c>
      <c r="B17" s="14">
        <f t="shared" ref="B17:I17" si="1">B14+B15-B16</f>
        <v>0</v>
      </c>
      <c r="C17" s="14">
        <f t="shared" si="1"/>
        <v>0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0</v>
      </c>
      <c r="I17" s="14">
        <f t="shared" si="1"/>
        <v>0</v>
      </c>
      <c r="J17" s="14">
        <f>B17+C17+D17+E17+F17+G17+H17+I17</f>
        <v>0</v>
      </c>
    </row>
    <row r="18" spans="1:10" s="8" customFormat="1" ht="15.9" customHeight="1" x14ac:dyDescent="0.3">
      <c r="A18" s="4" t="s">
        <v>1057</v>
      </c>
      <c r="B18" s="123"/>
      <c r="C18" s="123"/>
      <c r="D18" s="123"/>
      <c r="E18" s="123"/>
      <c r="F18" s="123"/>
      <c r="G18" s="123"/>
      <c r="H18" s="123"/>
      <c r="I18" s="123"/>
      <c r="J18" s="123"/>
    </row>
    <row r="19" spans="1:10" s="8" customFormat="1" ht="26.1" customHeight="1" x14ac:dyDescent="0.3">
      <c r="A19" s="5" t="s">
        <v>400</v>
      </c>
      <c r="B19" s="14">
        <f t="shared" ref="B19:J19" si="2">B8-B14</f>
        <v>0</v>
      </c>
      <c r="C19" s="14">
        <f t="shared" si="2"/>
        <v>0</v>
      </c>
      <c r="D19" s="14">
        <f t="shared" si="2"/>
        <v>0</v>
      </c>
      <c r="E19" s="14">
        <f t="shared" si="2"/>
        <v>0</v>
      </c>
      <c r="F19" s="14">
        <f t="shared" si="2"/>
        <v>0</v>
      </c>
      <c r="G19" s="14">
        <f t="shared" si="2"/>
        <v>0</v>
      </c>
      <c r="H19" s="14">
        <f t="shared" si="2"/>
        <v>0</v>
      </c>
      <c r="I19" s="14">
        <f t="shared" si="2"/>
        <v>0</v>
      </c>
      <c r="J19" s="14">
        <f t="shared" si="2"/>
        <v>0</v>
      </c>
    </row>
    <row r="20" spans="1:10" s="8" customFormat="1" ht="26.1" customHeight="1" x14ac:dyDescent="0.3">
      <c r="A20" s="5" t="s">
        <v>1298</v>
      </c>
      <c r="B20" s="14">
        <f t="shared" ref="B20:J20" si="3">B12-B17</f>
        <v>0</v>
      </c>
      <c r="C20" s="14">
        <f t="shared" si="3"/>
        <v>0</v>
      </c>
      <c r="D20" s="14">
        <f t="shared" si="3"/>
        <v>0</v>
      </c>
      <c r="E20" s="14">
        <f t="shared" si="3"/>
        <v>0</v>
      </c>
      <c r="F20" s="14">
        <f t="shared" si="3"/>
        <v>0</v>
      </c>
      <c r="G20" s="14">
        <f t="shared" si="3"/>
        <v>0</v>
      </c>
      <c r="H20" s="14">
        <f t="shared" si="3"/>
        <v>0</v>
      </c>
      <c r="I20" s="14">
        <f t="shared" si="3"/>
        <v>0</v>
      </c>
      <c r="J20" s="14">
        <f t="shared" si="3"/>
        <v>0</v>
      </c>
    </row>
    <row r="41" spans="1:18" ht="15.6" x14ac:dyDescent="0.3">
      <c r="A41" s="12" t="s">
        <v>1319</v>
      </c>
    </row>
    <row r="43" spans="1:18" s="2" customFormat="1" x14ac:dyDescent="0.3">
      <c r="A43" s="216" t="s">
        <v>90</v>
      </c>
      <c r="B43" s="215" t="s">
        <v>430</v>
      </c>
      <c r="C43" s="215"/>
      <c r="D43" s="215"/>
      <c r="E43" s="215"/>
      <c r="F43" s="215"/>
      <c r="G43" s="215"/>
      <c r="H43" s="215"/>
      <c r="I43" s="215"/>
      <c r="J43" s="215"/>
      <c r="K43" s="9"/>
      <c r="L43" s="9"/>
      <c r="M43" s="9"/>
      <c r="N43" s="9"/>
      <c r="O43" s="9"/>
      <c r="P43" s="9"/>
      <c r="Q43" s="9"/>
      <c r="R43" s="9"/>
    </row>
    <row r="44" spans="1:18" s="1" customFormat="1" ht="105" customHeight="1" x14ac:dyDescent="0.3">
      <c r="A44" s="217"/>
      <c r="B44" s="7" t="s">
        <v>733</v>
      </c>
      <c r="C44" s="7" t="s">
        <v>286</v>
      </c>
      <c r="D44" s="7" t="s">
        <v>429</v>
      </c>
      <c r="E44" s="7" t="s">
        <v>130</v>
      </c>
      <c r="F44" s="7" t="s">
        <v>280</v>
      </c>
      <c r="G44" s="7" t="s">
        <v>529</v>
      </c>
      <c r="H44" s="7" t="s">
        <v>110</v>
      </c>
      <c r="I44" s="7" t="s">
        <v>50</v>
      </c>
      <c r="J44" s="7" t="s">
        <v>518</v>
      </c>
      <c r="K44" s="10"/>
      <c r="L44" s="10"/>
      <c r="M44" s="10"/>
      <c r="N44" s="10"/>
      <c r="O44" s="10"/>
      <c r="P44" s="10"/>
      <c r="Q44" s="10"/>
      <c r="R44" s="10"/>
    </row>
    <row r="45" spans="1:18" x14ac:dyDescent="0.3">
      <c r="A45" s="53" t="s">
        <v>1001</v>
      </c>
      <c r="B45" s="53" t="s">
        <v>28</v>
      </c>
      <c r="C45" s="53" t="s">
        <v>788</v>
      </c>
      <c r="D45" s="53" t="s">
        <v>296</v>
      </c>
      <c r="E45" s="53" t="s">
        <v>889</v>
      </c>
      <c r="F45" s="53" t="s">
        <v>191</v>
      </c>
      <c r="G45" s="53" t="s">
        <v>747</v>
      </c>
      <c r="H45" s="53" t="s">
        <v>139</v>
      </c>
      <c r="I45" s="53" t="s">
        <v>778</v>
      </c>
      <c r="J45" s="53" t="s">
        <v>303</v>
      </c>
    </row>
    <row r="46" spans="1:18" ht="15.9" customHeight="1" x14ac:dyDescent="0.3">
      <c r="A46" s="52" t="s">
        <v>437</v>
      </c>
      <c r="B46" s="152"/>
      <c r="C46" s="152"/>
      <c r="D46" s="152"/>
      <c r="E46" s="152"/>
      <c r="F46" s="152"/>
      <c r="G46" s="152"/>
      <c r="H46" s="152"/>
      <c r="I46" s="152"/>
      <c r="J46" s="152"/>
    </row>
    <row r="47" spans="1:18" ht="26.1" customHeight="1" x14ac:dyDescent="0.3">
      <c r="A47" s="5" t="s">
        <v>400</v>
      </c>
      <c r="B47" s="14">
        <f>IF(ISERROR(VLOOKUP(221,Suvaha_PO!A:F,4,0)),0,VLOOKUP(221,Suvaha_PO!A:F,4,0))</f>
        <v>0</v>
      </c>
      <c r="C47" s="14">
        <f>IF(ISERROR(VLOOKUP(231,Suvaha_PO!A:F,4,0)),0,VLOOKUP(231,Suvaha_PO!A:F,4,0))</f>
        <v>0</v>
      </c>
      <c r="D47" s="14">
        <f>IF(ISERROR(VLOOKUP(241,Suvaha_PO!A:F,4,0)),0,VLOOKUP(241,Suvaha_PO!A:F,4,0))</f>
        <v>0</v>
      </c>
      <c r="E47" s="14">
        <f>IF(ISERROR(VLOOKUP(251,Suvaha_PO!A:F,4,0)),0,VLOOKUP(251,Suvaha_PO!A:F,4,0))</f>
        <v>0</v>
      </c>
      <c r="F47" s="14">
        <f>IF(ISERROR(VLOOKUP(261,Suvaha_PO!A:F,4,0)),0,VLOOKUP(261,Suvaha_PO!A:F,4,0))</f>
        <v>0</v>
      </c>
      <c r="G47" s="14">
        <f>IF(ISERROR(VLOOKUP(271,Suvaha_PO!A:F,4,0)),0,VLOOKUP(271,Suvaha_PO!A:F,4,0))</f>
        <v>0</v>
      </c>
      <c r="H47" s="14">
        <f>IF(ISERROR(VLOOKUP(281,Suvaha_PO!A:F,4,0)),0,VLOOKUP(281,Suvaha_PO!A:F,4,0))</f>
        <v>0</v>
      </c>
      <c r="I47" s="14">
        <f>IF(ISERROR(VLOOKUP(291,Suvaha_PO!A:F,4,0)),0,VLOOKUP(291,Suvaha_PO!A:F,4,0))</f>
        <v>0</v>
      </c>
      <c r="J47" s="14">
        <f>B47+C47+D47+E47+F47+G47+H47+I47</f>
        <v>0</v>
      </c>
    </row>
    <row r="48" spans="1:18" ht="15.9" customHeight="1" x14ac:dyDescent="0.3">
      <c r="A48" s="4" t="s">
        <v>197</v>
      </c>
      <c r="B48" s="14">
        <f>IF(ISERROR(VLOOKUP(221,Suvaha_PO!A:F,5,0)),0,VLOOKUP(221,Suvaha_PO!A:F,5,0))</f>
        <v>0</v>
      </c>
      <c r="C48" s="14">
        <f>IF(ISERROR(VLOOKUP(231,Suvaha_PO!A:F,5,0)),0,VLOOKUP(231,Suvaha_PO!A:F,5,0))</f>
        <v>0</v>
      </c>
      <c r="D48" s="14">
        <f>IF(ISERROR(VLOOKUP(241,Suvaha_PO!A:F,5,0)),0,VLOOKUP(241,Suvaha_PO!A:F,5,0))</f>
        <v>0</v>
      </c>
      <c r="E48" s="14">
        <f>IF(ISERROR(VLOOKUP(251,Suvaha_PO!A:F,5,0)),0,VLOOKUP(251,Suvaha_PO!A:F,5,0))</f>
        <v>0</v>
      </c>
      <c r="F48" s="14">
        <f>IF(ISERROR(VLOOKUP(261,Suvaha_PO!A:F,5,0)),0,VLOOKUP(261,Suvaha_PO!A:F,5,0))</f>
        <v>0</v>
      </c>
      <c r="G48" s="14">
        <f>IF(ISERROR(VLOOKUP(271,Suvaha_PO!A:F,5,0)),0,VLOOKUP(271,Suvaha_PO!A:F,5,0))</f>
        <v>0</v>
      </c>
      <c r="H48" s="14">
        <f>IF(ISERROR(VLOOKUP(281,Suvaha_PO!A:F,5,0)),0,VLOOKUP(281,Suvaha_PO!A:F,5,0))</f>
        <v>0</v>
      </c>
      <c r="I48" s="14">
        <f>IF(ISERROR(VLOOKUP(291,Suvaha_PO!A:F,5,0)),0,VLOOKUP(291,Suvaha_PO!A:F,5,0))</f>
        <v>0</v>
      </c>
      <c r="J48" s="14">
        <f>B48+C48+D48+E48+F48+G48+H48+I48</f>
        <v>0</v>
      </c>
    </row>
    <row r="49" spans="1:10" ht="15.9" customHeight="1" x14ac:dyDescent="0.3">
      <c r="A49" s="4" t="s">
        <v>484</v>
      </c>
      <c r="B49" s="14">
        <f>IF(ISERROR(VLOOKUP(221,Suvaha_PO!A:F,6,0)),0,VLOOKUP(221,Suvaha_PO!A:F,6,0))</f>
        <v>0</v>
      </c>
      <c r="C49" s="14">
        <f>IF(ISERROR(VLOOKUP(231,Suvaha_PO!A:F,6,0)),0,VLOOKUP(231,Suvaha_PO!A:F,6,0))</f>
        <v>0</v>
      </c>
      <c r="D49" s="14">
        <f>IF(ISERROR(VLOOKUP(241,Suvaha_PO!A:F,6,0)),0,VLOOKUP(241,Suvaha_PO!A:F,6,0))</f>
        <v>0</v>
      </c>
      <c r="E49" s="14">
        <f>IF(ISERROR(VLOOKUP(251,Suvaha_PO!A:F,6,0)),0,VLOOKUP(251,Suvaha_PO!A:F,6,0))</f>
        <v>0</v>
      </c>
      <c r="F49" s="14">
        <f>IF(ISERROR(VLOOKUP(261,Suvaha_PO!A:F,6,0)),0,VLOOKUP(261,Suvaha_PO!A:F,6,0))</f>
        <v>0</v>
      </c>
      <c r="G49" s="14">
        <f>IF(ISERROR(VLOOKUP(271,Suvaha_PO!A:F,6,0)),0,VLOOKUP(271,Suvaha_PO!A:F,6,0))</f>
        <v>0</v>
      </c>
      <c r="H49" s="14">
        <f>IF(ISERROR(VLOOKUP(281,Suvaha_PO!A:F,6,0)),0,VLOOKUP(281,Suvaha_PO!A:F,6,0))</f>
        <v>0</v>
      </c>
      <c r="I49" s="14">
        <f>IF(ISERROR(VLOOKUP(291,Suvaha_PO!A:F,6,0)),0,VLOOKUP(291,Suvaha_PO!A:F,6,0))</f>
        <v>0</v>
      </c>
      <c r="J49" s="14">
        <f>B49+C49+D49+E49+F49+G49+H49+I49</f>
        <v>0</v>
      </c>
    </row>
    <row r="50" spans="1:10" ht="15.9" customHeight="1" x14ac:dyDescent="0.3">
      <c r="A50" s="4" t="s">
        <v>990</v>
      </c>
      <c r="B50" s="14"/>
      <c r="C50" s="14"/>
      <c r="D50" s="14"/>
      <c r="E50" s="14"/>
      <c r="F50" s="14"/>
      <c r="G50" s="14"/>
      <c r="H50" s="14"/>
      <c r="I50" s="14"/>
      <c r="J50" s="14">
        <f>B50+C50+D50+E50+F50+G50+H50+I50</f>
        <v>0</v>
      </c>
    </row>
    <row r="51" spans="1:10" ht="26.1" customHeight="1" x14ac:dyDescent="0.3">
      <c r="A51" s="5" t="s">
        <v>1298</v>
      </c>
      <c r="B51" s="14">
        <f t="shared" ref="B51:I51" si="4">B47+B48-B49-B50</f>
        <v>0</v>
      </c>
      <c r="C51" s="14">
        <f t="shared" si="4"/>
        <v>0</v>
      </c>
      <c r="D51" s="14">
        <f t="shared" si="4"/>
        <v>0</v>
      </c>
      <c r="E51" s="14">
        <f t="shared" si="4"/>
        <v>0</v>
      </c>
      <c r="F51" s="14">
        <f t="shared" si="4"/>
        <v>0</v>
      </c>
      <c r="G51" s="14">
        <f t="shared" si="4"/>
        <v>0</v>
      </c>
      <c r="H51" s="14">
        <f t="shared" si="4"/>
        <v>0</v>
      </c>
      <c r="I51" s="14">
        <f t="shared" si="4"/>
        <v>0</v>
      </c>
      <c r="J51" s="14">
        <f>B51+C51+D51+E51+F51+G51+H51+I51</f>
        <v>0</v>
      </c>
    </row>
    <row r="52" spans="1:10" s="8" customFormat="1" ht="15.9" customHeight="1" x14ac:dyDescent="0.3">
      <c r="A52" s="4" t="s">
        <v>1266</v>
      </c>
      <c r="B52" s="123"/>
      <c r="C52" s="123"/>
      <c r="D52" s="123"/>
      <c r="E52" s="123"/>
      <c r="F52" s="123"/>
      <c r="G52" s="123"/>
      <c r="H52" s="123"/>
      <c r="I52" s="123"/>
      <c r="J52" s="123"/>
    </row>
    <row r="53" spans="1:10" s="8" customFormat="1" ht="26.1" customHeight="1" x14ac:dyDescent="0.3">
      <c r="A53" s="5" t="s">
        <v>400</v>
      </c>
      <c r="B53" s="14">
        <f>IF(ISERROR(VLOOKUP(222,Suvaha_PO!A:F,4,0)),0,VLOOKUP(222,Suvaha_PO!A:F,4,0))</f>
        <v>0</v>
      </c>
      <c r="C53" s="14">
        <f>IF(ISERROR(VLOOKUP(232,Suvaha_PO!A:F,4,0)),0,VLOOKUP(232,Suvaha_PO!A:F,4,0))</f>
        <v>0</v>
      </c>
      <c r="D53" s="14">
        <f>IF(ISERROR(VLOOKUP(242,Suvaha_PO!A:F,4,0)),0,VLOOKUP(242,Suvaha_PO!A:F,4,0))</f>
        <v>0</v>
      </c>
      <c r="E53" s="14">
        <f>IF(ISERROR(VLOOKUP(252,Suvaha_PO!A:F,4,0)),0,VLOOKUP(252,Suvaha_PO!A:F,4,0))</f>
        <v>0</v>
      </c>
      <c r="F53" s="14">
        <f>IF(ISERROR(VLOOKUP(262,Suvaha_PO!A:F,4,0)),0,VLOOKUP(262,Suvaha_PO!A:F,4,0))</f>
        <v>0</v>
      </c>
      <c r="G53" s="14">
        <f>IF(ISERROR(VLOOKUP(272,Suvaha_PO!A:F,4,0)),0,VLOOKUP(272,Suvaha_PO!A:F,4,0))</f>
        <v>0</v>
      </c>
      <c r="H53" s="14">
        <f>IF(ISERROR(VLOOKUP(282,Suvaha_PO!A:F,4,0)),0,VLOOKUP(282,Suvaha_PO!A:F,4,0))</f>
        <v>0</v>
      </c>
      <c r="I53" s="14">
        <f>IF(ISERROR(VLOOKUP(292,Suvaha_PO!A:F,4,0)),0,VLOOKUP(292,Suvaha_PO!A:F,4,0))</f>
        <v>0</v>
      </c>
      <c r="J53" s="14">
        <f>B53+C53+D53+E53+F53+G53+H53+I53</f>
        <v>0</v>
      </c>
    </row>
    <row r="54" spans="1:10" s="8" customFormat="1" ht="15.9" customHeight="1" x14ac:dyDescent="0.3">
      <c r="A54" s="4" t="s">
        <v>197</v>
      </c>
      <c r="B54" s="14">
        <f>IF(ISERROR(VLOOKUP(222,Suvaha_PO!A:F,6,0)),0,VLOOKUP(222,Suvaha_PO!A:F,6,0))</f>
        <v>0</v>
      </c>
      <c r="C54" s="14">
        <f>IF(ISERROR(VLOOKUP(232,Suvaha_PO!A:F,6,0)),0,VLOOKUP(232,Suvaha_PO!A:F,6,0))</f>
        <v>0</v>
      </c>
      <c r="D54" s="14">
        <f>IF(ISERROR(VLOOKUP(242,Suvaha_PO!A:F,6,0)),0,VLOOKUP(242,Suvaha_PO!A:F,6,0))</f>
        <v>0</v>
      </c>
      <c r="E54" s="14">
        <f>IF(ISERROR(VLOOKUP(252,Suvaha_PO!A:F,6,0)),0,VLOOKUP(252,Suvaha_PO!A:F,6,0))</f>
        <v>0</v>
      </c>
      <c r="F54" s="14">
        <f>IF(ISERROR(VLOOKUP(262,Suvaha_PO!A:F,6,0)),0,VLOOKUP(262,Suvaha_PO!A:F,6,0))</f>
        <v>0</v>
      </c>
      <c r="G54" s="14">
        <f>IF(ISERROR(VLOOKUP(272,Suvaha_PO!A:F,6,0)),0,VLOOKUP(272,Suvaha_PO!A:F,6,0))</f>
        <v>0</v>
      </c>
      <c r="H54" s="14">
        <f>IF(ISERROR(VLOOKUP(282,Suvaha_PO!A:F,6,0)),0,VLOOKUP(282,Suvaha_PO!A:F,6,0))</f>
        <v>0</v>
      </c>
      <c r="I54" s="14">
        <f>IF(ISERROR(VLOOKUP(292,Suvaha_PO!A:F,6,0)),0,VLOOKUP(292,Suvaha_PO!A:F,6,0))</f>
        <v>0</v>
      </c>
      <c r="J54" s="14">
        <f>B54+C54+D54+E54+F54+G54+H54+I54</f>
        <v>0</v>
      </c>
    </row>
    <row r="55" spans="1:10" s="8" customFormat="1" ht="15.9" customHeight="1" x14ac:dyDescent="0.3">
      <c r="A55" s="4" t="s">
        <v>484</v>
      </c>
      <c r="B55" s="14">
        <f>IF(ISERROR(VLOOKUP(222,Suvaha_PO!A:F,5,0)),0,VLOOKUP(222,Suvaha_PO!A:F,5,0))</f>
        <v>0</v>
      </c>
      <c r="C55" s="14">
        <f>IF(ISERROR(VLOOKUP(232,Suvaha_PO!A:F,5,0)),0,VLOOKUP(232,Suvaha_PO!A:F,5,0))</f>
        <v>0</v>
      </c>
      <c r="D55" s="14">
        <f>IF(ISERROR(VLOOKUP(242,Suvaha_PO!A:F,5,0)),0,VLOOKUP(242,Suvaha_PO!A:F,5,0))</f>
        <v>0</v>
      </c>
      <c r="E55" s="14">
        <f>IF(ISERROR(VLOOKUP(252,Suvaha_PO!A:F,5,0)),0,VLOOKUP(252,Suvaha_PO!A:F,5,0))</f>
        <v>0</v>
      </c>
      <c r="F55" s="14">
        <f>IF(ISERROR(VLOOKUP(262,Suvaha_PO!A:F,5,0)),0,VLOOKUP(262,Suvaha_PO!A:F,5,0))</f>
        <v>0</v>
      </c>
      <c r="G55" s="14">
        <f>IF(ISERROR(VLOOKUP(272,Suvaha_PO!A:F,5,0)),0,VLOOKUP(272,Suvaha_PO!A:F,5,0))</f>
        <v>0</v>
      </c>
      <c r="H55" s="14">
        <f>IF(ISERROR(VLOOKUP(282,Suvaha_PO!A:F,5,0)),0,VLOOKUP(282,Suvaha_PO!A:F,5,0))</f>
        <v>0</v>
      </c>
      <c r="I55" s="14">
        <f>IF(ISERROR(VLOOKUP(292,Suvaha_PO!A:F,5,0)),0,VLOOKUP(292,Suvaha_PO!A:F,5,0))</f>
        <v>0</v>
      </c>
      <c r="J55" s="14">
        <f>B55+C55+D55+E55+F55+G55+H55+I55</f>
        <v>0</v>
      </c>
    </row>
    <row r="56" spans="1:10" s="8" customFormat="1" ht="26.1" customHeight="1" x14ac:dyDescent="0.3">
      <c r="A56" s="5" t="s">
        <v>1298</v>
      </c>
      <c r="B56" s="14">
        <f t="shared" ref="B56:I56" si="5">B53+B54-B55</f>
        <v>0</v>
      </c>
      <c r="C56" s="14">
        <f t="shared" si="5"/>
        <v>0</v>
      </c>
      <c r="D56" s="14">
        <f t="shared" si="5"/>
        <v>0</v>
      </c>
      <c r="E56" s="14">
        <f t="shared" si="5"/>
        <v>0</v>
      </c>
      <c r="F56" s="14">
        <f t="shared" si="5"/>
        <v>0</v>
      </c>
      <c r="G56" s="14">
        <f t="shared" si="5"/>
        <v>0</v>
      </c>
      <c r="H56" s="14">
        <f t="shared" si="5"/>
        <v>0</v>
      </c>
      <c r="I56" s="14">
        <f t="shared" si="5"/>
        <v>0</v>
      </c>
      <c r="J56" s="14">
        <f>B56+C56+D56+E56+F56+G56+H56+I56</f>
        <v>0</v>
      </c>
    </row>
    <row r="57" spans="1:10" s="8" customFormat="1" ht="15.9" customHeight="1" x14ac:dyDescent="0.3">
      <c r="A57" s="4" t="s">
        <v>1057</v>
      </c>
      <c r="B57" s="123"/>
      <c r="C57" s="123"/>
      <c r="D57" s="123"/>
      <c r="E57" s="123"/>
      <c r="F57" s="123"/>
      <c r="G57" s="123"/>
      <c r="H57" s="123"/>
      <c r="I57" s="123"/>
      <c r="J57" s="123"/>
    </row>
    <row r="58" spans="1:10" s="8" customFormat="1" ht="26.1" customHeight="1" x14ac:dyDescent="0.3">
      <c r="A58" s="5" t="s">
        <v>400</v>
      </c>
      <c r="B58" s="14">
        <f t="shared" ref="B58:J58" si="6">B47-B53</f>
        <v>0</v>
      </c>
      <c r="C58" s="14">
        <f t="shared" si="6"/>
        <v>0</v>
      </c>
      <c r="D58" s="14">
        <f t="shared" si="6"/>
        <v>0</v>
      </c>
      <c r="E58" s="14">
        <f t="shared" si="6"/>
        <v>0</v>
      </c>
      <c r="F58" s="14">
        <f t="shared" si="6"/>
        <v>0</v>
      </c>
      <c r="G58" s="14">
        <f t="shared" si="6"/>
        <v>0</v>
      </c>
      <c r="H58" s="14">
        <f t="shared" si="6"/>
        <v>0</v>
      </c>
      <c r="I58" s="14">
        <f t="shared" si="6"/>
        <v>0</v>
      </c>
      <c r="J58" s="14">
        <f t="shared" si="6"/>
        <v>0</v>
      </c>
    </row>
    <row r="59" spans="1:10" s="8" customFormat="1" ht="26.1" customHeight="1" x14ac:dyDescent="0.3">
      <c r="A59" s="5" t="s">
        <v>1298</v>
      </c>
      <c r="B59" s="14">
        <f t="shared" ref="B59:J59" si="7">B51-B56</f>
        <v>0</v>
      </c>
      <c r="C59" s="14">
        <f t="shared" si="7"/>
        <v>0</v>
      </c>
      <c r="D59" s="14">
        <f t="shared" si="7"/>
        <v>0</v>
      </c>
      <c r="E59" s="14">
        <f t="shared" si="7"/>
        <v>0</v>
      </c>
      <c r="F59" s="14">
        <f t="shared" si="7"/>
        <v>0</v>
      </c>
      <c r="G59" s="14">
        <f t="shared" si="7"/>
        <v>0</v>
      </c>
      <c r="H59" s="14">
        <f t="shared" si="7"/>
        <v>0</v>
      </c>
      <c r="I59" s="14">
        <f t="shared" si="7"/>
        <v>0</v>
      </c>
      <c r="J59" s="14">
        <f t="shared" si="7"/>
        <v>0</v>
      </c>
    </row>
  </sheetData>
  <mergeCells count="10">
    <mergeCell ref="A4:A5"/>
    <mergeCell ref="B4:J4"/>
    <mergeCell ref="B7:J7"/>
    <mergeCell ref="B13:J13"/>
    <mergeCell ref="B18:J18"/>
    <mergeCell ref="A43:A44"/>
    <mergeCell ref="B43:J43"/>
    <mergeCell ref="B46:J46"/>
    <mergeCell ref="B52:J52"/>
    <mergeCell ref="B57:J5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6"/>
  <sheetViews>
    <sheetView view="pageBreakPreview" topLeftCell="A15" zoomScale="135" zoomScaleNormal="100" zoomScaleSheetLayoutView="135" workbookViewId="0">
      <selection activeCell="E17" sqref="E17"/>
    </sheetView>
  </sheetViews>
  <sheetFormatPr defaultRowHeight="14.4" x14ac:dyDescent="0.3"/>
  <cols>
    <col min="1" max="1" width="20.6640625" customWidth="1"/>
    <col min="2" max="7" width="10.6640625" customWidth="1"/>
  </cols>
  <sheetData>
    <row r="1" spans="1:9" s="77" customFormat="1" x14ac:dyDescent="0.3"/>
    <row r="2" spans="1:9" ht="15.6" x14ac:dyDescent="0.3">
      <c r="A2" s="12" t="s">
        <v>267</v>
      </c>
    </row>
    <row r="3" spans="1:9" s="11" customFormat="1" ht="15.6" x14ac:dyDescent="0.3">
      <c r="A3" s="12"/>
    </row>
    <row r="4" spans="1:9" ht="60" customHeight="1" x14ac:dyDescent="0.3">
      <c r="A4" s="34" t="s">
        <v>115</v>
      </c>
      <c r="B4" s="35" t="s">
        <v>864</v>
      </c>
      <c r="C4" s="34" t="s">
        <v>400</v>
      </c>
      <c r="D4" s="34" t="s">
        <v>114</v>
      </c>
      <c r="E4" s="34" t="s">
        <v>219</v>
      </c>
      <c r="F4" s="34" t="s">
        <v>414</v>
      </c>
      <c r="G4" s="34" t="s">
        <v>1298</v>
      </c>
    </row>
    <row r="5" spans="1:9" x14ac:dyDescent="0.3">
      <c r="A5" s="50" t="s">
        <v>1001</v>
      </c>
      <c r="B5" s="50" t="s">
        <v>28</v>
      </c>
      <c r="C5" s="50" t="s">
        <v>788</v>
      </c>
      <c r="D5" s="50" t="s">
        <v>296</v>
      </c>
      <c r="E5" s="50" t="s">
        <v>889</v>
      </c>
      <c r="F5" s="50" t="s">
        <v>191</v>
      </c>
      <c r="G5" s="50" t="s">
        <v>747</v>
      </c>
    </row>
    <row r="6" spans="1:9" ht="35.1" customHeight="1" x14ac:dyDescent="0.3">
      <c r="A6" s="51" t="s">
        <v>1289</v>
      </c>
      <c r="B6" s="49"/>
      <c r="C6" s="49"/>
      <c r="D6" s="49"/>
      <c r="E6" s="49"/>
      <c r="F6" s="49"/>
      <c r="G6" s="49">
        <f>C6+D6-E6-F6</f>
        <v>0</v>
      </c>
    </row>
    <row r="7" spans="1:9" ht="35.1" customHeight="1" x14ac:dyDescent="0.3">
      <c r="A7" s="36" t="s">
        <v>923</v>
      </c>
      <c r="B7" s="39"/>
      <c r="C7" s="39"/>
      <c r="D7" s="39"/>
      <c r="E7" s="39"/>
      <c r="F7" s="39"/>
      <c r="G7" s="39">
        <f>C7+D7-E7-F7</f>
        <v>0</v>
      </c>
    </row>
    <row r="8" spans="1:9" ht="35.1" customHeight="1" x14ac:dyDescent="0.3">
      <c r="A8" s="36" t="s">
        <v>909</v>
      </c>
      <c r="B8" s="39"/>
      <c r="C8" s="39"/>
      <c r="D8" s="39"/>
      <c r="E8" s="39"/>
      <c r="F8" s="39"/>
      <c r="G8" s="39">
        <f>C8+D8-E8-F8</f>
        <v>0</v>
      </c>
    </row>
    <row r="9" spans="1:9" ht="35.1" customHeight="1" x14ac:dyDescent="0.3">
      <c r="A9" s="36" t="s">
        <v>929</v>
      </c>
      <c r="B9" s="39"/>
      <c r="C9" s="39"/>
      <c r="D9" s="39"/>
      <c r="E9" s="39"/>
      <c r="F9" s="39"/>
      <c r="G9" s="39">
        <f>C9+D9-E9-F9</f>
        <v>0</v>
      </c>
    </row>
    <row r="10" spans="1:9" ht="35.1" customHeight="1" x14ac:dyDescent="0.3">
      <c r="A10" s="37" t="s">
        <v>740</v>
      </c>
      <c r="B10" s="38" t="s">
        <v>676</v>
      </c>
      <c r="C10" s="39">
        <f>SUM(C6:C9)</f>
        <v>0</v>
      </c>
      <c r="D10" s="39">
        <f>SUM(D6:D9)</f>
        <v>0</v>
      </c>
      <c r="E10" s="39">
        <f>SUM(E6:E9)</f>
        <v>0</v>
      </c>
      <c r="F10" s="39">
        <f>SUM(F6:F9)</f>
        <v>0</v>
      </c>
      <c r="G10" s="39">
        <f>SUM(G6:G9)</f>
        <v>0</v>
      </c>
    </row>
    <row r="12" spans="1:9" s="11" customFormat="1" ht="15.6" x14ac:dyDescent="0.3">
      <c r="A12" s="12" t="s">
        <v>794</v>
      </c>
    </row>
    <row r="13" spans="1:9" s="11" customFormat="1" x14ac:dyDescent="0.3">
      <c r="A13" s="18"/>
      <c r="B13" s="33"/>
      <c r="C13" s="33"/>
      <c r="D13" s="33"/>
      <c r="E13" s="33"/>
      <c r="F13" s="33"/>
      <c r="G13" s="33"/>
      <c r="H13" s="33"/>
      <c r="I13" s="33"/>
    </row>
    <row r="14" spans="1:9" s="11" customFormat="1" ht="60" customHeight="1" x14ac:dyDescent="0.3">
      <c r="A14" s="235" t="s">
        <v>951</v>
      </c>
      <c r="B14" s="236"/>
      <c r="C14" s="34" t="s">
        <v>400</v>
      </c>
      <c r="D14" s="34" t="s">
        <v>114</v>
      </c>
      <c r="E14" s="34" t="s">
        <v>219</v>
      </c>
      <c r="F14" s="34" t="s">
        <v>81</v>
      </c>
      <c r="G14" s="34" t="s">
        <v>1298</v>
      </c>
    </row>
    <row r="15" spans="1:9" x14ac:dyDescent="0.3">
      <c r="A15" s="237" t="s">
        <v>1001</v>
      </c>
      <c r="B15" s="136"/>
      <c r="C15" s="50" t="s">
        <v>28</v>
      </c>
      <c r="D15" s="50" t="s">
        <v>788</v>
      </c>
      <c r="E15" s="50" t="s">
        <v>296</v>
      </c>
      <c r="F15" s="50" t="s">
        <v>889</v>
      </c>
      <c r="G15" s="50" t="s">
        <v>191</v>
      </c>
    </row>
    <row r="16" spans="1:9" s="11" customFormat="1" ht="30" customHeight="1" x14ac:dyDescent="0.3">
      <c r="A16" s="238" t="s">
        <v>1289</v>
      </c>
      <c r="B16" s="239"/>
      <c r="C16" s="49"/>
      <c r="D16" s="49"/>
      <c r="E16" s="49"/>
      <c r="F16" s="49"/>
      <c r="G16" s="49">
        <f>C16+D16-E16-F16</f>
        <v>0</v>
      </c>
    </row>
    <row r="17" spans="1:7" s="11" customFormat="1" ht="30" customHeight="1" x14ac:dyDescent="0.3">
      <c r="A17" s="240" t="s">
        <v>923</v>
      </c>
      <c r="B17" s="241"/>
      <c r="C17" s="39"/>
      <c r="D17" s="39"/>
      <c r="E17" s="39"/>
      <c r="F17" s="39"/>
      <c r="G17" s="39">
        <f>C17+D17-E17-F17</f>
        <v>0</v>
      </c>
    </row>
    <row r="18" spans="1:7" s="11" customFormat="1" ht="30" customHeight="1" x14ac:dyDescent="0.3">
      <c r="A18" s="240" t="s">
        <v>909</v>
      </c>
      <c r="B18" s="241"/>
      <c r="C18" s="39"/>
      <c r="D18" s="39"/>
      <c r="E18" s="39"/>
      <c r="F18" s="39"/>
      <c r="G18" s="39">
        <f>C18+D18-E18-F18</f>
        <v>0</v>
      </c>
    </row>
    <row r="19" spans="1:7" s="11" customFormat="1" ht="30" customHeight="1" x14ac:dyDescent="0.3">
      <c r="A19" s="240" t="s">
        <v>929</v>
      </c>
      <c r="B19" s="241"/>
      <c r="C19" s="39"/>
      <c r="D19" s="39"/>
      <c r="E19" s="39"/>
      <c r="F19" s="39"/>
      <c r="G19" s="39">
        <f>C19+D19-E19-F19</f>
        <v>0</v>
      </c>
    </row>
    <row r="20" spans="1:7" s="11" customFormat="1" ht="30" customHeight="1" x14ac:dyDescent="0.3">
      <c r="A20" s="246" t="s">
        <v>1262</v>
      </c>
      <c r="B20" s="241"/>
      <c r="C20" s="39">
        <f>SUM(C16:C19)</f>
        <v>0</v>
      </c>
      <c r="D20" s="39">
        <f>SUM(D16:D19)</f>
        <v>0</v>
      </c>
      <c r="E20" s="39">
        <f>SUM(E16:E19)</f>
        <v>0</v>
      </c>
      <c r="F20" s="39">
        <f>SUM(F16:F19)</f>
        <v>0</v>
      </c>
      <c r="G20" s="39">
        <f>SUM(G16:G19)</f>
        <v>0</v>
      </c>
    </row>
    <row r="22" spans="1:7" s="11" customFormat="1" ht="30" customHeight="1" x14ac:dyDescent="0.3">
      <c r="A22" s="167" t="s">
        <v>1015</v>
      </c>
      <c r="B22" s="168"/>
      <c r="C22" s="168"/>
      <c r="D22" s="168"/>
      <c r="E22" s="168"/>
      <c r="F22" s="168"/>
      <c r="G22" s="168"/>
    </row>
    <row r="23" spans="1:7" s="11" customFormat="1" ht="15.6" x14ac:dyDescent="0.3">
      <c r="A23" s="12"/>
    </row>
    <row r="24" spans="1:7" ht="15" customHeight="1" x14ac:dyDescent="0.3">
      <c r="A24" s="247" t="s">
        <v>90</v>
      </c>
      <c r="B24" s="247"/>
      <c r="C24" s="247"/>
      <c r="D24" s="247" t="s">
        <v>559</v>
      </c>
      <c r="E24" s="247"/>
      <c r="F24" s="247"/>
      <c r="G24" s="248"/>
    </row>
    <row r="25" spans="1:7" ht="24.9" customHeight="1" x14ac:dyDescent="0.3">
      <c r="A25" s="242" t="s">
        <v>196</v>
      </c>
      <c r="B25" s="242"/>
      <c r="C25" s="242"/>
      <c r="D25" s="243"/>
      <c r="E25" s="243"/>
      <c r="F25" s="243"/>
      <c r="G25" s="243"/>
    </row>
    <row r="26" spans="1:7" ht="24.9" customHeight="1" x14ac:dyDescent="0.3">
      <c r="A26" s="244" t="s">
        <v>869</v>
      </c>
      <c r="B26" s="244"/>
      <c r="C26" s="244"/>
      <c r="D26" s="245"/>
      <c r="E26" s="245"/>
      <c r="F26" s="245"/>
      <c r="G26" s="245"/>
    </row>
  </sheetData>
  <mergeCells count="14">
    <mergeCell ref="A19:B19"/>
    <mergeCell ref="A25:C25"/>
    <mergeCell ref="D25:G25"/>
    <mergeCell ref="A26:C26"/>
    <mergeCell ref="D26:G26"/>
    <mergeCell ref="A22:G22"/>
    <mergeCell ref="A20:B20"/>
    <mergeCell ref="A24:C24"/>
    <mergeCell ref="D24:G24"/>
    <mergeCell ref="A14:B14"/>
    <mergeCell ref="A15:B15"/>
    <mergeCell ref="A16:B16"/>
    <mergeCell ref="A17:B17"/>
    <mergeCell ref="A18:B1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2"/>
  <sheetViews>
    <sheetView view="pageBreakPreview" topLeftCell="A15" zoomScaleNormal="100" zoomScaleSheetLayoutView="100" workbookViewId="0">
      <selection activeCell="F16" sqref="F16"/>
    </sheetView>
  </sheetViews>
  <sheetFormatPr defaultRowHeight="14.4" x14ac:dyDescent="0.3"/>
  <cols>
    <col min="1" max="8" width="10.6640625" customWidth="1"/>
  </cols>
  <sheetData>
    <row r="1" spans="1:8" s="11" customFormat="1" x14ac:dyDescent="0.3"/>
    <row r="2" spans="1:8" s="11" customFormat="1" ht="15.6" x14ac:dyDescent="0.3">
      <c r="A2" s="12" t="s">
        <v>617</v>
      </c>
    </row>
    <row r="3" spans="1:8" s="11" customFormat="1" x14ac:dyDescent="0.3"/>
    <row r="4" spans="1:8" s="11" customFormat="1" ht="24.9" customHeight="1" x14ac:dyDescent="0.3">
      <c r="A4" s="255" t="s">
        <v>274</v>
      </c>
      <c r="B4" s="255"/>
      <c r="C4" s="228" t="s">
        <v>1136</v>
      </c>
      <c r="D4" s="228"/>
      <c r="E4" s="253" t="s">
        <v>1220</v>
      </c>
      <c r="F4" s="253"/>
      <c r="G4" s="253"/>
      <c r="H4" s="253"/>
    </row>
    <row r="5" spans="1:8" ht="24.9" customHeight="1" x14ac:dyDescent="0.3">
      <c r="A5" s="254"/>
      <c r="B5" s="254"/>
      <c r="C5" s="247"/>
      <c r="D5" s="247"/>
      <c r="E5" s="254" t="s">
        <v>405</v>
      </c>
      <c r="F5" s="254"/>
      <c r="G5" s="247" t="s">
        <v>269</v>
      </c>
      <c r="H5" s="247"/>
    </row>
    <row r="6" spans="1:8" s="11" customFormat="1" ht="15" customHeight="1" x14ac:dyDescent="0.3">
      <c r="A6" s="256"/>
      <c r="B6" s="257"/>
      <c r="C6" s="256"/>
      <c r="D6" s="257"/>
      <c r="E6" s="260"/>
      <c r="F6" s="261"/>
      <c r="G6" s="260"/>
      <c r="H6" s="261"/>
    </row>
    <row r="7" spans="1:8" s="11" customFormat="1" ht="15" customHeight="1" x14ac:dyDescent="0.3">
      <c r="A7" s="258"/>
      <c r="B7" s="259"/>
      <c r="C7" s="258"/>
      <c r="D7" s="259"/>
      <c r="E7" s="262"/>
      <c r="F7" s="263"/>
      <c r="G7" s="262"/>
      <c r="H7" s="263"/>
    </row>
    <row r="8" spans="1:8" s="11" customFormat="1" x14ac:dyDescent="0.3"/>
    <row r="9" spans="1:8" ht="15.6" x14ac:dyDescent="0.3">
      <c r="A9" s="12" t="s">
        <v>1081</v>
      </c>
    </row>
    <row r="11" spans="1:8" ht="60" x14ac:dyDescent="0.3">
      <c r="A11" s="228" t="s">
        <v>608</v>
      </c>
      <c r="B11" s="171"/>
      <c r="C11" s="171"/>
      <c r="D11" s="45" t="s">
        <v>973</v>
      </c>
      <c r="E11" s="45" t="s">
        <v>602</v>
      </c>
      <c r="F11" s="45" t="s">
        <v>355</v>
      </c>
      <c r="G11" s="45" t="s">
        <v>512</v>
      </c>
      <c r="H11" s="45" t="s">
        <v>3</v>
      </c>
    </row>
    <row r="12" spans="1:8" x14ac:dyDescent="0.3">
      <c r="A12" s="251" t="s">
        <v>1001</v>
      </c>
      <c r="B12" s="251"/>
      <c r="C12" s="251"/>
      <c r="D12" s="50" t="s">
        <v>28</v>
      </c>
      <c r="E12" s="50" t="s">
        <v>788</v>
      </c>
      <c r="F12" s="50" t="s">
        <v>296</v>
      </c>
      <c r="G12" s="50" t="s">
        <v>889</v>
      </c>
      <c r="H12" s="50" t="s">
        <v>191</v>
      </c>
    </row>
    <row r="13" spans="1:8" ht="24.9" customHeight="1" x14ac:dyDescent="0.3">
      <c r="A13" s="249" t="s">
        <v>648</v>
      </c>
      <c r="B13" s="249"/>
      <c r="C13" s="249"/>
      <c r="D13" s="49">
        <v>10384</v>
      </c>
      <c r="E13" s="49">
        <f>IF(ISERROR(VLOOKUP(322,Suvaha_BO!A:F,6,0)),0,VLOOKUP(322,Suvaha_BO!A:F,6,0))</f>
        <v>0</v>
      </c>
      <c r="F13" s="49">
        <v>10384</v>
      </c>
      <c r="G13" s="49"/>
      <c r="H13" s="49">
        <f t="shared" ref="H13:H19" si="0">D13+E13-F13-G13</f>
        <v>0</v>
      </c>
    </row>
    <row r="14" spans="1:8" ht="24.9" customHeight="1" x14ac:dyDescent="0.3">
      <c r="A14" s="250" t="s">
        <v>902</v>
      </c>
      <c r="B14" s="250"/>
      <c r="C14" s="250"/>
      <c r="D14" s="40">
        <f>IF(ISERROR(VLOOKUP(332,Suvaha_BO!A:F,4,0)),0,VLOOKUP(332,Suvaha_BO!A:F,4,0))</f>
        <v>0</v>
      </c>
      <c r="E14" s="40">
        <f>IF(ISERROR(VLOOKUP(332,Suvaha_BO!A:F,6,0)),0,VLOOKUP(332,Suvaha_BO!A:F,6,0))</f>
        <v>0</v>
      </c>
      <c r="F14" s="40">
        <f>IF(ISERROR(VLOOKUP(332,Suvaha_BO!A:F,5,0)),0,VLOOKUP(332,Suvaha_BO!A:F,5,0))</f>
        <v>0</v>
      </c>
      <c r="G14" s="40"/>
      <c r="H14" s="40">
        <f t="shared" si="0"/>
        <v>0</v>
      </c>
    </row>
    <row r="15" spans="1:8" ht="24.9" customHeight="1" x14ac:dyDescent="0.3">
      <c r="A15" s="250" t="s">
        <v>761</v>
      </c>
      <c r="B15" s="250"/>
      <c r="C15" s="250"/>
      <c r="D15" s="40">
        <v>12208</v>
      </c>
      <c r="E15" s="40">
        <f>IF(ISERROR(VLOOKUP(342,Suvaha_BO!A:F,6,0)),0,VLOOKUP(342,Suvaha_BO!A:F,6,0))</f>
        <v>0</v>
      </c>
      <c r="F15" s="40">
        <v>12208</v>
      </c>
      <c r="G15" s="40"/>
      <c r="H15" s="40">
        <f t="shared" si="0"/>
        <v>0</v>
      </c>
    </row>
    <row r="16" spans="1:8" ht="24.9" customHeight="1" x14ac:dyDescent="0.3">
      <c r="A16" s="250" t="s">
        <v>326</v>
      </c>
      <c r="B16" s="250"/>
      <c r="C16" s="250"/>
      <c r="D16" s="40">
        <v>0</v>
      </c>
      <c r="E16" s="40">
        <f>IF(ISERROR(VLOOKUP(352,Suvaha_BO!A:F,6,0)),0,VLOOKUP(352,Suvaha_BO!A:F,6,0))</f>
        <v>0</v>
      </c>
      <c r="F16" s="40">
        <v>0</v>
      </c>
      <c r="G16" s="40"/>
      <c r="H16" s="40">
        <f t="shared" si="0"/>
        <v>0</v>
      </c>
    </row>
    <row r="17" spans="1:8" ht="24.9" customHeight="1" x14ac:dyDescent="0.3">
      <c r="A17" s="250" t="s">
        <v>899</v>
      </c>
      <c r="B17" s="250"/>
      <c r="C17" s="250"/>
      <c r="D17" s="40">
        <f>IF(ISERROR(VLOOKUP(362,Suvaha_BO!A:F,4,0)),0,VLOOKUP(362,Suvaha_BO!A:F,4,0))</f>
        <v>0</v>
      </c>
      <c r="E17" s="40">
        <f>IF(ISERROR(VLOOKUP(362,Suvaha_BO!A:F,6,0)),0,VLOOKUP(362,Suvaha_BO!A:F,6,0))</f>
        <v>0</v>
      </c>
      <c r="F17" s="40">
        <f>IF(ISERROR(VLOOKUP(362,Suvaha_BO!A:F,5,0)),0,VLOOKUP(362,Suvaha_BO!A:F,5,0))</f>
        <v>0</v>
      </c>
      <c r="G17" s="40"/>
      <c r="H17" s="40">
        <f t="shared" si="0"/>
        <v>0</v>
      </c>
    </row>
    <row r="18" spans="1:8" s="11" customFormat="1" ht="24.9" customHeight="1" x14ac:dyDescent="0.3">
      <c r="A18" s="250" t="s">
        <v>1137</v>
      </c>
      <c r="B18" s="250"/>
      <c r="C18" s="250"/>
      <c r="D18" s="40">
        <v>0</v>
      </c>
      <c r="E18" s="40"/>
      <c r="F18" s="40">
        <v>0</v>
      </c>
      <c r="G18" s="40"/>
      <c r="H18" s="40">
        <f t="shared" si="0"/>
        <v>0</v>
      </c>
    </row>
    <row r="19" spans="1:8" s="11" customFormat="1" ht="24.9" customHeight="1" x14ac:dyDescent="0.3">
      <c r="A19" s="250" t="s">
        <v>613</v>
      </c>
      <c r="B19" s="250"/>
      <c r="C19" s="250"/>
      <c r="D19" s="40">
        <v>0</v>
      </c>
      <c r="E19" s="40">
        <f>IF(ISERROR(VLOOKUP(372,Suvaha_BO!A:F,6,0)),0,VLOOKUP(372,Suvaha_BO!A:F,6,0))</f>
        <v>0</v>
      </c>
      <c r="F19" s="40">
        <v>0</v>
      </c>
      <c r="G19" s="40"/>
      <c r="H19" s="40">
        <f t="shared" si="0"/>
        <v>0</v>
      </c>
    </row>
    <row r="20" spans="1:8" s="11" customFormat="1" ht="24.9" customHeight="1" x14ac:dyDescent="0.3">
      <c r="A20" s="252" t="s">
        <v>1313</v>
      </c>
      <c r="B20" s="252"/>
      <c r="C20" s="252"/>
      <c r="D20" s="42">
        <f>SUM(D13:D19)</f>
        <v>22592</v>
      </c>
      <c r="E20" s="42">
        <f>SUM(E13:E19)</f>
        <v>0</v>
      </c>
      <c r="F20" s="42">
        <f>SUM(F13:F19)</f>
        <v>22592</v>
      </c>
      <c r="G20" s="42">
        <f>SUM(G13:G19)</f>
        <v>0</v>
      </c>
      <c r="H20" s="42">
        <f>SUM(H13:H19)</f>
        <v>0</v>
      </c>
    </row>
    <row r="22" spans="1:8" s="11" customFormat="1" ht="15.6" x14ac:dyDescent="0.3">
      <c r="A22" s="12" t="s">
        <v>383</v>
      </c>
    </row>
    <row r="24" spans="1:8" ht="24.9" customHeight="1" x14ac:dyDescent="0.3">
      <c r="A24" s="247" t="s">
        <v>1137</v>
      </c>
      <c r="B24" s="247"/>
      <c r="C24" s="247"/>
      <c r="D24" s="247"/>
      <c r="E24" s="247" t="s">
        <v>769</v>
      </c>
      <c r="F24" s="247"/>
      <c r="G24" s="247"/>
      <c r="H24" s="247"/>
    </row>
    <row r="25" spans="1:8" ht="24.9" customHeight="1" x14ac:dyDescent="0.3">
      <c r="A25" s="249" t="s">
        <v>945</v>
      </c>
      <c r="B25" s="249"/>
      <c r="C25" s="249"/>
      <c r="D25" s="249"/>
      <c r="E25" s="243"/>
      <c r="F25" s="243"/>
      <c r="G25" s="243"/>
      <c r="H25" s="243"/>
    </row>
    <row r="26" spans="1:8" ht="24.9" customHeight="1" x14ac:dyDescent="0.3">
      <c r="A26" s="250" t="s">
        <v>1060</v>
      </c>
      <c r="B26" s="250"/>
      <c r="C26" s="250"/>
      <c r="D26" s="250"/>
      <c r="E26" s="245"/>
      <c r="F26" s="245"/>
      <c r="G26" s="245"/>
      <c r="H26" s="245"/>
    </row>
    <row r="28" spans="1:8" ht="30" customHeight="1" x14ac:dyDescent="0.3">
      <c r="A28" s="167" t="s">
        <v>1165</v>
      </c>
      <c r="B28" s="167"/>
      <c r="C28" s="167"/>
      <c r="D28" s="167"/>
      <c r="E28" s="167"/>
      <c r="F28" s="167"/>
      <c r="G28" s="167"/>
      <c r="H28" s="167"/>
    </row>
    <row r="30" spans="1:8" ht="24.9" customHeight="1" x14ac:dyDescent="0.3">
      <c r="A30" s="247" t="s">
        <v>608</v>
      </c>
      <c r="B30" s="247"/>
      <c r="C30" s="247"/>
      <c r="D30" s="247"/>
      <c r="E30" s="247" t="s">
        <v>559</v>
      </c>
      <c r="F30" s="247"/>
      <c r="G30" s="247"/>
      <c r="H30" s="247"/>
    </row>
    <row r="31" spans="1:8" s="11" customFormat="1" ht="24.9" customHeight="1" x14ac:dyDescent="0.3">
      <c r="A31" s="249" t="s">
        <v>775</v>
      </c>
      <c r="B31" s="249"/>
      <c r="C31" s="249"/>
      <c r="D31" s="249"/>
      <c r="E31" s="243"/>
      <c r="F31" s="243"/>
      <c r="G31" s="243"/>
      <c r="H31" s="243"/>
    </row>
    <row r="32" spans="1:8" s="11" customFormat="1" ht="24.9" customHeight="1" x14ac:dyDescent="0.3">
      <c r="A32" s="250" t="s">
        <v>698</v>
      </c>
      <c r="B32" s="250"/>
      <c r="C32" s="250"/>
      <c r="D32" s="250"/>
      <c r="E32" s="245"/>
      <c r="F32" s="245"/>
      <c r="G32" s="245"/>
      <c r="H32" s="245"/>
    </row>
  </sheetData>
  <mergeCells count="36">
    <mergeCell ref="A11:C11"/>
    <mergeCell ref="A16:C16"/>
    <mergeCell ref="E4:H4"/>
    <mergeCell ref="E5:F5"/>
    <mergeCell ref="G5:H5"/>
    <mergeCell ref="A4:B5"/>
    <mergeCell ref="C4:D5"/>
    <mergeCell ref="A6:B6"/>
    <mergeCell ref="A7:B7"/>
    <mergeCell ref="C6:D6"/>
    <mergeCell ref="C7:D7"/>
    <mergeCell ref="E6:F6"/>
    <mergeCell ref="E7:F7"/>
    <mergeCell ref="G6:H6"/>
    <mergeCell ref="G7:H7"/>
    <mergeCell ref="E24:H24"/>
    <mergeCell ref="A12:C12"/>
    <mergeCell ref="A13:C13"/>
    <mergeCell ref="A14:C14"/>
    <mergeCell ref="A15:C15"/>
    <mergeCell ref="A17:C17"/>
    <mergeCell ref="A18:C18"/>
    <mergeCell ref="A19:C19"/>
    <mergeCell ref="A20:C20"/>
    <mergeCell ref="A24:D24"/>
    <mergeCell ref="A31:D31"/>
    <mergeCell ref="E31:H31"/>
    <mergeCell ref="A32:D32"/>
    <mergeCell ref="E32:H32"/>
    <mergeCell ref="A25:D25"/>
    <mergeCell ref="E25:H25"/>
    <mergeCell ref="A26:D26"/>
    <mergeCell ref="E26:H26"/>
    <mergeCell ref="A28:H28"/>
    <mergeCell ref="A30:D30"/>
    <mergeCell ref="E30:H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138"/>
  <sheetViews>
    <sheetView topLeftCell="A88" workbookViewId="0">
      <selection activeCell="D19" sqref="D19"/>
    </sheetView>
  </sheetViews>
  <sheetFormatPr defaultRowHeight="14.4" x14ac:dyDescent="0.3"/>
  <cols>
    <col min="1" max="1" width="5.33203125" customWidth="1"/>
    <col min="2" max="2" width="108" customWidth="1"/>
    <col min="3" max="3" width="52.109375" customWidth="1"/>
    <col min="4" max="4" width="9" customWidth="1"/>
    <col min="5" max="6" width="9.33203125" customWidth="1"/>
  </cols>
  <sheetData>
    <row r="1" spans="1:6" x14ac:dyDescent="0.3">
      <c r="A1" t="s">
        <v>1056</v>
      </c>
      <c r="B1" t="s">
        <v>611</v>
      </c>
      <c r="C1" t="s">
        <v>33</v>
      </c>
      <c r="D1" t="s">
        <v>155</v>
      </c>
      <c r="E1" t="s">
        <v>537</v>
      </c>
      <c r="F1" t="s">
        <v>1274</v>
      </c>
    </row>
    <row r="2" spans="1:6" x14ac:dyDescent="0.3">
      <c r="A2">
        <v>41</v>
      </c>
      <c r="B2" t="s">
        <v>1087</v>
      </c>
      <c r="C2" t="s">
        <v>1022</v>
      </c>
      <c r="D2">
        <v>0</v>
      </c>
      <c r="E2">
        <v>0</v>
      </c>
      <c r="F2">
        <v>0</v>
      </c>
    </row>
    <row r="3" spans="1:6" x14ac:dyDescent="0.3">
      <c r="A3">
        <v>42</v>
      </c>
      <c r="B3" t="s">
        <v>1087</v>
      </c>
      <c r="C3" t="s">
        <v>316</v>
      </c>
      <c r="D3">
        <v>0</v>
      </c>
      <c r="E3">
        <v>0</v>
      </c>
      <c r="F3">
        <v>0</v>
      </c>
    </row>
    <row r="4" spans="1:6" x14ac:dyDescent="0.3">
      <c r="A4">
        <v>43</v>
      </c>
      <c r="B4" t="s">
        <v>1087</v>
      </c>
      <c r="C4" t="s">
        <v>73</v>
      </c>
      <c r="D4">
        <v>0</v>
      </c>
      <c r="E4">
        <v>0</v>
      </c>
      <c r="F4">
        <v>0</v>
      </c>
    </row>
    <row r="5" spans="1:6" x14ac:dyDescent="0.3">
      <c r="A5">
        <v>51</v>
      </c>
      <c r="B5" t="s">
        <v>848</v>
      </c>
      <c r="C5" t="s">
        <v>505</v>
      </c>
      <c r="D5">
        <v>3035</v>
      </c>
      <c r="E5">
        <v>0</v>
      </c>
      <c r="F5">
        <v>0</v>
      </c>
    </row>
    <row r="6" spans="1:6" x14ac:dyDescent="0.3">
      <c r="A6">
        <v>52</v>
      </c>
      <c r="B6" t="s">
        <v>848</v>
      </c>
      <c r="C6" t="s">
        <v>1116</v>
      </c>
      <c r="D6">
        <v>2129</v>
      </c>
      <c r="E6">
        <v>0</v>
      </c>
      <c r="F6">
        <v>760</v>
      </c>
    </row>
    <row r="7" spans="1:6" x14ac:dyDescent="0.3">
      <c r="A7">
        <v>53</v>
      </c>
      <c r="B7" t="s">
        <v>848</v>
      </c>
      <c r="C7" t="s">
        <v>73</v>
      </c>
      <c r="D7">
        <v>0</v>
      </c>
      <c r="E7">
        <v>0</v>
      </c>
      <c r="F7">
        <v>0</v>
      </c>
    </row>
    <row r="8" spans="1:6" x14ac:dyDescent="0.3">
      <c r="A8">
        <v>61</v>
      </c>
      <c r="B8" t="s">
        <v>439</v>
      </c>
      <c r="C8" t="s">
        <v>218</v>
      </c>
      <c r="D8">
        <v>0</v>
      </c>
      <c r="E8">
        <v>0</v>
      </c>
      <c r="F8">
        <v>0</v>
      </c>
    </row>
    <row r="9" spans="1:6" x14ac:dyDescent="0.3">
      <c r="A9">
        <v>62</v>
      </c>
      <c r="B9" t="s">
        <v>439</v>
      </c>
      <c r="C9" t="s">
        <v>925</v>
      </c>
      <c r="D9">
        <v>0</v>
      </c>
      <c r="E9">
        <v>0</v>
      </c>
      <c r="F9">
        <v>0</v>
      </c>
    </row>
    <row r="10" spans="1:6" x14ac:dyDescent="0.3">
      <c r="A10">
        <v>63</v>
      </c>
      <c r="B10" t="s">
        <v>439</v>
      </c>
      <c r="C10" t="s">
        <v>73</v>
      </c>
      <c r="D10">
        <v>0</v>
      </c>
      <c r="E10">
        <v>0</v>
      </c>
      <c r="F10">
        <v>0</v>
      </c>
    </row>
    <row r="11" spans="1:6" x14ac:dyDescent="0.3">
      <c r="A11">
        <v>71</v>
      </c>
      <c r="B11" t="s">
        <v>551</v>
      </c>
      <c r="C11" t="s">
        <v>1029</v>
      </c>
      <c r="D11">
        <v>0</v>
      </c>
      <c r="E11">
        <v>0</v>
      </c>
      <c r="F11">
        <v>0</v>
      </c>
    </row>
    <row r="12" spans="1:6" x14ac:dyDescent="0.3">
      <c r="A12">
        <v>72</v>
      </c>
      <c r="B12" t="s">
        <v>551</v>
      </c>
      <c r="C12" t="s">
        <v>409</v>
      </c>
      <c r="D12">
        <v>0</v>
      </c>
      <c r="E12">
        <v>0</v>
      </c>
      <c r="F12">
        <v>0</v>
      </c>
    </row>
    <row r="13" spans="1:6" x14ac:dyDescent="0.3">
      <c r="A13">
        <v>73</v>
      </c>
      <c r="B13" t="s">
        <v>551</v>
      </c>
      <c r="C13" t="s">
        <v>73</v>
      </c>
      <c r="D13">
        <v>0</v>
      </c>
      <c r="E13">
        <v>0</v>
      </c>
      <c r="F13">
        <v>0</v>
      </c>
    </row>
    <row r="14" spans="1:6" x14ac:dyDescent="0.3">
      <c r="A14">
        <v>81</v>
      </c>
      <c r="B14" t="s">
        <v>656</v>
      </c>
      <c r="C14" t="s">
        <v>1128</v>
      </c>
      <c r="D14">
        <v>0</v>
      </c>
      <c r="E14">
        <v>0</v>
      </c>
      <c r="F14">
        <v>0</v>
      </c>
    </row>
    <row r="15" spans="1:6" x14ac:dyDescent="0.3">
      <c r="A15">
        <v>82</v>
      </c>
      <c r="B15" t="s">
        <v>656</v>
      </c>
      <c r="C15" t="s">
        <v>359</v>
      </c>
      <c r="D15">
        <v>0</v>
      </c>
      <c r="E15">
        <v>0</v>
      </c>
      <c r="F15">
        <v>0</v>
      </c>
    </row>
    <row r="16" spans="1:6" x14ac:dyDescent="0.3">
      <c r="A16">
        <v>83</v>
      </c>
      <c r="B16" t="s">
        <v>656</v>
      </c>
      <c r="C16" t="s">
        <v>73</v>
      </c>
      <c r="D16">
        <v>0</v>
      </c>
      <c r="E16">
        <v>0</v>
      </c>
      <c r="F16">
        <v>0</v>
      </c>
    </row>
    <row r="17" spans="1:6" x14ac:dyDescent="0.3">
      <c r="A17">
        <v>91</v>
      </c>
      <c r="B17" t="s">
        <v>1204</v>
      </c>
      <c r="C17" t="s">
        <v>858</v>
      </c>
      <c r="D17">
        <v>0</v>
      </c>
      <c r="E17">
        <v>0</v>
      </c>
      <c r="F17">
        <v>0</v>
      </c>
    </row>
    <row r="18" spans="1:6" x14ac:dyDescent="0.3">
      <c r="A18">
        <v>92</v>
      </c>
      <c r="B18" t="s">
        <v>1204</v>
      </c>
      <c r="C18" t="s">
        <v>724</v>
      </c>
      <c r="D18">
        <v>0</v>
      </c>
      <c r="E18">
        <v>0</v>
      </c>
      <c r="F18">
        <v>0</v>
      </c>
    </row>
    <row r="19" spans="1:6" x14ac:dyDescent="0.3">
      <c r="A19">
        <v>101</v>
      </c>
      <c r="B19" t="s">
        <v>143</v>
      </c>
      <c r="C19" t="s">
        <v>174</v>
      </c>
      <c r="D19">
        <v>0</v>
      </c>
      <c r="E19">
        <v>0</v>
      </c>
      <c r="F19">
        <v>0</v>
      </c>
    </row>
    <row r="20" spans="1:6" x14ac:dyDescent="0.3">
      <c r="A20">
        <v>102</v>
      </c>
      <c r="B20" t="s">
        <v>143</v>
      </c>
      <c r="C20" t="s">
        <v>188</v>
      </c>
      <c r="D20">
        <v>0</v>
      </c>
      <c r="E20">
        <v>0</v>
      </c>
      <c r="F20">
        <v>0</v>
      </c>
    </row>
    <row r="21" spans="1:6" x14ac:dyDescent="0.3">
      <c r="A21">
        <v>121</v>
      </c>
      <c r="B21" t="s">
        <v>952</v>
      </c>
      <c r="C21" t="s">
        <v>813</v>
      </c>
      <c r="D21">
        <v>764000</v>
      </c>
      <c r="E21">
        <v>0</v>
      </c>
      <c r="F21">
        <v>0</v>
      </c>
    </row>
    <row r="22" spans="1:6" x14ac:dyDescent="0.3">
      <c r="A22">
        <v>122</v>
      </c>
      <c r="B22" t="s">
        <v>952</v>
      </c>
      <c r="C22" t="s">
        <v>521</v>
      </c>
      <c r="D22">
        <v>0</v>
      </c>
      <c r="E22">
        <v>0</v>
      </c>
      <c r="F22">
        <v>0</v>
      </c>
    </row>
    <row r="23" spans="1:6" x14ac:dyDescent="0.3">
      <c r="A23">
        <v>131</v>
      </c>
      <c r="B23" t="s">
        <v>426</v>
      </c>
      <c r="C23" t="s">
        <v>127</v>
      </c>
      <c r="D23">
        <v>1346295</v>
      </c>
      <c r="E23">
        <v>142831</v>
      </c>
      <c r="F23">
        <v>0</v>
      </c>
    </row>
    <row r="24" spans="1:6" x14ac:dyDescent="0.3">
      <c r="A24">
        <v>132</v>
      </c>
      <c r="B24" t="s">
        <v>426</v>
      </c>
      <c r="C24" t="s">
        <v>779</v>
      </c>
      <c r="D24">
        <v>213182</v>
      </c>
      <c r="E24">
        <v>0</v>
      </c>
      <c r="F24">
        <v>73357</v>
      </c>
    </row>
    <row r="25" spans="1:6" x14ac:dyDescent="0.3">
      <c r="A25">
        <v>141</v>
      </c>
      <c r="B25" t="s">
        <v>796</v>
      </c>
      <c r="C25" t="s">
        <v>675</v>
      </c>
      <c r="D25">
        <v>3077035</v>
      </c>
      <c r="E25">
        <v>342387</v>
      </c>
      <c r="F25">
        <v>1953842</v>
      </c>
    </row>
    <row r="26" spans="1:6" x14ac:dyDescent="0.3">
      <c r="A26">
        <v>142</v>
      </c>
      <c r="B26" t="s">
        <v>796</v>
      </c>
      <c r="C26" t="s">
        <v>1205</v>
      </c>
      <c r="D26">
        <v>605802</v>
      </c>
      <c r="E26">
        <v>1953842</v>
      </c>
      <c r="F26">
        <v>1903388</v>
      </c>
    </row>
    <row r="27" spans="1:6" x14ac:dyDescent="0.3">
      <c r="A27">
        <v>151</v>
      </c>
      <c r="B27" t="s">
        <v>19</v>
      </c>
      <c r="C27" t="s">
        <v>24</v>
      </c>
      <c r="D27">
        <v>0</v>
      </c>
      <c r="E27">
        <v>0</v>
      </c>
      <c r="F27">
        <v>0</v>
      </c>
    </row>
    <row r="28" spans="1:6" x14ac:dyDescent="0.3">
      <c r="A28">
        <v>152</v>
      </c>
      <c r="B28" t="s">
        <v>19</v>
      </c>
      <c r="C28" t="s">
        <v>849</v>
      </c>
      <c r="D28">
        <v>0</v>
      </c>
      <c r="E28">
        <v>0</v>
      </c>
      <c r="F28">
        <v>0</v>
      </c>
    </row>
    <row r="29" spans="1:6" x14ac:dyDescent="0.3">
      <c r="A29">
        <v>153</v>
      </c>
      <c r="B29" t="s">
        <v>19</v>
      </c>
      <c r="C29" t="s">
        <v>521</v>
      </c>
      <c r="D29">
        <v>0</v>
      </c>
      <c r="E29">
        <v>0</v>
      </c>
      <c r="F29">
        <v>0</v>
      </c>
    </row>
    <row r="30" spans="1:6" x14ac:dyDescent="0.3">
      <c r="A30">
        <v>161</v>
      </c>
      <c r="B30" t="s">
        <v>688</v>
      </c>
      <c r="C30" t="s">
        <v>579</v>
      </c>
      <c r="D30">
        <v>0</v>
      </c>
      <c r="E30">
        <v>0</v>
      </c>
      <c r="F30">
        <v>0</v>
      </c>
    </row>
    <row r="31" spans="1:6" x14ac:dyDescent="0.3">
      <c r="A31">
        <v>162</v>
      </c>
      <c r="B31" t="s">
        <v>688</v>
      </c>
      <c r="C31" t="s">
        <v>1275</v>
      </c>
      <c r="D31">
        <v>0</v>
      </c>
      <c r="E31">
        <v>0</v>
      </c>
      <c r="F31">
        <v>0</v>
      </c>
    </row>
    <row r="32" spans="1:6" x14ac:dyDescent="0.3">
      <c r="A32">
        <v>163</v>
      </c>
      <c r="B32" t="s">
        <v>688</v>
      </c>
      <c r="C32" t="s">
        <v>521</v>
      </c>
      <c r="D32">
        <v>0</v>
      </c>
      <c r="E32">
        <v>0</v>
      </c>
      <c r="F32">
        <v>0</v>
      </c>
    </row>
    <row r="33" spans="1:6" x14ac:dyDescent="0.3">
      <c r="A33">
        <v>171</v>
      </c>
      <c r="B33" t="s">
        <v>713</v>
      </c>
      <c r="C33" t="s">
        <v>633</v>
      </c>
      <c r="D33">
        <v>0</v>
      </c>
      <c r="E33">
        <v>0</v>
      </c>
      <c r="F33">
        <v>0</v>
      </c>
    </row>
    <row r="34" spans="1:6" x14ac:dyDescent="0.3">
      <c r="A34">
        <v>172</v>
      </c>
      <c r="B34" t="s">
        <v>713</v>
      </c>
      <c r="C34" t="s">
        <v>1303</v>
      </c>
      <c r="D34">
        <v>0</v>
      </c>
      <c r="E34">
        <v>0</v>
      </c>
      <c r="F34">
        <v>0</v>
      </c>
    </row>
    <row r="35" spans="1:6" x14ac:dyDescent="0.3">
      <c r="A35">
        <v>173</v>
      </c>
      <c r="B35" t="s">
        <v>713</v>
      </c>
      <c r="C35" t="s">
        <v>1242</v>
      </c>
      <c r="D35">
        <v>0</v>
      </c>
      <c r="E35">
        <v>0</v>
      </c>
      <c r="F35">
        <v>0</v>
      </c>
    </row>
    <row r="36" spans="1:6" x14ac:dyDescent="0.3">
      <c r="A36">
        <v>174</v>
      </c>
      <c r="B36" t="s">
        <v>713</v>
      </c>
      <c r="C36" t="s">
        <v>521</v>
      </c>
      <c r="D36">
        <v>0</v>
      </c>
      <c r="E36">
        <v>0</v>
      </c>
      <c r="F36">
        <v>0</v>
      </c>
    </row>
    <row r="37" spans="1:6" x14ac:dyDescent="0.3">
      <c r="A37">
        <v>181</v>
      </c>
      <c r="B37" t="s">
        <v>725</v>
      </c>
      <c r="C37" t="s">
        <v>1284</v>
      </c>
      <c r="D37">
        <v>396877</v>
      </c>
      <c r="E37">
        <v>106352</v>
      </c>
      <c r="F37">
        <v>485218</v>
      </c>
    </row>
    <row r="38" spans="1:6" x14ac:dyDescent="0.3">
      <c r="A38">
        <v>182</v>
      </c>
      <c r="B38" t="s">
        <v>725</v>
      </c>
      <c r="C38" t="s">
        <v>1320</v>
      </c>
      <c r="D38">
        <v>0</v>
      </c>
      <c r="E38">
        <v>0</v>
      </c>
      <c r="F38">
        <v>0</v>
      </c>
    </row>
    <row r="39" spans="1:6" x14ac:dyDescent="0.3">
      <c r="A39">
        <v>191</v>
      </c>
      <c r="B39" t="s">
        <v>132</v>
      </c>
      <c r="C39" t="s">
        <v>614</v>
      </c>
      <c r="D39">
        <v>76533</v>
      </c>
      <c r="E39">
        <v>0</v>
      </c>
      <c r="F39">
        <v>76533</v>
      </c>
    </row>
    <row r="40" spans="1:6" x14ac:dyDescent="0.3">
      <c r="A40">
        <v>192</v>
      </c>
      <c r="B40" t="s">
        <v>132</v>
      </c>
      <c r="C40" t="s">
        <v>188</v>
      </c>
      <c r="D40">
        <v>0</v>
      </c>
      <c r="E40">
        <v>0</v>
      </c>
      <c r="F40">
        <v>0</v>
      </c>
    </row>
    <row r="41" spans="1:6" x14ac:dyDescent="0.3">
      <c r="A41">
        <v>202</v>
      </c>
      <c r="B41" t="s">
        <v>465</v>
      </c>
      <c r="C41" t="s">
        <v>144</v>
      </c>
      <c r="D41">
        <v>0</v>
      </c>
      <c r="E41">
        <v>0</v>
      </c>
      <c r="F41">
        <v>0</v>
      </c>
    </row>
    <row r="42" spans="1:6" x14ac:dyDescent="0.3">
      <c r="A42">
        <v>221</v>
      </c>
      <c r="B42" t="s">
        <v>442</v>
      </c>
      <c r="C42" t="s">
        <v>1149</v>
      </c>
      <c r="D42">
        <v>0</v>
      </c>
      <c r="E42">
        <v>0</v>
      </c>
      <c r="F42">
        <v>0</v>
      </c>
    </row>
    <row r="43" spans="1:6" x14ac:dyDescent="0.3">
      <c r="A43">
        <v>222</v>
      </c>
      <c r="B43" t="s">
        <v>442</v>
      </c>
      <c r="C43" t="s">
        <v>628</v>
      </c>
      <c r="D43">
        <v>0</v>
      </c>
      <c r="E43">
        <v>0</v>
      </c>
      <c r="F43">
        <v>0</v>
      </c>
    </row>
    <row r="44" spans="1:6" x14ac:dyDescent="0.3">
      <c r="A44">
        <v>231</v>
      </c>
      <c r="B44" t="s">
        <v>377</v>
      </c>
      <c r="C44" t="s">
        <v>967</v>
      </c>
      <c r="D44">
        <v>0</v>
      </c>
      <c r="E44">
        <v>0</v>
      </c>
      <c r="F44">
        <v>0</v>
      </c>
    </row>
    <row r="45" spans="1:6" x14ac:dyDescent="0.3">
      <c r="A45">
        <v>232</v>
      </c>
      <c r="B45" t="s">
        <v>377</v>
      </c>
      <c r="C45" t="s">
        <v>628</v>
      </c>
      <c r="D45">
        <v>0</v>
      </c>
      <c r="E45">
        <v>0</v>
      </c>
      <c r="F45">
        <v>0</v>
      </c>
    </row>
    <row r="46" spans="1:6" x14ac:dyDescent="0.3">
      <c r="A46">
        <v>241</v>
      </c>
      <c r="B46" t="s">
        <v>322</v>
      </c>
      <c r="C46" t="s">
        <v>453</v>
      </c>
      <c r="D46">
        <v>0</v>
      </c>
      <c r="E46">
        <v>0</v>
      </c>
      <c r="F46">
        <v>0</v>
      </c>
    </row>
    <row r="47" spans="1:6" x14ac:dyDescent="0.3">
      <c r="A47">
        <v>242</v>
      </c>
      <c r="B47" t="s">
        <v>322</v>
      </c>
      <c r="C47" t="s">
        <v>628</v>
      </c>
      <c r="D47">
        <v>0</v>
      </c>
      <c r="E47">
        <v>0</v>
      </c>
      <c r="F47">
        <v>0</v>
      </c>
    </row>
    <row r="48" spans="1:6" x14ac:dyDescent="0.3">
      <c r="A48">
        <v>251</v>
      </c>
      <c r="B48" t="s">
        <v>1018</v>
      </c>
      <c r="C48" t="s">
        <v>892</v>
      </c>
      <c r="D48">
        <v>0</v>
      </c>
      <c r="E48">
        <v>0</v>
      </c>
      <c r="F48">
        <v>0</v>
      </c>
    </row>
    <row r="49" spans="1:6" x14ac:dyDescent="0.3">
      <c r="A49">
        <v>252</v>
      </c>
      <c r="B49" t="s">
        <v>1018</v>
      </c>
      <c r="C49" t="s">
        <v>628</v>
      </c>
      <c r="D49">
        <v>0</v>
      </c>
      <c r="E49">
        <v>0</v>
      </c>
      <c r="F49">
        <v>0</v>
      </c>
    </row>
    <row r="50" spans="1:6" x14ac:dyDescent="0.3">
      <c r="A50">
        <v>261</v>
      </c>
      <c r="B50" t="s">
        <v>168</v>
      </c>
      <c r="C50" t="s">
        <v>892</v>
      </c>
      <c r="D50">
        <v>0</v>
      </c>
      <c r="E50">
        <v>0</v>
      </c>
      <c r="F50">
        <v>0</v>
      </c>
    </row>
    <row r="51" spans="1:6" x14ac:dyDescent="0.3">
      <c r="A51">
        <v>262</v>
      </c>
      <c r="B51" t="s">
        <v>168</v>
      </c>
      <c r="C51" t="s">
        <v>628</v>
      </c>
      <c r="D51">
        <v>0</v>
      </c>
      <c r="E51">
        <v>0</v>
      </c>
      <c r="F51">
        <v>0</v>
      </c>
    </row>
    <row r="52" spans="1:6" x14ac:dyDescent="0.3">
      <c r="A52">
        <v>271</v>
      </c>
      <c r="B52" t="s">
        <v>1096</v>
      </c>
      <c r="C52" t="s">
        <v>378</v>
      </c>
      <c r="D52">
        <v>0</v>
      </c>
      <c r="E52">
        <v>0</v>
      </c>
      <c r="F52">
        <v>0</v>
      </c>
    </row>
    <row r="53" spans="1:6" x14ac:dyDescent="0.3">
      <c r="A53">
        <v>272</v>
      </c>
      <c r="B53" t="s">
        <v>1096</v>
      </c>
      <c r="C53" t="s">
        <v>628</v>
      </c>
      <c r="D53">
        <v>0</v>
      </c>
      <c r="E53">
        <v>0</v>
      </c>
      <c r="F53">
        <v>0</v>
      </c>
    </row>
    <row r="54" spans="1:6" x14ac:dyDescent="0.3">
      <c r="A54">
        <v>281</v>
      </c>
      <c r="B54" t="s">
        <v>1049</v>
      </c>
      <c r="C54" t="s">
        <v>307</v>
      </c>
      <c r="D54">
        <v>0</v>
      </c>
      <c r="E54">
        <v>0</v>
      </c>
      <c r="F54">
        <v>0</v>
      </c>
    </row>
    <row r="55" spans="1:6" x14ac:dyDescent="0.3">
      <c r="A55">
        <v>282</v>
      </c>
      <c r="B55" t="s">
        <v>1049</v>
      </c>
      <c r="C55" t="s">
        <v>628</v>
      </c>
      <c r="D55">
        <v>0</v>
      </c>
      <c r="E55">
        <v>0</v>
      </c>
      <c r="F55">
        <v>0</v>
      </c>
    </row>
    <row r="56" spans="1:6" x14ac:dyDescent="0.3">
      <c r="A56">
        <v>291</v>
      </c>
      <c r="B56" t="s">
        <v>1062</v>
      </c>
      <c r="C56" t="s">
        <v>991</v>
      </c>
      <c r="D56">
        <v>0</v>
      </c>
      <c r="E56">
        <v>0</v>
      </c>
      <c r="F56">
        <v>0</v>
      </c>
    </row>
    <row r="57" spans="1:6" x14ac:dyDescent="0.3">
      <c r="A57">
        <v>292</v>
      </c>
      <c r="B57" t="s">
        <v>1062</v>
      </c>
      <c r="C57" t="s">
        <v>628</v>
      </c>
      <c r="D57">
        <v>0</v>
      </c>
      <c r="E57">
        <v>0</v>
      </c>
      <c r="F57">
        <v>0</v>
      </c>
    </row>
    <row r="58" spans="1:6" x14ac:dyDescent="0.3">
      <c r="A58">
        <v>311</v>
      </c>
      <c r="B58" t="s">
        <v>1195</v>
      </c>
      <c r="C58" t="s">
        <v>133</v>
      </c>
      <c r="D58">
        <v>0</v>
      </c>
      <c r="E58">
        <v>0</v>
      </c>
      <c r="F58">
        <v>0</v>
      </c>
    </row>
    <row r="59" spans="1:6" x14ac:dyDescent="0.3">
      <c r="A59">
        <v>312</v>
      </c>
      <c r="B59" t="s">
        <v>1195</v>
      </c>
      <c r="C59" t="s">
        <v>628</v>
      </c>
      <c r="D59">
        <v>0</v>
      </c>
      <c r="E59">
        <v>0</v>
      </c>
      <c r="F59">
        <v>0</v>
      </c>
    </row>
    <row r="60" spans="1:6" x14ac:dyDescent="0.3">
      <c r="A60">
        <v>321</v>
      </c>
      <c r="B60" t="s">
        <v>607</v>
      </c>
      <c r="C60" t="s">
        <v>810</v>
      </c>
      <c r="D60">
        <v>0</v>
      </c>
      <c r="E60">
        <v>0</v>
      </c>
      <c r="F60">
        <v>0</v>
      </c>
    </row>
    <row r="61" spans="1:6" x14ac:dyDescent="0.3">
      <c r="A61">
        <v>322</v>
      </c>
      <c r="B61" t="s">
        <v>607</v>
      </c>
      <c r="C61" t="s">
        <v>188</v>
      </c>
      <c r="D61">
        <v>0</v>
      </c>
      <c r="E61">
        <v>0</v>
      </c>
      <c r="F61">
        <v>0</v>
      </c>
    </row>
    <row r="62" spans="1:6" x14ac:dyDescent="0.3">
      <c r="A62">
        <v>351</v>
      </c>
      <c r="B62" t="s">
        <v>427</v>
      </c>
      <c r="C62" t="s">
        <v>1023</v>
      </c>
      <c r="D62">
        <v>4162619</v>
      </c>
      <c r="E62">
        <v>20160137</v>
      </c>
      <c r="F62">
        <v>23734646</v>
      </c>
    </row>
    <row r="63" spans="1:6" x14ac:dyDescent="0.3">
      <c r="A63">
        <v>352</v>
      </c>
      <c r="B63" t="s">
        <v>427</v>
      </c>
      <c r="C63" t="s">
        <v>1291</v>
      </c>
      <c r="D63">
        <v>10384</v>
      </c>
      <c r="E63">
        <v>10384</v>
      </c>
      <c r="F63">
        <v>0</v>
      </c>
    </row>
    <row r="64" spans="1:6" x14ac:dyDescent="0.3">
      <c r="A64">
        <v>361</v>
      </c>
      <c r="B64" t="s">
        <v>1009</v>
      </c>
      <c r="C64" t="s">
        <v>277</v>
      </c>
      <c r="D64">
        <v>70216</v>
      </c>
      <c r="E64">
        <v>3660577</v>
      </c>
      <c r="F64">
        <v>3526919</v>
      </c>
    </row>
    <row r="65" spans="1:6" x14ac:dyDescent="0.3">
      <c r="A65">
        <v>362</v>
      </c>
      <c r="B65" t="s">
        <v>1009</v>
      </c>
      <c r="C65" t="s">
        <v>1152</v>
      </c>
      <c r="D65">
        <v>0</v>
      </c>
      <c r="E65">
        <v>0</v>
      </c>
      <c r="F65">
        <v>0</v>
      </c>
    </row>
    <row r="66" spans="1:6" x14ac:dyDescent="0.3">
      <c r="A66">
        <v>371</v>
      </c>
      <c r="B66" t="s">
        <v>926</v>
      </c>
      <c r="C66" t="s">
        <v>546</v>
      </c>
      <c r="D66">
        <v>393872</v>
      </c>
      <c r="E66">
        <v>8889526</v>
      </c>
      <c r="F66">
        <v>8887533</v>
      </c>
    </row>
    <row r="67" spans="1:6" x14ac:dyDescent="0.3">
      <c r="A67">
        <v>372</v>
      </c>
      <c r="B67" t="s">
        <v>926</v>
      </c>
      <c r="C67" t="s">
        <v>4</v>
      </c>
      <c r="D67">
        <v>12208</v>
      </c>
      <c r="E67">
        <v>12208</v>
      </c>
      <c r="F67">
        <v>0</v>
      </c>
    </row>
    <row r="68" spans="1:6" x14ac:dyDescent="0.3">
      <c r="A68">
        <v>381</v>
      </c>
      <c r="B68" t="s">
        <v>1287</v>
      </c>
      <c r="C68" t="s">
        <v>161</v>
      </c>
      <c r="D68">
        <v>0</v>
      </c>
      <c r="E68">
        <v>0</v>
      </c>
      <c r="F68">
        <v>0</v>
      </c>
    </row>
    <row r="69" spans="1:6" x14ac:dyDescent="0.3">
      <c r="A69">
        <v>382</v>
      </c>
      <c r="B69" t="s">
        <v>1287</v>
      </c>
      <c r="C69" t="s">
        <v>1210</v>
      </c>
      <c r="D69">
        <v>0</v>
      </c>
      <c r="E69">
        <v>0</v>
      </c>
      <c r="F69">
        <v>0</v>
      </c>
    </row>
    <row r="70" spans="1:6" x14ac:dyDescent="0.3">
      <c r="A70">
        <v>391</v>
      </c>
      <c r="B70" t="s">
        <v>450</v>
      </c>
      <c r="C70" t="s">
        <v>893</v>
      </c>
      <c r="D70">
        <v>0</v>
      </c>
      <c r="E70">
        <v>23193</v>
      </c>
      <c r="F70">
        <v>19776</v>
      </c>
    </row>
    <row r="71" spans="1:6" x14ac:dyDescent="0.3">
      <c r="A71">
        <v>392</v>
      </c>
      <c r="B71" t="s">
        <v>450</v>
      </c>
      <c r="C71" t="s">
        <v>100</v>
      </c>
      <c r="D71">
        <v>0</v>
      </c>
      <c r="E71">
        <v>1441375</v>
      </c>
      <c r="F71">
        <v>1441375</v>
      </c>
    </row>
    <row r="72" spans="1:6" x14ac:dyDescent="0.3">
      <c r="A72">
        <v>393</v>
      </c>
      <c r="B72" t="s">
        <v>450</v>
      </c>
      <c r="C72" t="s">
        <v>749</v>
      </c>
      <c r="D72">
        <v>0</v>
      </c>
      <c r="E72">
        <v>0</v>
      </c>
      <c r="F72">
        <v>0</v>
      </c>
    </row>
    <row r="73" spans="1:6" x14ac:dyDescent="0.3">
      <c r="A73">
        <v>521</v>
      </c>
      <c r="B73" t="s">
        <v>1230</v>
      </c>
      <c r="C73" t="s">
        <v>217</v>
      </c>
      <c r="D73">
        <v>0</v>
      </c>
      <c r="E73">
        <v>0</v>
      </c>
      <c r="F73">
        <v>0</v>
      </c>
    </row>
    <row r="74" spans="1:6" x14ac:dyDescent="0.3">
      <c r="A74">
        <v>571</v>
      </c>
      <c r="B74" t="s">
        <v>134</v>
      </c>
      <c r="C74" t="s">
        <v>1161</v>
      </c>
      <c r="D74">
        <v>1322309</v>
      </c>
      <c r="E74">
        <v>17340064</v>
      </c>
      <c r="F74">
        <v>17618878</v>
      </c>
    </row>
    <row r="75" spans="1:6" x14ac:dyDescent="0.3">
      <c r="A75">
        <v>572</v>
      </c>
      <c r="B75" t="s">
        <v>134</v>
      </c>
      <c r="C75" t="s">
        <v>5</v>
      </c>
      <c r="D75">
        <v>2380</v>
      </c>
      <c r="E75">
        <v>0</v>
      </c>
      <c r="F75">
        <v>-2380</v>
      </c>
    </row>
    <row r="76" spans="1:6" x14ac:dyDescent="0.3">
      <c r="A76">
        <v>581</v>
      </c>
      <c r="B76" t="s">
        <v>491</v>
      </c>
      <c r="C76" t="s">
        <v>865</v>
      </c>
      <c r="D76">
        <v>0</v>
      </c>
      <c r="E76">
        <v>0</v>
      </c>
      <c r="F76">
        <v>0</v>
      </c>
    </row>
    <row r="77" spans="1:6" x14ac:dyDescent="0.3">
      <c r="A77">
        <v>601</v>
      </c>
      <c r="B77" t="s">
        <v>79</v>
      </c>
      <c r="C77" t="s">
        <v>89</v>
      </c>
      <c r="D77">
        <v>0</v>
      </c>
      <c r="E77">
        <v>0</v>
      </c>
      <c r="F77">
        <v>0</v>
      </c>
    </row>
    <row r="78" spans="1:6" x14ac:dyDescent="0.3">
      <c r="A78">
        <v>611</v>
      </c>
      <c r="B78" t="s">
        <v>192</v>
      </c>
      <c r="C78" t="s">
        <v>669</v>
      </c>
      <c r="D78">
        <v>0</v>
      </c>
      <c r="E78">
        <v>0</v>
      </c>
      <c r="F78">
        <v>0</v>
      </c>
    </row>
    <row r="79" spans="1:6" x14ac:dyDescent="0.3">
      <c r="A79">
        <v>612</v>
      </c>
      <c r="B79" t="s">
        <v>192</v>
      </c>
      <c r="C79" t="s">
        <v>714</v>
      </c>
      <c r="D79">
        <v>0</v>
      </c>
      <c r="E79">
        <v>0</v>
      </c>
      <c r="F79">
        <v>0</v>
      </c>
    </row>
    <row r="80" spans="1:6" x14ac:dyDescent="0.3">
      <c r="A80">
        <v>621</v>
      </c>
      <c r="B80" t="s">
        <v>1237</v>
      </c>
      <c r="C80" t="s">
        <v>1224</v>
      </c>
      <c r="D80">
        <v>-53099</v>
      </c>
      <c r="E80">
        <v>537264</v>
      </c>
      <c r="F80">
        <v>517385</v>
      </c>
    </row>
    <row r="81" spans="1:6" x14ac:dyDescent="0.3">
      <c r="A81">
        <v>631</v>
      </c>
      <c r="B81" t="s">
        <v>1061</v>
      </c>
      <c r="C81" t="s">
        <v>721</v>
      </c>
      <c r="D81">
        <v>-158779</v>
      </c>
      <c r="E81">
        <v>7117714</v>
      </c>
      <c r="F81">
        <v>6949230</v>
      </c>
    </row>
    <row r="82" spans="1:6" x14ac:dyDescent="0.3">
      <c r="A82">
        <v>641</v>
      </c>
      <c r="B82" t="s">
        <v>790</v>
      </c>
      <c r="C82" t="s">
        <v>1151</v>
      </c>
      <c r="D82">
        <v>0</v>
      </c>
      <c r="E82">
        <v>0</v>
      </c>
      <c r="F82">
        <v>0</v>
      </c>
    </row>
    <row r="83" spans="1:6" x14ac:dyDescent="0.3">
      <c r="A83">
        <v>651</v>
      </c>
      <c r="B83" t="s">
        <v>1269</v>
      </c>
      <c r="C83" t="s">
        <v>781</v>
      </c>
      <c r="D83">
        <v>5091</v>
      </c>
      <c r="E83">
        <v>79443</v>
      </c>
      <c r="F83">
        <v>84076</v>
      </c>
    </row>
    <row r="84" spans="1:6" x14ac:dyDescent="0.3">
      <c r="A84">
        <v>652</v>
      </c>
      <c r="B84" t="s">
        <v>1269</v>
      </c>
      <c r="C84" t="s">
        <v>490</v>
      </c>
      <c r="D84">
        <v>0</v>
      </c>
      <c r="E84">
        <v>0</v>
      </c>
      <c r="F84">
        <v>0</v>
      </c>
    </row>
    <row r="85" spans="1:6" x14ac:dyDescent="0.3">
      <c r="A85">
        <v>671</v>
      </c>
      <c r="B85" t="s">
        <v>983</v>
      </c>
      <c r="C85" t="s">
        <v>728</v>
      </c>
      <c r="D85">
        <v>0</v>
      </c>
      <c r="E85">
        <v>0</v>
      </c>
      <c r="F85">
        <v>0</v>
      </c>
    </row>
    <row r="86" spans="1:6" x14ac:dyDescent="0.3">
      <c r="A86">
        <v>691</v>
      </c>
      <c r="B86" t="s">
        <v>532</v>
      </c>
      <c r="C86" t="s">
        <v>734</v>
      </c>
      <c r="D86">
        <v>0</v>
      </c>
      <c r="E86">
        <v>0</v>
      </c>
      <c r="F86">
        <v>0</v>
      </c>
    </row>
    <row r="87" spans="1:6" x14ac:dyDescent="0.3">
      <c r="A87">
        <v>701</v>
      </c>
      <c r="B87" t="s">
        <v>569</v>
      </c>
      <c r="C87" t="s">
        <v>780</v>
      </c>
      <c r="D87">
        <v>0</v>
      </c>
      <c r="E87">
        <v>0</v>
      </c>
      <c r="F87">
        <v>0</v>
      </c>
    </row>
    <row r="88" spans="1:6" x14ac:dyDescent="0.3">
      <c r="A88">
        <v>721</v>
      </c>
      <c r="B88" t="s">
        <v>879</v>
      </c>
      <c r="C88" t="s">
        <v>894</v>
      </c>
      <c r="D88">
        <v>331</v>
      </c>
      <c r="E88">
        <v>92012</v>
      </c>
      <c r="F88">
        <v>92239</v>
      </c>
    </row>
    <row r="89" spans="1:6" x14ac:dyDescent="0.3">
      <c r="A89">
        <v>731</v>
      </c>
      <c r="B89" t="s">
        <v>432</v>
      </c>
      <c r="C89" t="s">
        <v>1183</v>
      </c>
      <c r="D89">
        <v>840755</v>
      </c>
      <c r="E89">
        <v>17715510</v>
      </c>
      <c r="F89">
        <v>16553327</v>
      </c>
    </row>
    <row r="90" spans="1:6" x14ac:dyDescent="0.3">
      <c r="A90">
        <v>732</v>
      </c>
      <c r="B90" t="s">
        <v>432</v>
      </c>
      <c r="C90" t="s">
        <v>282</v>
      </c>
      <c r="D90">
        <v>0</v>
      </c>
      <c r="E90">
        <v>38904</v>
      </c>
      <c r="F90">
        <v>38904</v>
      </c>
    </row>
    <row r="91" spans="1:6" x14ac:dyDescent="0.3">
      <c r="A91">
        <v>751</v>
      </c>
      <c r="B91" t="s">
        <v>857</v>
      </c>
      <c r="C91" t="s">
        <v>371</v>
      </c>
      <c r="D91">
        <v>3363</v>
      </c>
      <c r="E91">
        <v>10299</v>
      </c>
      <c r="F91">
        <v>3016</v>
      </c>
    </row>
    <row r="92" spans="1:6" x14ac:dyDescent="0.3">
      <c r="A92">
        <v>771</v>
      </c>
      <c r="B92" t="s">
        <v>1052</v>
      </c>
      <c r="C92" t="s">
        <v>797</v>
      </c>
      <c r="D92">
        <v>122013</v>
      </c>
      <c r="E92">
        <v>-2136</v>
      </c>
      <c r="F92">
        <v>12335</v>
      </c>
    </row>
    <row r="93" spans="1:6" x14ac:dyDescent="0.3">
      <c r="A93">
        <v>821</v>
      </c>
      <c r="B93" t="s">
        <v>1092</v>
      </c>
      <c r="C93" t="s">
        <v>699</v>
      </c>
      <c r="D93">
        <v>3800000</v>
      </c>
      <c r="E93">
        <v>0</v>
      </c>
      <c r="F93">
        <v>1000000</v>
      </c>
    </row>
    <row r="94" spans="1:6" x14ac:dyDescent="0.3">
      <c r="A94">
        <v>831</v>
      </c>
      <c r="B94" t="s">
        <v>34</v>
      </c>
      <c r="C94" t="s">
        <v>154</v>
      </c>
      <c r="D94">
        <v>0</v>
      </c>
      <c r="E94">
        <v>0</v>
      </c>
      <c r="F94">
        <v>0</v>
      </c>
    </row>
    <row r="95" spans="1:6" x14ac:dyDescent="0.3">
      <c r="A95">
        <v>841</v>
      </c>
      <c r="B95" t="s">
        <v>706</v>
      </c>
      <c r="C95" t="s">
        <v>836</v>
      </c>
      <c r="D95">
        <v>0</v>
      </c>
      <c r="E95">
        <v>0</v>
      </c>
      <c r="F95">
        <v>0</v>
      </c>
    </row>
    <row r="96" spans="1:6" x14ac:dyDescent="0.3">
      <c r="A96">
        <v>851</v>
      </c>
      <c r="B96" t="s">
        <v>1069</v>
      </c>
      <c r="C96" t="s">
        <v>101</v>
      </c>
      <c r="D96">
        <v>0</v>
      </c>
      <c r="E96">
        <v>0</v>
      </c>
      <c r="F96">
        <v>0</v>
      </c>
    </row>
    <row r="97" spans="1:6" x14ac:dyDescent="0.3">
      <c r="A97">
        <v>861</v>
      </c>
      <c r="B97" t="s">
        <v>678</v>
      </c>
      <c r="C97" t="s">
        <v>1292</v>
      </c>
      <c r="D97">
        <v>1000000</v>
      </c>
      <c r="E97">
        <v>1000000</v>
      </c>
      <c r="F97">
        <v>0</v>
      </c>
    </row>
    <row r="98" spans="1:6" x14ac:dyDescent="0.3">
      <c r="A98">
        <v>881</v>
      </c>
      <c r="B98" t="s">
        <v>519</v>
      </c>
      <c r="C98" t="s">
        <v>1163</v>
      </c>
      <c r="D98">
        <v>0</v>
      </c>
      <c r="E98">
        <v>0</v>
      </c>
      <c r="F98">
        <v>0</v>
      </c>
    </row>
    <row r="99" spans="1:6" x14ac:dyDescent="0.3">
      <c r="A99">
        <v>882</v>
      </c>
      <c r="B99" t="s">
        <v>519</v>
      </c>
      <c r="C99" t="s">
        <v>996</v>
      </c>
      <c r="D99">
        <v>0</v>
      </c>
      <c r="E99">
        <v>0</v>
      </c>
      <c r="F99">
        <v>0</v>
      </c>
    </row>
    <row r="100" spans="1:6" x14ac:dyDescent="0.3">
      <c r="A100">
        <v>911</v>
      </c>
      <c r="B100" t="s">
        <v>94</v>
      </c>
      <c r="C100" t="s">
        <v>293</v>
      </c>
      <c r="D100">
        <v>0</v>
      </c>
      <c r="E100">
        <v>0</v>
      </c>
      <c r="F100">
        <v>0</v>
      </c>
    </row>
    <row r="101" spans="1:6" x14ac:dyDescent="0.3">
      <c r="A101">
        <v>921</v>
      </c>
      <c r="B101" t="s">
        <v>163</v>
      </c>
      <c r="C101" t="s">
        <v>194</v>
      </c>
      <c r="D101">
        <v>0</v>
      </c>
      <c r="E101">
        <v>0</v>
      </c>
      <c r="F101">
        <v>0</v>
      </c>
    </row>
    <row r="102" spans="1:6" x14ac:dyDescent="0.3">
      <c r="A102">
        <v>941</v>
      </c>
      <c r="B102" t="s">
        <v>765</v>
      </c>
      <c r="C102" t="s">
        <v>751</v>
      </c>
      <c r="D102">
        <v>0</v>
      </c>
      <c r="E102">
        <v>0</v>
      </c>
      <c r="F102">
        <v>0</v>
      </c>
    </row>
    <row r="103" spans="1:6" x14ac:dyDescent="0.3">
      <c r="A103">
        <v>951</v>
      </c>
      <c r="B103" t="s">
        <v>808</v>
      </c>
      <c r="C103" t="s">
        <v>594</v>
      </c>
      <c r="D103">
        <v>0</v>
      </c>
      <c r="E103">
        <v>0</v>
      </c>
      <c r="F103">
        <v>0</v>
      </c>
    </row>
    <row r="104" spans="1:6" x14ac:dyDescent="0.3">
      <c r="A104">
        <v>961</v>
      </c>
      <c r="B104" t="s">
        <v>40</v>
      </c>
      <c r="C104" t="s">
        <v>6</v>
      </c>
      <c r="D104">
        <v>0</v>
      </c>
      <c r="E104">
        <v>0</v>
      </c>
      <c r="F104">
        <v>0</v>
      </c>
    </row>
    <row r="105" spans="1:6" x14ac:dyDescent="0.3">
      <c r="A105">
        <v>981</v>
      </c>
      <c r="B105" t="s">
        <v>372</v>
      </c>
      <c r="C105" t="s">
        <v>328</v>
      </c>
      <c r="D105">
        <v>0</v>
      </c>
      <c r="E105">
        <v>0</v>
      </c>
      <c r="F105">
        <v>0</v>
      </c>
    </row>
    <row r="106" spans="1:6" x14ac:dyDescent="0.3">
      <c r="A106">
        <v>982</v>
      </c>
      <c r="B106" t="s">
        <v>372</v>
      </c>
      <c r="C106" t="s">
        <v>319</v>
      </c>
      <c r="D106">
        <v>-2467071</v>
      </c>
      <c r="E106">
        <v>0</v>
      </c>
      <c r="F106">
        <v>2467071</v>
      </c>
    </row>
    <row r="107" spans="1:6" x14ac:dyDescent="0.3">
      <c r="A107">
        <v>991</v>
      </c>
      <c r="B107" t="s">
        <v>508</v>
      </c>
      <c r="C107" t="s">
        <v>1176</v>
      </c>
      <c r="D107">
        <v>-2157618</v>
      </c>
      <c r="E107">
        <v>2467071</v>
      </c>
      <c r="F107">
        <v>0</v>
      </c>
    </row>
    <row r="108" spans="1:6" x14ac:dyDescent="0.3">
      <c r="A108">
        <v>992</v>
      </c>
      <c r="B108" t="s">
        <v>508</v>
      </c>
      <c r="C108" t="s">
        <v>319</v>
      </c>
      <c r="D108">
        <v>-2467071</v>
      </c>
      <c r="E108">
        <v>0</v>
      </c>
      <c r="F108">
        <v>2467071</v>
      </c>
    </row>
    <row r="109" spans="1:6" x14ac:dyDescent="0.3">
      <c r="A109">
        <v>1111</v>
      </c>
      <c r="B109" t="s">
        <v>421</v>
      </c>
      <c r="C109" t="s">
        <v>1217</v>
      </c>
      <c r="D109">
        <v>0</v>
      </c>
      <c r="E109">
        <v>0</v>
      </c>
      <c r="F109">
        <v>0</v>
      </c>
    </row>
    <row r="110" spans="1:6" x14ac:dyDescent="0.3">
      <c r="A110">
        <v>1121</v>
      </c>
      <c r="B110" t="s">
        <v>198</v>
      </c>
      <c r="C110" t="s">
        <v>643</v>
      </c>
      <c r="D110">
        <v>0</v>
      </c>
      <c r="E110">
        <v>0</v>
      </c>
      <c r="F110">
        <v>0</v>
      </c>
    </row>
    <row r="111" spans="1:6" x14ac:dyDescent="0.3">
      <c r="A111">
        <v>1131</v>
      </c>
      <c r="B111" t="s">
        <v>574</v>
      </c>
      <c r="C111" t="s">
        <v>1310</v>
      </c>
      <c r="D111">
        <v>0</v>
      </c>
      <c r="E111">
        <v>0</v>
      </c>
      <c r="F111">
        <v>0</v>
      </c>
    </row>
    <row r="112" spans="1:6" x14ac:dyDescent="0.3">
      <c r="A112">
        <v>1132</v>
      </c>
      <c r="B112" t="s">
        <v>574</v>
      </c>
      <c r="C112" t="s">
        <v>693</v>
      </c>
      <c r="D112">
        <v>0</v>
      </c>
      <c r="E112">
        <v>0</v>
      </c>
      <c r="F112">
        <v>0</v>
      </c>
    </row>
    <row r="113" spans="1:6" x14ac:dyDescent="0.3">
      <c r="A113">
        <v>1141</v>
      </c>
      <c r="B113" t="s">
        <v>9</v>
      </c>
      <c r="C113" t="s">
        <v>841</v>
      </c>
      <c r="D113">
        <v>0</v>
      </c>
      <c r="E113">
        <v>5585</v>
      </c>
      <c r="F113">
        <v>5683</v>
      </c>
    </row>
    <row r="114" spans="1:6" x14ac:dyDescent="0.3">
      <c r="A114">
        <v>1171</v>
      </c>
      <c r="B114" t="s">
        <v>1182</v>
      </c>
      <c r="C114" t="s">
        <v>217</v>
      </c>
      <c r="D114">
        <v>0</v>
      </c>
      <c r="E114">
        <v>0</v>
      </c>
      <c r="F114">
        <v>0</v>
      </c>
    </row>
    <row r="115" spans="1:6" x14ac:dyDescent="0.3">
      <c r="A115">
        <v>1191</v>
      </c>
      <c r="B115" t="s">
        <v>695</v>
      </c>
      <c r="C115" t="s">
        <v>946</v>
      </c>
      <c r="D115">
        <v>0</v>
      </c>
      <c r="E115">
        <v>0</v>
      </c>
      <c r="F115">
        <v>0</v>
      </c>
    </row>
    <row r="116" spans="1:6" x14ac:dyDescent="0.3">
      <c r="A116">
        <v>1211</v>
      </c>
      <c r="B116" t="s">
        <v>1258</v>
      </c>
      <c r="C116" t="s">
        <v>638</v>
      </c>
      <c r="D116">
        <v>4350000</v>
      </c>
      <c r="E116">
        <v>2939998</v>
      </c>
      <c r="F116">
        <v>89998</v>
      </c>
    </row>
    <row r="117" spans="1:6" x14ac:dyDescent="0.3">
      <c r="A117">
        <v>1261</v>
      </c>
      <c r="B117" t="s">
        <v>189</v>
      </c>
      <c r="C117" t="s">
        <v>107</v>
      </c>
      <c r="D117">
        <v>5834386</v>
      </c>
      <c r="E117">
        <v>11283215</v>
      </c>
      <c r="F117">
        <v>11175140</v>
      </c>
    </row>
    <row r="118" spans="1:6" x14ac:dyDescent="0.3">
      <c r="A118">
        <v>1262</v>
      </c>
      <c r="B118" t="s">
        <v>189</v>
      </c>
      <c r="C118" t="s">
        <v>643</v>
      </c>
      <c r="D118">
        <v>0</v>
      </c>
      <c r="E118">
        <v>0</v>
      </c>
      <c r="F118">
        <v>0</v>
      </c>
    </row>
    <row r="119" spans="1:6" x14ac:dyDescent="0.3">
      <c r="A119">
        <v>1271</v>
      </c>
      <c r="B119" t="s">
        <v>1079</v>
      </c>
      <c r="C119" t="s">
        <v>865</v>
      </c>
      <c r="D119">
        <v>0</v>
      </c>
      <c r="E119">
        <v>0</v>
      </c>
      <c r="F119">
        <v>0</v>
      </c>
    </row>
    <row r="120" spans="1:6" x14ac:dyDescent="0.3">
      <c r="A120">
        <v>1281</v>
      </c>
      <c r="B120" t="s">
        <v>766</v>
      </c>
      <c r="C120" t="s">
        <v>1122</v>
      </c>
      <c r="D120">
        <v>1009731</v>
      </c>
      <c r="E120">
        <v>15728</v>
      </c>
      <c r="F120">
        <v>37100</v>
      </c>
    </row>
    <row r="121" spans="1:6" x14ac:dyDescent="0.3">
      <c r="A121">
        <v>1282</v>
      </c>
      <c r="B121" t="s">
        <v>766</v>
      </c>
      <c r="C121" t="s">
        <v>1299</v>
      </c>
      <c r="D121">
        <v>0</v>
      </c>
      <c r="E121">
        <v>0</v>
      </c>
      <c r="F121">
        <v>0</v>
      </c>
    </row>
    <row r="122" spans="1:6" x14ac:dyDescent="0.3">
      <c r="A122">
        <v>1301</v>
      </c>
      <c r="B122" t="s">
        <v>41</v>
      </c>
      <c r="C122" t="s">
        <v>276</v>
      </c>
      <c r="D122">
        <v>0</v>
      </c>
      <c r="E122">
        <v>0</v>
      </c>
      <c r="F122">
        <v>0</v>
      </c>
    </row>
    <row r="123" spans="1:6" x14ac:dyDescent="0.3">
      <c r="A123">
        <v>1302</v>
      </c>
      <c r="B123" t="s">
        <v>41</v>
      </c>
      <c r="C123" t="s">
        <v>714</v>
      </c>
      <c r="D123">
        <v>0</v>
      </c>
      <c r="E123">
        <v>0</v>
      </c>
      <c r="F123">
        <v>0</v>
      </c>
    </row>
    <row r="124" spans="1:6" x14ac:dyDescent="0.3">
      <c r="A124">
        <v>1311</v>
      </c>
      <c r="B124" t="s">
        <v>1073</v>
      </c>
      <c r="C124" t="s">
        <v>396</v>
      </c>
      <c r="D124">
        <v>94105</v>
      </c>
      <c r="E124">
        <v>1259518</v>
      </c>
      <c r="F124">
        <v>1223576</v>
      </c>
    </row>
    <row r="125" spans="1:6" x14ac:dyDescent="0.3">
      <c r="A125">
        <v>1321</v>
      </c>
      <c r="B125" t="s">
        <v>346</v>
      </c>
      <c r="C125" t="s">
        <v>1224</v>
      </c>
      <c r="D125">
        <v>53099</v>
      </c>
      <c r="E125">
        <v>537264</v>
      </c>
      <c r="F125">
        <v>517385</v>
      </c>
    </row>
    <row r="126" spans="1:6" x14ac:dyDescent="0.3">
      <c r="A126">
        <v>1331</v>
      </c>
      <c r="B126" t="s">
        <v>694</v>
      </c>
      <c r="C126" t="s">
        <v>721</v>
      </c>
      <c r="D126">
        <v>158779</v>
      </c>
      <c r="E126">
        <v>7117714</v>
      </c>
      <c r="F126">
        <v>6949230</v>
      </c>
    </row>
    <row r="127" spans="1:6" x14ac:dyDescent="0.3">
      <c r="A127">
        <v>1341</v>
      </c>
      <c r="B127" t="s">
        <v>1189</v>
      </c>
      <c r="C127" t="s">
        <v>350</v>
      </c>
      <c r="D127">
        <v>0</v>
      </c>
      <c r="E127">
        <v>0</v>
      </c>
      <c r="F127">
        <v>0</v>
      </c>
    </row>
    <row r="128" spans="1:6" x14ac:dyDescent="0.3">
      <c r="A128">
        <v>1351</v>
      </c>
      <c r="B128" t="s">
        <v>20</v>
      </c>
      <c r="C128" t="s">
        <v>176</v>
      </c>
      <c r="D128">
        <v>5151</v>
      </c>
      <c r="E128">
        <v>266093</v>
      </c>
      <c r="F128">
        <v>284813</v>
      </c>
    </row>
    <row r="129" spans="1:6" x14ac:dyDescent="0.3">
      <c r="A129">
        <v>1352</v>
      </c>
      <c r="B129" t="s">
        <v>20</v>
      </c>
      <c r="C129" t="s">
        <v>10</v>
      </c>
      <c r="D129">
        <v>2307</v>
      </c>
      <c r="E129">
        <v>988</v>
      </c>
      <c r="F129">
        <v>0</v>
      </c>
    </row>
    <row r="130" spans="1:6" x14ac:dyDescent="0.3">
      <c r="A130">
        <v>1371</v>
      </c>
      <c r="B130" t="s">
        <v>644</v>
      </c>
      <c r="C130" t="s">
        <v>798</v>
      </c>
      <c r="D130">
        <v>38497</v>
      </c>
      <c r="E130">
        <v>38721</v>
      </c>
      <c r="F130">
        <v>12406</v>
      </c>
    </row>
    <row r="131" spans="1:6" x14ac:dyDescent="0.3">
      <c r="A131">
        <v>1372</v>
      </c>
      <c r="B131" t="s">
        <v>644</v>
      </c>
      <c r="C131" t="s">
        <v>946</v>
      </c>
      <c r="D131">
        <v>0</v>
      </c>
      <c r="E131">
        <v>0</v>
      </c>
      <c r="F131">
        <v>0</v>
      </c>
    </row>
    <row r="132" spans="1:6" x14ac:dyDescent="0.3">
      <c r="A132">
        <v>1381</v>
      </c>
      <c r="B132" t="s">
        <v>70</v>
      </c>
      <c r="C132" t="s">
        <v>1129</v>
      </c>
      <c r="D132">
        <v>0</v>
      </c>
      <c r="E132">
        <v>0</v>
      </c>
      <c r="F132">
        <v>38262</v>
      </c>
    </row>
    <row r="133" spans="1:6" x14ac:dyDescent="0.3">
      <c r="A133">
        <v>1391</v>
      </c>
      <c r="B133" t="s">
        <v>1226</v>
      </c>
      <c r="C133" t="s">
        <v>1183</v>
      </c>
      <c r="D133">
        <v>-840755</v>
      </c>
      <c r="E133">
        <v>17715510</v>
      </c>
      <c r="F133">
        <v>16553327</v>
      </c>
    </row>
    <row r="134" spans="1:6" x14ac:dyDescent="0.3">
      <c r="A134">
        <v>1392</v>
      </c>
      <c r="B134" t="s">
        <v>1226</v>
      </c>
      <c r="C134" t="s">
        <v>866</v>
      </c>
      <c r="D134">
        <v>2179</v>
      </c>
      <c r="E134">
        <v>22196</v>
      </c>
      <c r="F134">
        <v>20831</v>
      </c>
    </row>
    <row r="135" spans="1:6" x14ac:dyDescent="0.3">
      <c r="A135">
        <v>1401</v>
      </c>
      <c r="B135" t="s">
        <v>183</v>
      </c>
      <c r="C135" t="s">
        <v>1177</v>
      </c>
      <c r="D135">
        <v>0</v>
      </c>
      <c r="E135">
        <v>0</v>
      </c>
      <c r="F135">
        <v>0</v>
      </c>
    </row>
    <row r="136" spans="1:6" x14ac:dyDescent="0.3">
      <c r="A136">
        <v>1421</v>
      </c>
      <c r="B136" t="s">
        <v>600</v>
      </c>
      <c r="C136" t="s">
        <v>59</v>
      </c>
      <c r="D136">
        <v>14716</v>
      </c>
      <c r="E136">
        <v>14716</v>
      </c>
      <c r="F136">
        <v>9514</v>
      </c>
    </row>
    <row r="137" spans="1:6" x14ac:dyDescent="0.3">
      <c r="A137">
        <v>1441</v>
      </c>
      <c r="B137" t="s">
        <v>531</v>
      </c>
      <c r="C137" t="s">
        <v>641</v>
      </c>
      <c r="D137">
        <v>0</v>
      </c>
      <c r="E137">
        <v>0</v>
      </c>
      <c r="F137">
        <v>0</v>
      </c>
    </row>
    <row r="138" spans="1:6" x14ac:dyDescent="0.3">
      <c r="A138">
        <v>1441</v>
      </c>
      <c r="B138" t="s">
        <v>531</v>
      </c>
      <c r="C138" t="s">
        <v>641</v>
      </c>
      <c r="D138">
        <v>0</v>
      </c>
      <c r="E138">
        <v>248874</v>
      </c>
      <c r="F138">
        <v>248874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44"/>
  <sheetViews>
    <sheetView view="pageBreakPreview" topLeftCell="A16" zoomScale="97" zoomScaleNormal="100" zoomScaleSheetLayoutView="97" workbookViewId="0">
      <selection activeCell="A36" sqref="A36"/>
    </sheetView>
  </sheetViews>
  <sheetFormatPr defaultRowHeight="14.4" x14ac:dyDescent="0.3"/>
  <cols>
    <col min="8" max="8" width="51.6640625" customWidth="1"/>
    <col min="9" max="9" width="39.77734375" customWidth="1"/>
  </cols>
  <sheetData>
    <row r="1" spans="1:9" s="11" customFormat="1" x14ac:dyDescent="0.3"/>
    <row r="2" spans="1:9" ht="15" customHeight="1" x14ac:dyDescent="0.3">
      <c r="A2" s="167" t="s">
        <v>479</v>
      </c>
      <c r="B2" s="167"/>
      <c r="C2" s="167"/>
      <c r="D2" s="167"/>
      <c r="E2" s="167"/>
      <c r="F2" s="167"/>
      <c r="G2" s="167"/>
      <c r="H2" s="167"/>
      <c r="I2" s="167"/>
    </row>
    <row r="4" spans="1:9" ht="50.1" customHeight="1" x14ac:dyDescent="0.3">
      <c r="A4" s="228" t="s">
        <v>375</v>
      </c>
      <c r="B4" s="228"/>
      <c r="C4" s="228"/>
      <c r="D4" s="228" t="s">
        <v>1059</v>
      </c>
      <c r="E4" s="228"/>
      <c r="F4" s="228" t="s">
        <v>719</v>
      </c>
      <c r="G4" s="228"/>
      <c r="H4" s="228" t="s">
        <v>712</v>
      </c>
      <c r="I4" s="228"/>
    </row>
    <row r="5" spans="1:9" x14ac:dyDescent="0.3">
      <c r="A5" s="229" t="s">
        <v>1001</v>
      </c>
      <c r="B5" s="229"/>
      <c r="C5" s="229"/>
      <c r="D5" s="229" t="s">
        <v>28</v>
      </c>
      <c r="E5" s="229"/>
      <c r="F5" s="229" t="s">
        <v>788</v>
      </c>
      <c r="G5" s="229"/>
      <c r="H5" s="229" t="s">
        <v>296</v>
      </c>
      <c r="I5" s="229"/>
    </row>
    <row r="6" spans="1:9" x14ac:dyDescent="0.3">
      <c r="A6" s="265" t="s">
        <v>268</v>
      </c>
      <c r="B6" s="265"/>
      <c r="C6" s="265"/>
      <c r="D6" s="266"/>
      <c r="E6" s="266"/>
      <c r="F6" s="266"/>
      <c r="G6" s="266"/>
      <c r="H6" s="266"/>
      <c r="I6" s="266"/>
    </row>
    <row r="7" spans="1:9" s="11" customFormat="1" x14ac:dyDescent="0.3">
      <c r="A7" s="267" t="s">
        <v>232</v>
      </c>
      <c r="B7" s="267"/>
      <c r="C7" s="267"/>
      <c r="D7" s="268"/>
      <c r="E7" s="268"/>
      <c r="F7" s="268"/>
      <c r="G7" s="268"/>
      <c r="H7" s="268"/>
      <c r="I7" s="268"/>
    </row>
    <row r="8" spans="1:9" s="11" customFormat="1" x14ac:dyDescent="0.3">
      <c r="A8" s="267" t="s">
        <v>898</v>
      </c>
      <c r="B8" s="267"/>
      <c r="C8" s="267"/>
      <c r="D8" s="268">
        <f>D6-D7</f>
        <v>0</v>
      </c>
      <c r="E8" s="268"/>
      <c r="F8" s="268">
        <f>F6-F7</f>
        <v>0</v>
      </c>
      <c r="G8" s="268"/>
      <c r="H8" s="268">
        <f>H6-H7</f>
        <v>0</v>
      </c>
      <c r="I8" s="268"/>
    </row>
    <row r="10" spans="1:9" s="11" customFormat="1" ht="15" customHeight="1" x14ac:dyDescent="0.3">
      <c r="A10" s="167" t="s">
        <v>726</v>
      </c>
      <c r="B10" s="167"/>
      <c r="C10" s="167"/>
      <c r="D10" s="167"/>
      <c r="E10" s="167"/>
      <c r="F10" s="167"/>
      <c r="G10" s="167"/>
      <c r="H10" s="167"/>
      <c r="I10" s="167"/>
    </row>
    <row r="12" spans="1:9" ht="39.9" customHeight="1" x14ac:dyDescent="0.3">
      <c r="A12" s="228" t="s">
        <v>321</v>
      </c>
      <c r="B12" s="228"/>
      <c r="C12" s="228"/>
      <c r="D12" s="235" t="s">
        <v>1059</v>
      </c>
      <c r="E12" s="272"/>
      <c r="F12" s="273"/>
      <c r="G12" s="253" t="s">
        <v>712</v>
      </c>
      <c r="H12" s="253"/>
      <c r="I12" s="253"/>
    </row>
    <row r="13" spans="1:9" x14ac:dyDescent="0.3">
      <c r="A13" s="229" t="s">
        <v>1001</v>
      </c>
      <c r="B13" s="229"/>
      <c r="C13" s="229"/>
      <c r="D13" s="274" t="s">
        <v>28</v>
      </c>
      <c r="E13" s="274"/>
      <c r="F13" s="274"/>
      <c r="G13" s="274" t="s">
        <v>788</v>
      </c>
      <c r="H13" s="274"/>
      <c r="I13" s="274"/>
    </row>
    <row r="14" spans="1:9" ht="39.9" customHeight="1" x14ac:dyDescent="0.3">
      <c r="A14" s="269" t="s">
        <v>618</v>
      </c>
      <c r="B14" s="270"/>
      <c r="C14" s="271"/>
      <c r="D14" s="275"/>
      <c r="E14" s="275"/>
      <c r="F14" s="275"/>
      <c r="G14" s="275"/>
      <c r="H14" s="275"/>
      <c r="I14" s="275"/>
    </row>
    <row r="15" spans="1:9" ht="39.9" customHeight="1" x14ac:dyDescent="0.3">
      <c r="A15" s="250" t="s">
        <v>646</v>
      </c>
      <c r="B15" s="250"/>
      <c r="C15" s="250"/>
      <c r="D15" s="264"/>
      <c r="E15" s="264"/>
      <c r="F15" s="264"/>
      <c r="G15" s="264"/>
      <c r="H15" s="264"/>
      <c r="I15" s="264"/>
    </row>
    <row r="16" spans="1:9" ht="30" customHeight="1" x14ac:dyDescent="0.3">
      <c r="A16" s="250" t="s">
        <v>1147</v>
      </c>
      <c r="B16" s="250"/>
      <c r="C16" s="250"/>
      <c r="D16" s="264"/>
      <c r="E16" s="264"/>
      <c r="F16" s="264"/>
      <c r="G16" s="264"/>
      <c r="H16" s="264"/>
      <c r="I16" s="264"/>
    </row>
    <row r="17" spans="1:9" s="11" customFormat="1" ht="30" customHeight="1" x14ac:dyDescent="0.3">
      <c r="A17" s="250" t="s">
        <v>1327</v>
      </c>
      <c r="B17" s="250"/>
      <c r="C17" s="250"/>
      <c r="D17" s="264"/>
      <c r="E17" s="264"/>
      <c r="F17" s="264"/>
      <c r="G17" s="264"/>
      <c r="H17" s="264"/>
      <c r="I17" s="264"/>
    </row>
    <row r="19" spans="1:9" ht="15.6" x14ac:dyDescent="0.3">
      <c r="A19" s="167" t="s">
        <v>917</v>
      </c>
      <c r="B19" s="167"/>
      <c r="C19" s="167"/>
      <c r="D19" s="167"/>
      <c r="E19" s="167"/>
      <c r="F19" s="167"/>
      <c r="G19" s="167"/>
      <c r="H19" s="167"/>
      <c r="I19" s="167"/>
    </row>
    <row r="20" spans="1:9" x14ac:dyDescent="0.3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60" customHeight="1" x14ac:dyDescent="0.3">
      <c r="A21" s="228" t="s">
        <v>375</v>
      </c>
      <c r="B21" s="228"/>
      <c r="C21" s="228"/>
      <c r="D21" s="228" t="s">
        <v>1059</v>
      </c>
      <c r="E21" s="228"/>
      <c r="F21" s="228" t="s">
        <v>719</v>
      </c>
      <c r="G21" s="228"/>
      <c r="H21" s="228" t="s">
        <v>1143</v>
      </c>
      <c r="I21" s="228"/>
    </row>
    <row r="22" spans="1:9" x14ac:dyDescent="0.3">
      <c r="A22" s="229" t="s">
        <v>1001</v>
      </c>
      <c r="B22" s="229"/>
      <c r="C22" s="229"/>
      <c r="D22" s="229" t="s">
        <v>28</v>
      </c>
      <c r="E22" s="229"/>
      <c r="F22" s="229" t="s">
        <v>788</v>
      </c>
      <c r="G22" s="229"/>
      <c r="H22" s="229" t="s">
        <v>296</v>
      </c>
      <c r="I22" s="229"/>
    </row>
    <row r="23" spans="1:9" ht="24.9" customHeight="1" x14ac:dyDescent="0.3">
      <c r="A23" s="269" t="s">
        <v>907</v>
      </c>
      <c r="B23" s="276"/>
      <c r="C23" s="277"/>
      <c r="D23" s="275"/>
      <c r="E23" s="275"/>
      <c r="F23" s="275"/>
      <c r="G23" s="275"/>
      <c r="H23" s="275"/>
      <c r="I23" s="275"/>
    </row>
    <row r="24" spans="1:9" ht="24.9" customHeight="1" x14ac:dyDescent="0.3">
      <c r="A24" s="278" t="s">
        <v>470</v>
      </c>
      <c r="B24" s="279"/>
      <c r="C24" s="280"/>
      <c r="D24" s="264"/>
      <c r="E24" s="264"/>
      <c r="F24" s="264"/>
      <c r="G24" s="264"/>
      <c r="H24" s="264"/>
      <c r="I24" s="264"/>
    </row>
    <row r="25" spans="1:9" ht="24.9" customHeight="1" x14ac:dyDescent="0.3">
      <c r="A25" s="278" t="s">
        <v>898</v>
      </c>
      <c r="B25" s="279"/>
      <c r="C25" s="280"/>
      <c r="D25" s="264">
        <f>D23-D24</f>
        <v>0</v>
      </c>
      <c r="E25" s="264"/>
      <c r="F25" s="264">
        <f>F23-F24</f>
        <v>0</v>
      </c>
      <c r="G25" s="264"/>
      <c r="H25" s="264">
        <f>H23-H24</f>
        <v>0</v>
      </c>
      <c r="I25" s="264"/>
    </row>
    <row r="26" spans="1:9" s="11" customFormat="1" ht="15" customHeight="1" x14ac:dyDescent="0.3">
      <c r="A26" s="57"/>
      <c r="B26" s="58"/>
      <c r="C26" s="58"/>
      <c r="D26" s="59"/>
      <c r="E26" s="59"/>
      <c r="F26" s="59"/>
      <c r="G26" s="59"/>
      <c r="H26" s="59"/>
      <c r="I26" s="59"/>
    </row>
    <row r="27" spans="1:9" s="11" customFormat="1" ht="15" customHeight="1" x14ac:dyDescent="0.3">
      <c r="A27" s="57"/>
      <c r="B27" s="58"/>
      <c r="C27" s="58"/>
      <c r="D27" s="59"/>
      <c r="E27" s="59"/>
      <c r="F27" s="59"/>
      <c r="G27" s="59"/>
      <c r="H27" s="59"/>
      <c r="I27" s="59"/>
    </row>
    <row r="28" spans="1:9" s="11" customFormat="1" ht="15" customHeight="1" x14ac:dyDescent="0.3">
      <c r="A28" s="57"/>
      <c r="B28" s="58"/>
      <c r="C28" s="58"/>
      <c r="D28" s="59"/>
      <c r="E28" s="59"/>
      <c r="F28" s="59"/>
      <c r="G28" s="59"/>
      <c r="H28" s="59"/>
      <c r="I28" s="59"/>
    </row>
    <row r="29" spans="1:9" s="11" customFormat="1" ht="15" customHeight="1" x14ac:dyDescent="0.3">
      <c r="A29" s="57"/>
      <c r="B29" s="58"/>
      <c r="C29" s="58"/>
      <c r="D29" s="59"/>
      <c r="E29" s="59"/>
      <c r="F29" s="59"/>
      <c r="G29" s="59"/>
      <c r="H29" s="59"/>
      <c r="I29" s="59"/>
    </row>
    <row r="30" spans="1:9" s="11" customFormat="1" ht="15" customHeight="1" x14ac:dyDescent="0.3">
      <c r="A30" s="57"/>
      <c r="B30" s="58"/>
      <c r="C30" s="58"/>
      <c r="D30" s="59"/>
      <c r="E30" s="59"/>
      <c r="F30" s="59"/>
      <c r="G30" s="59"/>
      <c r="H30" s="59"/>
      <c r="I30" s="59"/>
    </row>
    <row r="31" spans="1:9" s="11" customFormat="1" ht="15" customHeight="1" x14ac:dyDescent="0.3">
      <c r="A31" s="57"/>
      <c r="B31" s="58"/>
      <c r="C31" s="58"/>
      <c r="D31" s="59"/>
      <c r="E31" s="59"/>
      <c r="F31" s="59"/>
      <c r="G31" s="59"/>
      <c r="H31" s="59"/>
      <c r="I31" s="59"/>
    </row>
    <row r="32" spans="1:9" s="11" customFormat="1" ht="15" customHeight="1" x14ac:dyDescent="0.3">
      <c r="A32" s="57"/>
      <c r="B32" s="58"/>
      <c r="C32" s="58"/>
      <c r="D32" s="59"/>
      <c r="E32" s="59"/>
      <c r="F32" s="59"/>
      <c r="G32" s="59"/>
      <c r="H32" s="59"/>
      <c r="I32" s="59"/>
    </row>
    <row r="33" spans="1:9" s="11" customFormat="1" ht="15" customHeight="1" x14ac:dyDescent="0.3">
      <c r="A33" s="57"/>
      <c r="B33" s="58"/>
      <c r="C33" s="58"/>
      <c r="D33" s="59"/>
      <c r="E33" s="59"/>
      <c r="F33" s="59"/>
      <c r="G33" s="59"/>
      <c r="H33" s="59"/>
      <c r="I33" s="59"/>
    </row>
    <row r="34" spans="1:9" x14ac:dyDescent="0.3">
      <c r="A34" s="11"/>
      <c r="B34" s="11"/>
      <c r="C34" s="11"/>
      <c r="D34" s="11"/>
      <c r="E34" s="11"/>
      <c r="F34" s="11"/>
      <c r="G34" s="11"/>
      <c r="H34" s="11"/>
      <c r="I34" s="11"/>
    </row>
    <row r="35" spans="1:9" s="11" customFormat="1" x14ac:dyDescent="0.3"/>
    <row r="36" spans="1:9" s="11" customFormat="1" x14ac:dyDescent="0.3"/>
    <row r="37" spans="1:9" s="11" customFormat="1" ht="15.6" x14ac:dyDescent="0.3">
      <c r="A37" s="167" t="s">
        <v>292</v>
      </c>
      <c r="B37" s="167"/>
      <c r="C37" s="167"/>
      <c r="D37" s="167"/>
      <c r="E37" s="167"/>
      <c r="F37" s="167"/>
      <c r="G37" s="167"/>
      <c r="H37" s="167"/>
      <c r="I37" s="167"/>
    </row>
    <row r="38" spans="1:9" x14ac:dyDescent="0.3">
      <c r="A38" s="11"/>
      <c r="B38" s="11"/>
      <c r="C38" s="11"/>
      <c r="D38" s="11"/>
      <c r="E38" s="11"/>
      <c r="F38" s="11"/>
      <c r="G38" s="11"/>
      <c r="H38" s="11"/>
      <c r="I38" s="11"/>
    </row>
    <row r="39" spans="1:9" ht="50.1" customHeight="1" x14ac:dyDescent="0.3">
      <c r="A39" s="228" t="s">
        <v>653</v>
      </c>
      <c r="B39" s="228"/>
      <c r="C39" s="228"/>
      <c r="D39" s="235" t="s">
        <v>1059</v>
      </c>
      <c r="E39" s="272"/>
      <c r="F39" s="273"/>
      <c r="G39" s="253" t="s">
        <v>1143</v>
      </c>
      <c r="H39" s="253"/>
      <c r="I39" s="253"/>
    </row>
    <row r="40" spans="1:9" x14ac:dyDescent="0.3">
      <c r="A40" s="229" t="s">
        <v>1001</v>
      </c>
      <c r="B40" s="229"/>
      <c r="C40" s="229"/>
      <c r="D40" s="274" t="s">
        <v>28</v>
      </c>
      <c r="E40" s="274"/>
      <c r="F40" s="274"/>
      <c r="G40" s="274" t="s">
        <v>788</v>
      </c>
      <c r="H40" s="274"/>
      <c r="I40" s="274"/>
    </row>
    <row r="41" spans="1:9" ht="35.1" customHeight="1" x14ac:dyDescent="0.3">
      <c r="A41" s="269" t="s">
        <v>1335</v>
      </c>
      <c r="B41" s="270"/>
      <c r="C41" s="271"/>
      <c r="D41" s="275"/>
      <c r="E41" s="275"/>
      <c r="F41" s="275"/>
      <c r="G41" s="275"/>
      <c r="H41" s="275"/>
      <c r="I41" s="275"/>
    </row>
    <row r="42" spans="1:9" ht="35.1" customHeight="1" x14ac:dyDescent="0.3">
      <c r="A42" s="250" t="s">
        <v>646</v>
      </c>
      <c r="B42" s="250"/>
      <c r="C42" s="250"/>
      <c r="D42" s="264"/>
      <c r="E42" s="264"/>
      <c r="F42" s="264"/>
      <c r="G42" s="264"/>
      <c r="H42" s="264"/>
      <c r="I42" s="264"/>
    </row>
    <row r="43" spans="1:9" ht="35.1" customHeight="1" x14ac:dyDescent="0.3">
      <c r="A43" s="250" t="s">
        <v>1147</v>
      </c>
      <c r="B43" s="250"/>
      <c r="C43" s="250"/>
      <c r="D43" s="264"/>
      <c r="E43" s="264"/>
      <c r="F43" s="264"/>
      <c r="G43" s="264"/>
      <c r="H43" s="264"/>
      <c r="I43" s="264"/>
    </row>
    <row r="44" spans="1:9" ht="35.1" customHeight="1" x14ac:dyDescent="0.3">
      <c r="A44" s="250" t="s">
        <v>1327</v>
      </c>
      <c r="B44" s="250"/>
      <c r="C44" s="250"/>
      <c r="D44" s="264"/>
      <c r="E44" s="264"/>
      <c r="F44" s="264"/>
      <c r="G44" s="264"/>
      <c r="H44" s="264"/>
      <c r="I44" s="264"/>
    </row>
  </sheetData>
  <mergeCells count="80">
    <mergeCell ref="A43:C43"/>
    <mergeCell ref="D43:F43"/>
    <mergeCell ref="G43:I43"/>
    <mergeCell ref="A44:C44"/>
    <mergeCell ref="D44:F44"/>
    <mergeCell ref="G44:I44"/>
    <mergeCell ref="A41:C41"/>
    <mergeCell ref="D41:F41"/>
    <mergeCell ref="G41:I41"/>
    <mergeCell ref="A42:C42"/>
    <mergeCell ref="D42:F42"/>
    <mergeCell ref="G42:I42"/>
    <mergeCell ref="A37:I37"/>
    <mergeCell ref="A39:C39"/>
    <mergeCell ref="D39:F39"/>
    <mergeCell ref="G39:I39"/>
    <mergeCell ref="A40:C40"/>
    <mergeCell ref="D40:F40"/>
    <mergeCell ref="G40:I40"/>
    <mergeCell ref="A24:C24"/>
    <mergeCell ref="D24:E24"/>
    <mergeCell ref="F24:G24"/>
    <mergeCell ref="H24:I24"/>
    <mergeCell ref="A25:C25"/>
    <mergeCell ref="D25:E25"/>
    <mergeCell ref="F25:G25"/>
    <mergeCell ref="H25:I25"/>
    <mergeCell ref="A22:C22"/>
    <mergeCell ref="D22:E22"/>
    <mergeCell ref="F22:G22"/>
    <mergeCell ref="H22:I22"/>
    <mergeCell ref="A23:C23"/>
    <mergeCell ref="D23:E23"/>
    <mergeCell ref="F23:G23"/>
    <mergeCell ref="H23:I23"/>
    <mergeCell ref="A10:I10"/>
    <mergeCell ref="A19:I19"/>
    <mergeCell ref="A21:C21"/>
    <mergeCell ref="D21:E21"/>
    <mergeCell ref="F21:G21"/>
    <mergeCell ref="H21:I21"/>
    <mergeCell ref="A13:C13"/>
    <mergeCell ref="A14:C14"/>
    <mergeCell ref="A15:C15"/>
    <mergeCell ref="A16:C16"/>
    <mergeCell ref="D12:F12"/>
    <mergeCell ref="G12:I12"/>
    <mergeCell ref="D13:F13"/>
    <mergeCell ref="G13:I13"/>
    <mergeCell ref="D14:F14"/>
    <mergeCell ref="G14:I14"/>
    <mergeCell ref="A4:C4"/>
    <mergeCell ref="D4:E4"/>
    <mergeCell ref="F4:G4"/>
    <mergeCell ref="H4:I4"/>
    <mergeCell ref="A5:C5"/>
    <mergeCell ref="D5:E5"/>
    <mergeCell ref="A2:I2"/>
    <mergeCell ref="A12:C12"/>
    <mergeCell ref="A6:C6"/>
    <mergeCell ref="D6:E6"/>
    <mergeCell ref="F6:G6"/>
    <mergeCell ref="H6:I6"/>
    <mergeCell ref="F5:G5"/>
    <mergeCell ref="H5:I5"/>
    <mergeCell ref="A8:C8"/>
    <mergeCell ref="D8:E8"/>
    <mergeCell ref="F8:G8"/>
    <mergeCell ref="H8:I8"/>
    <mergeCell ref="A7:C7"/>
    <mergeCell ref="D7:E7"/>
    <mergeCell ref="F7:G7"/>
    <mergeCell ref="H7:I7"/>
    <mergeCell ref="D15:F15"/>
    <mergeCell ref="D16:F16"/>
    <mergeCell ref="G15:I15"/>
    <mergeCell ref="G16:I16"/>
    <mergeCell ref="A17:C17"/>
    <mergeCell ref="D17:F17"/>
    <mergeCell ref="G17:I17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I98"/>
  <sheetViews>
    <sheetView view="pageBreakPreview" topLeftCell="A71" zoomScale="171" zoomScaleNormal="100" zoomScaleSheetLayoutView="171" workbookViewId="0">
      <selection activeCell="A80" sqref="A80:I80"/>
    </sheetView>
  </sheetViews>
  <sheetFormatPr defaultColWidth="9.109375" defaultRowHeight="14.4" x14ac:dyDescent="0.3"/>
  <cols>
    <col min="1" max="7" width="9.6640625" style="11" customWidth="1"/>
    <col min="8" max="8" width="19.44140625" style="11" customWidth="1"/>
    <col min="9" max="9" width="15.21875" style="11" hidden="1" customWidth="1"/>
    <col min="10" max="16384" width="9.109375" style="11"/>
  </cols>
  <sheetData>
    <row r="2" spans="1:9" ht="15.6" x14ac:dyDescent="0.3">
      <c r="A2" s="12" t="s">
        <v>843</v>
      </c>
    </row>
    <row r="4" spans="1:9" x14ac:dyDescent="0.3">
      <c r="A4" s="283" t="s">
        <v>1282</v>
      </c>
      <c r="B4" s="284"/>
      <c r="C4" s="284"/>
      <c r="D4" s="285"/>
      <c r="E4" s="235" t="s">
        <v>405</v>
      </c>
      <c r="F4" s="178"/>
      <c r="G4" s="178"/>
      <c r="H4" s="178"/>
      <c r="I4" s="179"/>
    </row>
    <row r="5" spans="1:9" ht="60" x14ac:dyDescent="0.3">
      <c r="A5" s="286"/>
      <c r="B5" s="287"/>
      <c r="C5" s="287"/>
      <c r="D5" s="288"/>
      <c r="E5" s="47" t="s">
        <v>973</v>
      </c>
      <c r="F5" s="47" t="s">
        <v>602</v>
      </c>
      <c r="G5" s="47" t="s">
        <v>355</v>
      </c>
      <c r="H5" s="47" t="s">
        <v>512</v>
      </c>
      <c r="I5" s="47" t="s">
        <v>3</v>
      </c>
    </row>
    <row r="6" spans="1:9" x14ac:dyDescent="0.3">
      <c r="A6" s="251" t="s">
        <v>1001</v>
      </c>
      <c r="B6" s="251"/>
      <c r="C6" s="251"/>
      <c r="D6" s="251"/>
      <c r="E6" s="54" t="s">
        <v>28</v>
      </c>
      <c r="F6" s="54" t="s">
        <v>788</v>
      </c>
      <c r="G6" s="50" t="s">
        <v>296</v>
      </c>
      <c r="H6" s="50" t="s">
        <v>889</v>
      </c>
      <c r="I6" s="50" t="s">
        <v>191</v>
      </c>
    </row>
    <row r="7" spans="1:9" ht="24.9" customHeight="1" x14ac:dyDescent="0.3">
      <c r="A7" s="289" t="s">
        <v>757</v>
      </c>
      <c r="B7" s="290"/>
      <c r="C7" s="290"/>
      <c r="D7" s="291"/>
      <c r="E7" s="49">
        <v>2380</v>
      </c>
      <c r="F7" s="49">
        <v>0</v>
      </c>
      <c r="G7" s="49">
        <v>2380</v>
      </c>
      <c r="H7" s="49"/>
      <c r="I7" s="49">
        <f>E7+F7-G7-H7</f>
        <v>0</v>
      </c>
    </row>
    <row r="8" spans="1:9" ht="24.9" customHeight="1" x14ac:dyDescent="0.3">
      <c r="A8" s="240" t="s">
        <v>522</v>
      </c>
      <c r="B8" s="292"/>
      <c r="C8" s="292"/>
      <c r="D8" s="179"/>
      <c r="E8" s="43">
        <f>IF(ISERROR(VLOOKUP(411,Suvaha_BO!A:F,4,0)),0,VLOOKUP(411,Suvaha_BO!A:F,4,0))</f>
        <v>0</v>
      </c>
      <c r="F8" s="43">
        <f>IF(ISERROR(VLOOKUP(411,Suvaha_BO!A:F,6,0)),0,VLOOKUP(411,Suvaha_BO!A:F,6,0))</f>
        <v>0</v>
      </c>
      <c r="G8" s="43">
        <f>IF(ISERROR(VLOOKUP(411,Suvaha_BO!A:F,5,0)),0,VLOOKUP(411,Suvaha_BO!A:F,5,0))</f>
        <v>0</v>
      </c>
      <c r="H8" s="43"/>
      <c r="I8" s="43">
        <f>E8+F8-G8-H8</f>
        <v>0</v>
      </c>
    </row>
    <row r="9" spans="1:9" ht="24.9" customHeight="1" x14ac:dyDescent="0.3">
      <c r="A9" s="240" t="s">
        <v>1314</v>
      </c>
      <c r="B9" s="292"/>
      <c r="C9" s="292"/>
      <c r="D9" s="179"/>
      <c r="E9" s="43">
        <f>IF(ISERROR(VLOOKUP(421,Suvaha_BO!A:F,4,0)),0,VLOOKUP(421,Suvaha_BO!A:F,4,0))</f>
        <v>0</v>
      </c>
      <c r="F9" s="43">
        <f>IF(ISERROR(VLOOKUP(421,Suvaha_BO!A:F,6,0)),0,VLOOKUP(421,Suvaha_BO!A:F,6,0))</f>
        <v>0</v>
      </c>
      <c r="G9" s="43">
        <f>IF(ISERROR(VLOOKUP(342,Suvaha_BO!A:F,5,0)),0,VLOOKUP(342,Suvaha_BO!A:F,5,0))</f>
        <v>0</v>
      </c>
      <c r="H9" s="43"/>
      <c r="I9" s="43">
        <f>E9+F9-G9-H9</f>
        <v>0</v>
      </c>
    </row>
    <row r="10" spans="1:9" ht="24.9" customHeight="1" x14ac:dyDescent="0.3">
      <c r="A10" s="240" t="s">
        <v>172</v>
      </c>
      <c r="B10" s="292"/>
      <c r="C10" s="292"/>
      <c r="D10" s="179"/>
      <c r="E10" s="43">
        <f>IF(ISERROR(VLOOKUP(431,Suvaha_BO!A:F,4,0)),0,VLOOKUP(431,Suvaha_BO!A:F,4,0))</f>
        <v>0</v>
      </c>
      <c r="F10" s="43">
        <f>IF(ISERROR(VLOOKUP(431,Suvaha_BO!A:F,6,0)),0,VLOOKUP(431,Suvaha_BO!A:F,6,0))</f>
        <v>0</v>
      </c>
      <c r="G10" s="43">
        <f>IF(ISERROR(VLOOKUP(431,Suvaha_BO!A:F,5,0)),0,VLOOKUP(431,Suvaha_BO!A:F,5,0))</f>
        <v>0</v>
      </c>
      <c r="H10" s="43"/>
      <c r="I10" s="43">
        <f>E10+F10-G10-H10</f>
        <v>0</v>
      </c>
    </row>
    <row r="11" spans="1:9" ht="24.9" customHeight="1" x14ac:dyDescent="0.3">
      <c r="A11" s="240" t="s">
        <v>412</v>
      </c>
      <c r="B11" s="292"/>
      <c r="C11" s="292"/>
      <c r="D11" s="179"/>
      <c r="E11" s="43">
        <f>IF(ISERROR(VLOOKUP(441,Suvaha_BO!A:F,4,0)),0,VLOOKUP(441,Suvaha_BO!A:F,4,0))</f>
        <v>0</v>
      </c>
      <c r="F11" s="43">
        <f>IF(ISERROR(VLOOKUP(441,Suvaha_BO!A:F,6,0)),0,VLOOKUP(441,Suvaha_BO!A:F,6,0))</f>
        <v>0</v>
      </c>
      <c r="G11" s="43">
        <f>IF(ISERROR(VLOOKUP(441,Suvaha_BO!A:F,5,0)),0,VLOOKUP(441,Suvaha_BO!A:F,5,0))</f>
        <v>0</v>
      </c>
      <c r="H11" s="43"/>
      <c r="I11" s="43">
        <f>E11+F11-G11-H11</f>
        <v>0</v>
      </c>
    </row>
    <row r="12" spans="1:9" ht="24.9" customHeight="1" x14ac:dyDescent="0.3">
      <c r="A12" s="246" t="s">
        <v>966</v>
      </c>
      <c r="B12" s="295"/>
      <c r="C12" s="295"/>
      <c r="D12" s="179"/>
      <c r="E12" s="42">
        <f>SUM(E7:E11)</f>
        <v>2380</v>
      </c>
      <c r="F12" s="42">
        <f>SUM(F7:F11)</f>
        <v>0</v>
      </c>
      <c r="G12" s="42">
        <f>SUM(G7:G11)</f>
        <v>2380</v>
      </c>
      <c r="H12" s="42">
        <f>SUM(H7:H11)</f>
        <v>0</v>
      </c>
      <c r="I12" s="42">
        <f>SUM(I7:I11)</f>
        <v>0</v>
      </c>
    </row>
    <row r="14" spans="1:9" ht="15.6" x14ac:dyDescent="0.3">
      <c r="A14" s="167" t="s">
        <v>803</v>
      </c>
      <c r="B14" s="167"/>
      <c r="C14" s="167"/>
      <c r="D14" s="167"/>
      <c r="E14" s="167"/>
      <c r="F14" s="167"/>
      <c r="G14" s="167"/>
      <c r="H14" s="167"/>
      <c r="I14" s="167"/>
    </row>
    <row r="16" spans="1:9" ht="15" customHeight="1" x14ac:dyDescent="0.3">
      <c r="A16" s="228" t="s">
        <v>375</v>
      </c>
      <c r="B16" s="228"/>
      <c r="C16" s="228"/>
      <c r="D16" s="228" t="s">
        <v>674</v>
      </c>
      <c r="E16" s="228"/>
      <c r="F16" s="228" t="s">
        <v>577</v>
      </c>
      <c r="G16" s="228"/>
      <c r="H16" s="228" t="s">
        <v>966</v>
      </c>
      <c r="I16" s="228"/>
    </row>
    <row r="17" spans="1:9" x14ac:dyDescent="0.3">
      <c r="A17" s="229" t="s">
        <v>1001</v>
      </c>
      <c r="B17" s="229"/>
      <c r="C17" s="229"/>
      <c r="D17" s="229" t="s">
        <v>28</v>
      </c>
      <c r="E17" s="229"/>
      <c r="F17" s="229" t="s">
        <v>788</v>
      </c>
      <c r="G17" s="229"/>
      <c r="H17" s="229" t="s">
        <v>296</v>
      </c>
      <c r="I17" s="229"/>
    </row>
    <row r="18" spans="1:9" x14ac:dyDescent="0.3">
      <c r="A18" s="316" t="s">
        <v>1267</v>
      </c>
      <c r="B18" s="317"/>
      <c r="C18" s="317"/>
      <c r="D18" s="317"/>
      <c r="E18" s="317"/>
      <c r="F18" s="317"/>
      <c r="G18" s="317"/>
      <c r="H18" s="317"/>
      <c r="I18" s="318"/>
    </row>
    <row r="19" spans="1:9" ht="24.9" customHeight="1" x14ac:dyDescent="0.3">
      <c r="A19" s="242" t="s">
        <v>757</v>
      </c>
      <c r="B19" s="242"/>
      <c r="C19" s="242"/>
      <c r="D19" s="275"/>
      <c r="E19" s="275"/>
      <c r="F19" s="275"/>
      <c r="G19" s="275"/>
      <c r="H19" s="275">
        <f>D19+F19</f>
        <v>0</v>
      </c>
      <c r="I19" s="275"/>
    </row>
    <row r="20" spans="1:9" ht="24.9" customHeight="1" x14ac:dyDescent="0.3">
      <c r="A20" s="244" t="s">
        <v>522</v>
      </c>
      <c r="B20" s="244"/>
      <c r="C20" s="244"/>
      <c r="D20" s="264"/>
      <c r="E20" s="264"/>
      <c r="F20" s="264"/>
      <c r="G20" s="264"/>
      <c r="H20" s="275">
        <f>D20+F20</f>
        <v>0</v>
      </c>
      <c r="I20" s="275"/>
    </row>
    <row r="21" spans="1:9" ht="24.9" customHeight="1" x14ac:dyDescent="0.3">
      <c r="A21" s="244" t="s">
        <v>1314</v>
      </c>
      <c r="B21" s="244"/>
      <c r="C21" s="244"/>
      <c r="D21" s="275"/>
      <c r="E21" s="275"/>
      <c r="F21" s="275"/>
      <c r="G21" s="275"/>
      <c r="H21" s="275">
        <f>D21+F21</f>
        <v>0</v>
      </c>
      <c r="I21" s="275"/>
    </row>
    <row r="22" spans="1:9" ht="24.9" customHeight="1" x14ac:dyDescent="0.3">
      <c r="A22" s="244" t="s">
        <v>172</v>
      </c>
      <c r="B22" s="244"/>
      <c r="C22" s="244"/>
      <c r="D22" s="264"/>
      <c r="E22" s="264"/>
      <c r="F22" s="264"/>
      <c r="G22" s="264"/>
      <c r="H22" s="275">
        <f>D22+F22</f>
        <v>0</v>
      </c>
      <c r="I22" s="275"/>
    </row>
    <row r="23" spans="1:9" ht="24.9" customHeight="1" x14ac:dyDescent="0.3">
      <c r="A23" s="244" t="s">
        <v>412</v>
      </c>
      <c r="B23" s="244"/>
      <c r="C23" s="244"/>
      <c r="D23" s="264"/>
      <c r="E23" s="264"/>
      <c r="F23" s="264"/>
      <c r="G23" s="264"/>
      <c r="H23" s="275">
        <f>D23+F23</f>
        <v>0</v>
      </c>
      <c r="I23" s="275"/>
    </row>
    <row r="24" spans="1:9" ht="24.9" customHeight="1" x14ac:dyDescent="0.3">
      <c r="A24" s="311" t="s">
        <v>567</v>
      </c>
      <c r="B24" s="312"/>
      <c r="C24" s="313"/>
      <c r="D24" s="314">
        <f>D19+D23</f>
        <v>0</v>
      </c>
      <c r="E24" s="315"/>
      <c r="F24" s="314">
        <f>F19+F23</f>
        <v>0</v>
      </c>
      <c r="G24" s="315"/>
      <c r="H24" s="314">
        <f>H19+H23</f>
        <v>0</v>
      </c>
      <c r="I24" s="315"/>
    </row>
    <row r="25" spans="1:9" x14ac:dyDescent="0.3">
      <c r="A25" s="308" t="s">
        <v>741</v>
      </c>
      <c r="B25" s="309"/>
      <c r="C25" s="309"/>
      <c r="D25" s="309"/>
      <c r="E25" s="309"/>
      <c r="F25" s="309"/>
      <c r="G25" s="309"/>
      <c r="H25" s="309"/>
      <c r="I25" s="310"/>
    </row>
    <row r="26" spans="1:9" ht="24.9" customHeight="1" x14ac:dyDescent="0.3">
      <c r="A26" s="242" t="s">
        <v>757</v>
      </c>
      <c r="B26" s="242"/>
      <c r="C26" s="242"/>
      <c r="D26" s="275">
        <v>622132</v>
      </c>
      <c r="E26" s="275"/>
      <c r="F26" s="275">
        <v>16629</v>
      </c>
      <c r="G26" s="275"/>
      <c r="H26" s="275">
        <f t="shared" ref="H26:H32" si="0">D26+F26</f>
        <v>638761</v>
      </c>
      <c r="I26" s="275"/>
    </row>
    <row r="27" spans="1:9" ht="24.9" customHeight="1" x14ac:dyDescent="0.3">
      <c r="A27" s="244" t="s">
        <v>522</v>
      </c>
      <c r="B27" s="244"/>
      <c r="C27" s="244"/>
      <c r="D27" s="264">
        <v>165</v>
      </c>
      <c r="E27" s="264"/>
      <c r="F27" s="264">
        <v>515230</v>
      </c>
      <c r="G27" s="264"/>
      <c r="H27" s="275">
        <f t="shared" si="0"/>
        <v>515395</v>
      </c>
      <c r="I27" s="275"/>
    </row>
    <row r="28" spans="1:9" ht="24.9" customHeight="1" x14ac:dyDescent="0.3">
      <c r="A28" s="244" t="s">
        <v>1314</v>
      </c>
      <c r="B28" s="244"/>
      <c r="C28" s="244"/>
      <c r="D28" s="275"/>
      <c r="E28" s="275"/>
      <c r="F28" s="275"/>
      <c r="G28" s="275"/>
      <c r="H28" s="275">
        <f t="shared" si="0"/>
        <v>0</v>
      </c>
      <c r="I28" s="275"/>
    </row>
    <row r="29" spans="1:9" ht="24.9" customHeight="1" x14ac:dyDescent="0.3">
      <c r="A29" s="244" t="s">
        <v>172</v>
      </c>
      <c r="B29" s="244"/>
      <c r="C29" s="244"/>
      <c r="D29" s="264"/>
      <c r="E29" s="264"/>
      <c r="F29" s="264"/>
      <c r="G29" s="264"/>
      <c r="H29" s="275">
        <f t="shared" si="0"/>
        <v>0</v>
      </c>
      <c r="I29" s="275"/>
    </row>
    <row r="30" spans="1:9" ht="24.9" customHeight="1" x14ac:dyDescent="0.3">
      <c r="A30" s="244" t="s">
        <v>830</v>
      </c>
      <c r="B30" s="244"/>
      <c r="C30" s="244"/>
      <c r="D30" s="275"/>
      <c r="E30" s="275"/>
      <c r="F30" s="275"/>
      <c r="G30" s="275"/>
      <c r="H30" s="275">
        <f t="shared" si="0"/>
        <v>0</v>
      </c>
      <c r="I30" s="275"/>
    </row>
    <row r="31" spans="1:9" ht="24.9" customHeight="1" x14ac:dyDescent="0.3">
      <c r="A31" s="244" t="s">
        <v>667</v>
      </c>
      <c r="B31" s="244"/>
      <c r="C31" s="244"/>
      <c r="D31" s="264">
        <v>18832</v>
      </c>
      <c r="E31" s="264"/>
      <c r="F31" s="264"/>
      <c r="G31" s="264"/>
      <c r="H31" s="275">
        <f t="shared" si="0"/>
        <v>18832</v>
      </c>
      <c r="I31" s="275"/>
    </row>
    <row r="32" spans="1:9" ht="24.9" customHeight="1" x14ac:dyDescent="0.3">
      <c r="A32" s="244" t="s">
        <v>412</v>
      </c>
      <c r="B32" s="244"/>
      <c r="C32" s="244"/>
      <c r="D32" s="264">
        <v>689</v>
      </c>
      <c r="E32" s="264"/>
      <c r="F32" s="264"/>
      <c r="G32" s="264"/>
      <c r="H32" s="275">
        <f t="shared" si="0"/>
        <v>689</v>
      </c>
      <c r="I32" s="275"/>
    </row>
    <row r="33" spans="1:9" ht="24.9" customHeight="1" x14ac:dyDescent="0.3">
      <c r="A33" s="303" t="s">
        <v>259</v>
      </c>
      <c r="B33" s="304"/>
      <c r="C33" s="305"/>
      <c r="D33" s="306">
        <v>641818</v>
      </c>
      <c r="E33" s="307"/>
      <c r="F33" s="306">
        <v>531859</v>
      </c>
      <c r="G33" s="307"/>
      <c r="H33" s="306">
        <v>1173677</v>
      </c>
      <c r="I33" s="307"/>
    </row>
    <row r="35" spans="1:9" ht="15" customHeight="1" x14ac:dyDescent="0.3">
      <c r="A35" s="167" t="s">
        <v>707</v>
      </c>
      <c r="B35" s="167"/>
      <c r="C35" s="167"/>
      <c r="D35" s="167"/>
      <c r="E35" s="167"/>
      <c r="F35" s="167"/>
      <c r="G35" s="167"/>
      <c r="H35" s="167"/>
      <c r="I35" s="167"/>
    </row>
    <row r="37" spans="1:9" ht="30" customHeight="1" x14ac:dyDescent="0.3">
      <c r="A37" s="228" t="s">
        <v>1236</v>
      </c>
      <c r="B37" s="228"/>
      <c r="C37" s="228"/>
      <c r="D37" s="235" t="s">
        <v>405</v>
      </c>
      <c r="E37" s="272"/>
      <c r="F37" s="273"/>
      <c r="G37" s="235" t="s">
        <v>430</v>
      </c>
      <c r="H37" s="272"/>
      <c r="I37" s="273"/>
    </row>
    <row r="38" spans="1:9" ht="15" thickBot="1" x14ac:dyDescent="0.35">
      <c r="A38" s="229" t="s">
        <v>1001</v>
      </c>
      <c r="B38" s="229"/>
      <c r="C38" s="229"/>
      <c r="D38" s="274" t="s">
        <v>28</v>
      </c>
      <c r="E38" s="274"/>
      <c r="F38" s="274"/>
      <c r="G38" s="274" t="s">
        <v>788</v>
      </c>
      <c r="H38" s="274"/>
      <c r="I38" s="274"/>
    </row>
    <row r="39" spans="1:9" ht="24.9" customHeight="1" x14ac:dyDescent="0.3">
      <c r="A39" s="269" t="s">
        <v>820</v>
      </c>
      <c r="B39" s="270"/>
      <c r="C39" s="271"/>
      <c r="D39" s="275">
        <v>531859</v>
      </c>
      <c r="E39" s="275"/>
      <c r="F39" s="275"/>
      <c r="G39" s="275">
        <v>3487</v>
      </c>
      <c r="H39" s="275"/>
      <c r="I39" s="275"/>
    </row>
    <row r="40" spans="1:9" ht="24.9" customHeight="1" x14ac:dyDescent="0.3">
      <c r="A40" s="250" t="s">
        <v>703</v>
      </c>
      <c r="B40" s="250"/>
      <c r="C40" s="250"/>
      <c r="D40" s="264">
        <v>641818</v>
      </c>
      <c r="E40" s="264"/>
      <c r="F40" s="264"/>
      <c r="G40" s="264">
        <v>1307413</v>
      </c>
      <c r="H40" s="264"/>
      <c r="I40" s="264"/>
    </row>
    <row r="41" spans="1:9" ht="24.9" customHeight="1" x14ac:dyDescent="0.3">
      <c r="A41" s="252" t="s">
        <v>259</v>
      </c>
      <c r="B41" s="252"/>
      <c r="C41" s="252"/>
      <c r="D41" s="262">
        <f>SUM(D39:F40)</f>
        <v>1173677</v>
      </c>
      <c r="E41" s="262"/>
      <c r="F41" s="262"/>
      <c r="G41" s="262">
        <f>SUM(G39:I40)</f>
        <v>1310900</v>
      </c>
      <c r="H41" s="262"/>
      <c r="I41" s="262"/>
    </row>
    <row r="42" spans="1:9" ht="24.9" customHeight="1" x14ac:dyDescent="0.3">
      <c r="A42" s="250" t="s">
        <v>834</v>
      </c>
      <c r="B42" s="250"/>
      <c r="C42" s="250"/>
      <c r="D42" s="264"/>
      <c r="E42" s="264"/>
      <c r="F42" s="264"/>
      <c r="G42" s="264">
        <v>16500</v>
      </c>
      <c r="H42" s="264"/>
      <c r="I42" s="264"/>
    </row>
    <row r="43" spans="1:9" ht="24.9" customHeight="1" x14ac:dyDescent="0.3">
      <c r="A43" s="250" t="s">
        <v>944</v>
      </c>
      <c r="B43" s="250"/>
      <c r="C43" s="250"/>
      <c r="D43" s="264"/>
      <c r="E43" s="264"/>
      <c r="F43" s="264"/>
      <c r="G43" s="264"/>
      <c r="H43" s="264"/>
      <c r="I43" s="264"/>
    </row>
    <row r="44" spans="1:9" ht="24.9" customHeight="1" x14ac:dyDescent="0.3">
      <c r="A44" s="252" t="s">
        <v>567</v>
      </c>
      <c r="B44" s="252"/>
      <c r="C44" s="252"/>
      <c r="D44" s="262"/>
      <c r="E44" s="262"/>
      <c r="F44" s="262"/>
      <c r="G44" s="262">
        <f>SUM(G42:I43)</f>
        <v>16500</v>
      </c>
      <c r="H44" s="262"/>
      <c r="I44" s="262"/>
    </row>
    <row r="46" spans="1:9" ht="15" customHeight="1" x14ac:dyDescent="0.3">
      <c r="A46" s="167" t="s">
        <v>1227</v>
      </c>
      <c r="B46" s="167"/>
      <c r="C46" s="167"/>
      <c r="D46" s="167"/>
      <c r="E46" s="167"/>
      <c r="F46" s="167"/>
      <c r="G46" s="167"/>
      <c r="H46" s="167"/>
      <c r="I46" s="167"/>
    </row>
    <row r="48" spans="1:9" ht="15" customHeight="1" x14ac:dyDescent="0.3">
      <c r="A48" s="283" t="s">
        <v>642</v>
      </c>
      <c r="B48" s="284"/>
      <c r="C48" s="285"/>
      <c r="D48" s="235" t="s">
        <v>405</v>
      </c>
      <c r="E48" s="272"/>
      <c r="F48" s="272"/>
      <c r="G48" s="272"/>
      <c r="H48" s="272"/>
      <c r="I48" s="273"/>
    </row>
    <row r="49" spans="1:9" ht="15" customHeight="1" x14ac:dyDescent="0.3">
      <c r="A49" s="300"/>
      <c r="B49" s="301"/>
      <c r="C49" s="302"/>
      <c r="D49" s="283" t="s">
        <v>1315</v>
      </c>
      <c r="E49" s="284"/>
      <c r="F49" s="285"/>
      <c r="G49" s="283" t="s">
        <v>874</v>
      </c>
      <c r="H49" s="284"/>
      <c r="I49" s="285"/>
    </row>
    <row r="50" spans="1:9" ht="24.9" customHeight="1" x14ac:dyDescent="0.3">
      <c r="A50" s="269" t="s">
        <v>1113</v>
      </c>
      <c r="B50" s="270"/>
      <c r="C50" s="271"/>
      <c r="D50" s="297"/>
      <c r="E50" s="297"/>
      <c r="F50" s="297"/>
      <c r="G50" s="297"/>
      <c r="H50" s="297"/>
      <c r="I50" s="297"/>
    </row>
    <row r="51" spans="1:9" ht="24.9" customHeight="1" x14ac:dyDescent="0.3">
      <c r="A51" s="250" t="s">
        <v>956</v>
      </c>
      <c r="B51" s="250"/>
      <c r="C51" s="250"/>
      <c r="D51" s="264"/>
      <c r="E51" s="264"/>
      <c r="F51" s="264"/>
      <c r="G51" s="264"/>
      <c r="H51" s="264"/>
      <c r="I51" s="264"/>
    </row>
    <row r="52" spans="1:9" ht="24.9" customHeight="1" x14ac:dyDescent="0.3">
      <c r="A52" s="250" t="s">
        <v>1253</v>
      </c>
      <c r="B52" s="250"/>
      <c r="C52" s="250"/>
      <c r="D52" s="264"/>
      <c r="E52" s="264"/>
      <c r="F52" s="264"/>
      <c r="G52" s="264"/>
      <c r="H52" s="264"/>
      <c r="I52" s="264"/>
    </row>
    <row r="53" spans="1:9" ht="15" customHeight="1" x14ac:dyDescent="0.3">
      <c r="A53" s="61"/>
      <c r="B53" s="61"/>
      <c r="C53" s="61"/>
      <c r="D53" s="59"/>
      <c r="E53" s="59"/>
      <c r="F53" s="59"/>
      <c r="G53" s="59"/>
      <c r="H53" s="59"/>
      <c r="I53" s="59"/>
    </row>
    <row r="54" spans="1:9" ht="15" customHeight="1" x14ac:dyDescent="0.3">
      <c r="A54" s="61"/>
      <c r="B54" s="61"/>
      <c r="C54" s="61"/>
      <c r="D54" s="59"/>
      <c r="E54" s="59"/>
      <c r="F54" s="59"/>
      <c r="G54" s="59"/>
      <c r="H54" s="59"/>
      <c r="I54" s="59"/>
    </row>
    <row r="55" spans="1:9" ht="15" customHeight="1" x14ac:dyDescent="0.3">
      <c r="A55" s="61"/>
      <c r="B55" s="61"/>
      <c r="C55" s="61"/>
      <c r="D55" s="59"/>
      <c r="E55" s="59"/>
      <c r="F55" s="59"/>
      <c r="G55" s="59"/>
      <c r="H55" s="59"/>
      <c r="I55" s="59"/>
    </row>
    <row r="56" spans="1:9" ht="15" customHeight="1" x14ac:dyDescent="0.3">
      <c r="A56" s="61"/>
      <c r="B56" s="61"/>
      <c r="C56" s="61"/>
      <c r="D56" s="59"/>
      <c r="E56" s="59"/>
      <c r="F56" s="59"/>
      <c r="G56" s="59"/>
      <c r="H56" s="59"/>
      <c r="I56" s="59"/>
    </row>
    <row r="57" spans="1:9" ht="15" customHeight="1" x14ac:dyDescent="0.3">
      <c r="A57" s="61"/>
      <c r="B57" s="61"/>
      <c r="C57" s="61"/>
      <c r="D57" s="59"/>
      <c r="E57" s="59"/>
      <c r="F57" s="59"/>
      <c r="G57" s="59"/>
      <c r="H57" s="59"/>
      <c r="I57" s="59"/>
    </row>
    <row r="58" spans="1:9" ht="15" customHeight="1" x14ac:dyDescent="0.3">
      <c r="A58" s="61"/>
      <c r="B58" s="61"/>
      <c r="C58" s="61"/>
      <c r="D58" s="59"/>
      <c r="E58" s="59"/>
      <c r="F58" s="59"/>
      <c r="G58" s="59"/>
      <c r="H58" s="59"/>
      <c r="I58" s="59"/>
    </row>
    <row r="59" spans="1:9" ht="15" customHeight="1" x14ac:dyDescent="0.3">
      <c r="A59" s="61"/>
      <c r="B59" s="61"/>
      <c r="C59" s="61"/>
      <c r="D59" s="59"/>
      <c r="E59" s="59"/>
      <c r="F59" s="59"/>
      <c r="G59" s="59"/>
      <c r="H59" s="59"/>
      <c r="I59" s="59"/>
    </row>
    <row r="60" spans="1:9" ht="15" customHeight="1" x14ac:dyDescent="0.3">
      <c r="A60" s="61"/>
      <c r="B60" s="61"/>
      <c r="C60" s="61"/>
      <c r="D60" s="59"/>
      <c r="E60" s="59"/>
      <c r="F60" s="59"/>
      <c r="G60" s="59"/>
      <c r="H60" s="59"/>
      <c r="I60" s="59"/>
    </row>
    <row r="61" spans="1:9" ht="15" customHeight="1" x14ac:dyDescent="0.3">
      <c r="A61" s="61"/>
      <c r="B61" s="61"/>
      <c r="C61" s="61"/>
      <c r="D61" s="59"/>
      <c r="E61" s="59"/>
      <c r="F61" s="59"/>
      <c r="G61" s="59"/>
      <c r="H61" s="59"/>
      <c r="I61" s="59"/>
    </row>
    <row r="62" spans="1:9" ht="15" customHeight="1" x14ac:dyDescent="0.3">
      <c r="A62" s="61"/>
      <c r="B62" s="61"/>
      <c r="C62" s="61"/>
      <c r="D62" s="59"/>
      <c r="E62" s="59"/>
      <c r="F62" s="59"/>
      <c r="G62" s="59"/>
      <c r="H62" s="59"/>
      <c r="I62" s="59"/>
    </row>
    <row r="63" spans="1:9" ht="15" customHeight="1" x14ac:dyDescent="0.3">
      <c r="A63" s="61"/>
      <c r="B63" s="61"/>
      <c r="C63" s="61"/>
      <c r="D63" s="59"/>
      <c r="E63" s="59"/>
      <c r="F63" s="59"/>
      <c r="G63" s="59"/>
      <c r="H63" s="59"/>
      <c r="I63" s="59"/>
    </row>
    <row r="64" spans="1:9" ht="15" customHeight="1" x14ac:dyDescent="0.3">
      <c r="A64" s="61"/>
      <c r="B64" s="61"/>
      <c r="C64" s="61"/>
      <c r="D64" s="59"/>
      <c r="E64" s="59"/>
      <c r="F64" s="59"/>
      <c r="G64" s="59"/>
      <c r="H64" s="59"/>
      <c r="I64" s="59"/>
    </row>
    <row r="65" spans="1:9" ht="15" customHeight="1" x14ac:dyDescent="0.3">
      <c r="A65" s="61"/>
      <c r="B65" s="61"/>
      <c r="C65" s="61"/>
      <c r="D65" s="59"/>
      <c r="E65" s="59"/>
      <c r="F65" s="59"/>
      <c r="G65" s="59"/>
      <c r="H65" s="59"/>
      <c r="I65" s="59"/>
    </row>
    <row r="66" spans="1:9" ht="15" customHeight="1" x14ac:dyDescent="0.3">
      <c r="A66" s="61"/>
      <c r="B66" s="61"/>
      <c r="C66" s="61"/>
      <c r="D66" s="59"/>
      <c r="E66" s="59"/>
      <c r="F66" s="59"/>
      <c r="G66" s="59"/>
      <c r="H66" s="59"/>
      <c r="I66" s="59"/>
    </row>
    <row r="67" spans="1:9" ht="15" customHeight="1" x14ac:dyDescent="0.3">
      <c r="A67" s="61"/>
      <c r="B67" s="61"/>
      <c r="C67" s="61"/>
      <c r="D67" s="59"/>
      <c r="E67" s="59"/>
      <c r="F67" s="59"/>
      <c r="G67" s="59"/>
      <c r="H67" s="59"/>
      <c r="I67" s="59"/>
    </row>
    <row r="68" spans="1:9" ht="15" customHeight="1" x14ac:dyDescent="0.3">
      <c r="A68" s="61"/>
      <c r="B68" s="61"/>
      <c r="C68" s="61"/>
      <c r="D68" s="59"/>
      <c r="E68" s="59"/>
      <c r="F68" s="59"/>
      <c r="G68" s="59"/>
      <c r="H68" s="59"/>
      <c r="I68" s="59"/>
    </row>
    <row r="69" spans="1:9" ht="15" customHeight="1" x14ac:dyDescent="0.3">
      <c r="A69" s="61"/>
      <c r="B69" s="61"/>
      <c r="C69" s="61"/>
      <c r="D69" s="59"/>
      <c r="E69" s="59"/>
      <c r="F69" s="59"/>
      <c r="G69" s="59"/>
      <c r="H69" s="59"/>
      <c r="I69" s="59"/>
    </row>
    <row r="70" spans="1:9" ht="15" customHeight="1" x14ac:dyDescent="0.3">
      <c r="A70" s="61"/>
      <c r="B70" s="61"/>
      <c r="C70" s="61"/>
      <c r="D70" s="59"/>
      <c r="E70" s="59"/>
      <c r="F70" s="59"/>
      <c r="G70" s="59"/>
      <c r="H70" s="59"/>
      <c r="I70" s="59"/>
    </row>
    <row r="71" spans="1:9" ht="15" customHeight="1" x14ac:dyDescent="0.3">
      <c r="A71" s="61"/>
      <c r="B71" s="61"/>
      <c r="C71" s="61"/>
      <c r="D71" s="59"/>
      <c r="E71" s="59"/>
      <c r="F71" s="59"/>
      <c r="G71" s="59"/>
      <c r="H71" s="59"/>
      <c r="I71" s="59"/>
    </row>
    <row r="72" spans="1:9" ht="15" customHeight="1" x14ac:dyDescent="0.3">
      <c r="A72" s="61"/>
      <c r="B72" s="61"/>
      <c r="C72" s="61"/>
      <c r="D72" s="59"/>
      <c r="E72" s="59"/>
      <c r="F72" s="59"/>
      <c r="G72" s="59"/>
      <c r="H72" s="59"/>
      <c r="I72" s="59"/>
    </row>
    <row r="73" spans="1:9" ht="15" customHeight="1" x14ac:dyDescent="0.3">
      <c r="A73" s="61"/>
      <c r="B73" s="61"/>
      <c r="C73" s="61"/>
      <c r="D73" s="59"/>
      <c r="E73" s="59"/>
      <c r="F73" s="59"/>
      <c r="G73" s="59"/>
      <c r="H73" s="59"/>
      <c r="I73" s="59"/>
    </row>
    <row r="74" spans="1:9" ht="15" customHeight="1" x14ac:dyDescent="0.3">
      <c r="A74" s="61"/>
      <c r="B74" s="61"/>
      <c r="C74" s="61"/>
      <c r="D74" s="59"/>
      <c r="E74" s="59"/>
      <c r="F74" s="59"/>
      <c r="G74" s="59"/>
      <c r="H74" s="59"/>
      <c r="I74" s="59"/>
    </row>
    <row r="75" spans="1:9" ht="15" customHeight="1" x14ac:dyDescent="0.3">
      <c r="A75" s="61"/>
      <c r="B75" s="61"/>
      <c r="C75" s="61"/>
      <c r="D75" s="59"/>
      <c r="E75" s="59"/>
      <c r="F75" s="59"/>
      <c r="G75" s="59"/>
      <c r="H75" s="59"/>
      <c r="I75" s="59"/>
    </row>
    <row r="76" spans="1:9" ht="15" customHeight="1" x14ac:dyDescent="0.3">
      <c r="A76" s="61"/>
      <c r="B76" s="61"/>
      <c r="C76" s="61"/>
      <c r="D76" s="59"/>
      <c r="E76" s="59"/>
      <c r="F76" s="59"/>
      <c r="G76" s="59"/>
      <c r="H76" s="59"/>
      <c r="I76" s="59"/>
    </row>
    <row r="78" spans="1:9" ht="15" customHeight="1" x14ac:dyDescent="0.3">
      <c r="A78" s="167" t="s">
        <v>525</v>
      </c>
      <c r="B78" s="167"/>
      <c r="C78" s="167"/>
      <c r="D78" s="167"/>
      <c r="E78" s="167"/>
      <c r="F78" s="167"/>
      <c r="G78" s="167"/>
      <c r="H78" s="167"/>
      <c r="I78" s="167"/>
    </row>
    <row r="79" spans="1:9" x14ac:dyDescent="0.3">
      <c r="A79" s="91"/>
      <c r="B79" s="91"/>
      <c r="C79" s="91"/>
      <c r="D79" s="91"/>
      <c r="E79" s="91"/>
      <c r="F79" s="91"/>
      <c r="G79" s="91"/>
      <c r="H79" s="91"/>
      <c r="I79" s="91"/>
    </row>
    <row r="80" spans="1:9" ht="30" customHeight="1" x14ac:dyDescent="0.3">
      <c r="A80" s="298" t="s">
        <v>1428</v>
      </c>
      <c r="B80" s="298"/>
      <c r="C80" s="298"/>
      <c r="D80" s="299"/>
      <c r="E80" s="299"/>
      <c r="F80" s="299"/>
      <c r="G80" s="299"/>
      <c r="H80" s="299"/>
      <c r="I80" s="299"/>
    </row>
    <row r="81" spans="1:9" ht="24.9" customHeight="1" x14ac:dyDescent="0.3">
      <c r="A81" s="296"/>
      <c r="B81" s="296"/>
      <c r="C81" s="296"/>
      <c r="D81" s="294"/>
      <c r="E81" s="294"/>
      <c r="F81" s="294"/>
      <c r="G81" s="294"/>
      <c r="H81" s="294"/>
      <c r="I81" s="294"/>
    </row>
    <row r="82" spans="1:9" ht="24.9" customHeight="1" x14ac:dyDescent="0.3">
      <c r="A82" s="281"/>
      <c r="B82" s="281"/>
      <c r="C82" s="281"/>
      <c r="D82" s="282"/>
      <c r="E82" s="282"/>
      <c r="F82" s="282"/>
      <c r="G82" s="282"/>
      <c r="H82" s="282"/>
      <c r="I82" s="282"/>
    </row>
    <row r="83" spans="1:9" ht="24.9" customHeight="1" x14ac:dyDescent="0.3">
      <c r="A83" s="281"/>
      <c r="B83" s="281"/>
      <c r="C83" s="281"/>
      <c r="D83" s="282"/>
      <c r="E83" s="282"/>
      <c r="F83" s="282"/>
      <c r="G83" s="282"/>
      <c r="H83" s="282"/>
      <c r="I83" s="282"/>
    </row>
    <row r="84" spans="1:9" ht="24.9" customHeight="1" x14ac:dyDescent="0.3">
      <c r="A84" s="293"/>
      <c r="B84" s="293"/>
      <c r="C84" s="293"/>
      <c r="D84" s="294"/>
      <c r="E84" s="294"/>
      <c r="F84" s="294"/>
      <c r="G84" s="294"/>
      <c r="H84" s="294"/>
      <c r="I84" s="294"/>
    </row>
    <row r="85" spans="1:9" ht="24.9" customHeight="1" x14ac:dyDescent="0.3">
      <c r="A85" s="281"/>
      <c r="B85" s="281"/>
      <c r="C85" s="281"/>
      <c r="D85" s="282"/>
      <c r="E85" s="282"/>
      <c r="F85" s="282"/>
      <c r="G85" s="282"/>
      <c r="H85" s="282"/>
      <c r="I85" s="282"/>
    </row>
    <row r="86" spans="1:9" ht="24.9" customHeight="1" x14ac:dyDescent="0.3">
      <c r="A86" s="281"/>
      <c r="B86" s="281"/>
      <c r="C86" s="281"/>
      <c r="D86" s="282"/>
      <c r="E86" s="282"/>
      <c r="F86" s="282"/>
      <c r="G86" s="282"/>
      <c r="H86" s="282"/>
      <c r="I86" s="282"/>
    </row>
    <row r="87" spans="1:9" ht="24.9" customHeight="1" x14ac:dyDescent="0.3">
      <c r="A87" s="293"/>
      <c r="B87" s="293"/>
      <c r="C87" s="293"/>
      <c r="D87" s="294"/>
      <c r="E87" s="294"/>
      <c r="F87" s="294"/>
      <c r="G87" s="294"/>
      <c r="H87" s="294"/>
      <c r="I87" s="294"/>
    </row>
    <row r="88" spans="1:9" ht="24.9" customHeight="1" x14ac:dyDescent="0.3">
      <c r="A88" s="293"/>
      <c r="B88" s="293"/>
      <c r="C88" s="293"/>
      <c r="D88" s="294"/>
      <c r="E88" s="294"/>
      <c r="F88" s="294"/>
      <c r="G88" s="294"/>
      <c r="H88" s="294"/>
      <c r="I88" s="294"/>
    </row>
    <row r="89" spans="1:9" ht="24.9" customHeight="1" x14ac:dyDescent="0.3">
      <c r="A89" s="293"/>
      <c r="B89" s="293"/>
      <c r="C89" s="293"/>
      <c r="D89" s="294"/>
      <c r="E89" s="294"/>
      <c r="F89" s="294"/>
      <c r="G89" s="294"/>
      <c r="H89" s="294"/>
      <c r="I89" s="294"/>
    </row>
    <row r="90" spans="1:9" ht="24.9" customHeight="1" x14ac:dyDescent="0.3">
      <c r="A90" s="293"/>
      <c r="B90" s="293"/>
      <c r="C90" s="293"/>
      <c r="D90" s="294"/>
      <c r="E90" s="294"/>
      <c r="F90" s="294"/>
      <c r="G90" s="294"/>
      <c r="H90" s="294"/>
      <c r="I90" s="294"/>
    </row>
    <row r="91" spans="1:9" ht="24.9" customHeight="1" x14ac:dyDescent="0.3">
      <c r="A91" s="293"/>
      <c r="B91" s="293"/>
      <c r="C91" s="293"/>
      <c r="D91" s="294"/>
      <c r="E91" s="294"/>
      <c r="F91" s="294"/>
      <c r="G91" s="294"/>
      <c r="H91" s="294"/>
      <c r="I91" s="294"/>
    </row>
    <row r="92" spans="1:9" ht="24.9" customHeight="1" x14ac:dyDescent="0.3">
      <c r="A92" s="281"/>
      <c r="B92" s="281"/>
      <c r="C92" s="281"/>
      <c r="D92" s="282"/>
      <c r="E92" s="282"/>
      <c r="F92" s="282"/>
      <c r="G92" s="282"/>
      <c r="H92" s="282"/>
      <c r="I92" s="282"/>
    </row>
    <row r="93" spans="1:9" ht="24.9" customHeight="1" x14ac:dyDescent="0.3">
      <c r="A93" s="281"/>
      <c r="B93" s="281"/>
      <c r="C93" s="281"/>
      <c r="D93" s="282"/>
      <c r="E93" s="282"/>
      <c r="F93" s="282"/>
      <c r="G93" s="282"/>
      <c r="H93" s="282"/>
      <c r="I93" s="282"/>
    </row>
    <row r="94" spans="1:9" ht="24.9" customHeight="1" x14ac:dyDescent="0.3">
      <c r="A94" s="293"/>
      <c r="B94" s="293"/>
      <c r="C94" s="293"/>
      <c r="D94" s="294"/>
      <c r="E94" s="294"/>
      <c r="F94" s="294"/>
      <c r="G94" s="294"/>
      <c r="H94" s="294"/>
      <c r="I94" s="294"/>
    </row>
    <row r="95" spans="1:9" ht="24.9" customHeight="1" x14ac:dyDescent="0.3">
      <c r="A95" s="293"/>
      <c r="B95" s="293"/>
      <c r="C95" s="293"/>
      <c r="D95" s="294"/>
      <c r="E95" s="294"/>
      <c r="F95" s="294"/>
      <c r="G95" s="294"/>
      <c r="H95" s="294"/>
      <c r="I95" s="294"/>
    </row>
    <row r="96" spans="1:9" ht="24.9" customHeight="1" x14ac:dyDescent="0.3">
      <c r="A96" s="281"/>
      <c r="B96" s="281"/>
      <c r="C96" s="281"/>
      <c r="D96" s="282"/>
      <c r="E96" s="282"/>
      <c r="F96" s="282"/>
      <c r="G96" s="282"/>
      <c r="H96" s="282"/>
      <c r="I96" s="282"/>
    </row>
    <row r="97" spans="1:9" ht="24.9" customHeight="1" x14ac:dyDescent="0.3">
      <c r="A97" s="281"/>
      <c r="B97" s="281"/>
      <c r="C97" s="281"/>
      <c r="D97" s="282"/>
      <c r="E97" s="282"/>
      <c r="F97" s="282"/>
      <c r="G97" s="282"/>
      <c r="H97" s="282"/>
      <c r="I97" s="282"/>
    </row>
    <row r="98" spans="1:9" x14ac:dyDescent="0.3">
      <c r="A98" s="91"/>
      <c r="B98" s="91"/>
      <c r="C98" s="91"/>
      <c r="D98" s="91"/>
      <c r="E98" s="91"/>
      <c r="F98" s="91"/>
      <c r="G98" s="91"/>
      <c r="H98" s="91"/>
      <c r="I98" s="91"/>
    </row>
  </sheetData>
  <mergeCells count="168">
    <mergeCell ref="A14:I14"/>
    <mergeCell ref="A16:C16"/>
    <mergeCell ref="D16:E16"/>
    <mergeCell ref="F16:G16"/>
    <mergeCell ref="H16:I16"/>
    <mergeCell ref="A17:C17"/>
    <mergeCell ref="D17:E17"/>
    <mergeCell ref="F17:G17"/>
    <mergeCell ref="H17:I17"/>
    <mergeCell ref="A18:I18"/>
    <mergeCell ref="A21:C21"/>
    <mergeCell ref="D21:E21"/>
    <mergeCell ref="F21:G21"/>
    <mergeCell ref="H21:I21"/>
    <mergeCell ref="A22:C22"/>
    <mergeCell ref="A19:C19"/>
    <mergeCell ref="D19:E19"/>
    <mergeCell ref="F19:G19"/>
    <mergeCell ref="H19:I19"/>
    <mergeCell ref="A20:C20"/>
    <mergeCell ref="D20:E20"/>
    <mergeCell ref="F20:G20"/>
    <mergeCell ref="H20:I20"/>
    <mergeCell ref="D22:E22"/>
    <mergeCell ref="F22:G22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A28:C28"/>
    <mergeCell ref="D28:E28"/>
    <mergeCell ref="F28:G28"/>
    <mergeCell ref="H28:I28"/>
    <mergeCell ref="A29:C29"/>
    <mergeCell ref="D29:E29"/>
    <mergeCell ref="F29:G29"/>
    <mergeCell ref="H29:I29"/>
    <mergeCell ref="A25:I25"/>
    <mergeCell ref="A26:C26"/>
    <mergeCell ref="D26:E26"/>
    <mergeCell ref="F26:G26"/>
    <mergeCell ref="H26:I26"/>
    <mergeCell ref="A27:C27"/>
    <mergeCell ref="D27:E27"/>
    <mergeCell ref="F27:G27"/>
    <mergeCell ref="H27:I27"/>
    <mergeCell ref="A35:I35"/>
    <mergeCell ref="A37:C37"/>
    <mergeCell ref="D37:F37"/>
    <mergeCell ref="G37:I37"/>
    <mergeCell ref="A38:C38"/>
    <mergeCell ref="D38:F38"/>
    <mergeCell ref="G38:I38"/>
    <mergeCell ref="A30:C30"/>
    <mergeCell ref="D30:E30"/>
    <mergeCell ref="F30:G30"/>
    <mergeCell ref="H30:I30"/>
    <mergeCell ref="A31:C31"/>
    <mergeCell ref="D31:E31"/>
    <mergeCell ref="F31:G31"/>
    <mergeCell ref="H31:I31"/>
    <mergeCell ref="A32:C32"/>
    <mergeCell ref="D32:E32"/>
    <mergeCell ref="F32:G32"/>
    <mergeCell ref="H32:I32"/>
    <mergeCell ref="A33:C33"/>
    <mergeCell ref="D33:E33"/>
    <mergeCell ref="F33:G33"/>
    <mergeCell ref="H33:I33"/>
    <mergeCell ref="D39:F39"/>
    <mergeCell ref="G39:I39"/>
    <mergeCell ref="A40:C40"/>
    <mergeCell ref="D40:F40"/>
    <mergeCell ref="G40:I40"/>
    <mergeCell ref="G41:I41"/>
    <mergeCell ref="A41:C41"/>
    <mergeCell ref="D41:F41"/>
    <mergeCell ref="A39:C39"/>
    <mergeCell ref="A46:I46"/>
    <mergeCell ref="A48:C49"/>
    <mergeCell ref="D49:F49"/>
    <mergeCell ref="G49:I49"/>
    <mergeCell ref="A44:C44"/>
    <mergeCell ref="D44:F44"/>
    <mergeCell ref="G44:I44"/>
    <mergeCell ref="A42:C42"/>
    <mergeCell ref="D42:F42"/>
    <mergeCell ref="G42:I42"/>
    <mergeCell ref="A43:C43"/>
    <mergeCell ref="D43:F43"/>
    <mergeCell ref="G43:I43"/>
    <mergeCell ref="D52:F52"/>
    <mergeCell ref="G52:I52"/>
    <mergeCell ref="A50:C50"/>
    <mergeCell ref="D50:F50"/>
    <mergeCell ref="G50:I50"/>
    <mergeCell ref="A51:C51"/>
    <mergeCell ref="D51:F51"/>
    <mergeCell ref="G51:I51"/>
    <mergeCell ref="A80:I80"/>
    <mergeCell ref="A11:D11"/>
    <mergeCell ref="A12:D12"/>
    <mergeCell ref="A84:C84"/>
    <mergeCell ref="D84:F84"/>
    <mergeCell ref="G84:I84"/>
    <mergeCell ref="A92:C92"/>
    <mergeCell ref="D92:F92"/>
    <mergeCell ref="G92:I92"/>
    <mergeCell ref="A85:C85"/>
    <mergeCell ref="D85:F85"/>
    <mergeCell ref="G85:I85"/>
    <mergeCell ref="A86:C86"/>
    <mergeCell ref="A81:C81"/>
    <mergeCell ref="D81:F81"/>
    <mergeCell ref="G81:I81"/>
    <mergeCell ref="A83:C83"/>
    <mergeCell ref="D83:F83"/>
    <mergeCell ref="G83:I83"/>
    <mergeCell ref="A82:C82"/>
    <mergeCell ref="D82:F82"/>
    <mergeCell ref="G82:I82"/>
    <mergeCell ref="D48:I48"/>
    <mergeCell ref="A78:I78"/>
    <mergeCell ref="A52:C52"/>
    <mergeCell ref="G93:I93"/>
    <mergeCell ref="A89:C89"/>
    <mergeCell ref="D89:F89"/>
    <mergeCell ref="G89:I89"/>
    <mergeCell ref="A90:C90"/>
    <mergeCell ref="D90:F90"/>
    <mergeCell ref="G90:I90"/>
    <mergeCell ref="D86:F86"/>
    <mergeCell ref="G86:I86"/>
    <mergeCell ref="A87:C87"/>
    <mergeCell ref="D87:F87"/>
    <mergeCell ref="G87:I87"/>
    <mergeCell ref="A88:C88"/>
    <mergeCell ref="D88:F88"/>
    <mergeCell ref="G88:I88"/>
    <mergeCell ref="A97:C97"/>
    <mergeCell ref="D97:F97"/>
    <mergeCell ref="G97:I97"/>
    <mergeCell ref="E4:I4"/>
    <mergeCell ref="A4:D5"/>
    <mergeCell ref="A6:D6"/>
    <mergeCell ref="A7:D7"/>
    <mergeCell ref="A8:D8"/>
    <mergeCell ref="A9:D9"/>
    <mergeCell ref="A10:D10"/>
    <mergeCell ref="A95:C95"/>
    <mergeCell ref="D95:F95"/>
    <mergeCell ref="G95:I95"/>
    <mergeCell ref="A96:C96"/>
    <mergeCell ref="D96:F96"/>
    <mergeCell ref="G96:I96"/>
    <mergeCell ref="A91:C91"/>
    <mergeCell ref="D91:F91"/>
    <mergeCell ref="G91:I91"/>
    <mergeCell ref="A94:C94"/>
    <mergeCell ref="D94:F94"/>
    <mergeCell ref="G94:I94"/>
    <mergeCell ref="A93:C93"/>
    <mergeCell ref="D93:F9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80"/>
  <sheetViews>
    <sheetView topLeftCell="A65" zoomScaleNormal="100" workbookViewId="0">
      <selection activeCell="I89" sqref="I89"/>
    </sheetView>
  </sheetViews>
  <sheetFormatPr defaultRowHeight="14.4" x14ac:dyDescent="0.3"/>
  <cols>
    <col min="1" max="24" width="3.5546875" customWidth="1"/>
    <col min="25" max="26" width="3.6640625" customWidth="1"/>
  </cols>
  <sheetData>
    <row r="1" spans="1:2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4" ht="15" customHeight="1" x14ac:dyDescent="0.3">
      <c r="A2" s="167" t="s">
        <v>905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</row>
    <row r="3" spans="1:24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24" x14ac:dyDescent="0.3">
      <c r="A4" s="254" t="s">
        <v>375</v>
      </c>
      <c r="B4" s="254"/>
      <c r="C4" s="254"/>
      <c r="D4" s="254"/>
      <c r="E4" s="254"/>
      <c r="F4" s="254"/>
      <c r="G4" s="254"/>
      <c r="H4" s="254"/>
      <c r="I4" s="247" t="s">
        <v>405</v>
      </c>
      <c r="J4" s="247"/>
      <c r="K4" s="247"/>
      <c r="L4" s="247"/>
      <c r="M4" s="247"/>
      <c r="N4" s="247"/>
      <c r="O4" s="247"/>
      <c r="P4" s="247"/>
      <c r="Q4" s="338" t="s">
        <v>344</v>
      </c>
      <c r="R4" s="338"/>
      <c r="S4" s="338"/>
      <c r="T4" s="338"/>
      <c r="U4" s="338"/>
      <c r="V4" s="338"/>
      <c r="W4" s="338"/>
      <c r="X4" s="338"/>
    </row>
    <row r="5" spans="1:24" ht="15" customHeight="1" x14ac:dyDescent="0.3">
      <c r="A5" s="327" t="s">
        <v>1218</v>
      </c>
      <c r="B5" s="327"/>
      <c r="C5" s="327"/>
      <c r="D5" s="327"/>
      <c r="E5" s="327"/>
      <c r="F5" s="327"/>
      <c r="G5" s="327"/>
      <c r="H5" s="327"/>
      <c r="I5" s="329">
        <v>104</v>
      </c>
      <c r="J5" s="329"/>
      <c r="K5" s="329"/>
      <c r="L5" s="329"/>
      <c r="M5" s="329"/>
      <c r="N5" s="329"/>
      <c r="O5" s="329"/>
      <c r="P5" s="329"/>
      <c r="Q5" s="329">
        <f>138.56+192.5-0.06</f>
        <v>331</v>
      </c>
      <c r="R5" s="329"/>
      <c r="S5" s="329"/>
      <c r="T5" s="329"/>
      <c r="U5" s="329"/>
      <c r="V5" s="329"/>
      <c r="W5" s="329"/>
      <c r="X5" s="329"/>
    </row>
    <row r="6" spans="1:24" ht="15" customHeight="1" x14ac:dyDescent="0.3">
      <c r="A6" s="250" t="s">
        <v>1127</v>
      </c>
      <c r="B6" s="250"/>
      <c r="C6" s="250"/>
      <c r="D6" s="250"/>
      <c r="E6" s="250"/>
      <c r="F6" s="250"/>
      <c r="G6" s="250"/>
      <c r="H6" s="250"/>
      <c r="I6" s="330">
        <v>2002708</v>
      </c>
      <c r="J6" s="330"/>
      <c r="K6" s="330"/>
      <c r="L6" s="330"/>
      <c r="M6" s="330"/>
      <c r="N6" s="330"/>
      <c r="O6" s="330"/>
      <c r="P6" s="330"/>
      <c r="Q6" s="330">
        <v>840755</v>
      </c>
      <c r="R6" s="330"/>
      <c r="S6" s="330"/>
      <c r="T6" s="330"/>
      <c r="U6" s="330"/>
      <c r="V6" s="330"/>
      <c r="W6" s="330"/>
      <c r="X6" s="330"/>
    </row>
    <row r="7" spans="1:24" ht="15" customHeight="1" x14ac:dyDescent="0.3">
      <c r="A7" s="250" t="s">
        <v>23</v>
      </c>
      <c r="B7" s="250"/>
      <c r="C7" s="250"/>
      <c r="D7" s="250"/>
      <c r="E7" s="250"/>
      <c r="F7" s="250"/>
      <c r="G7" s="250"/>
      <c r="H7" s="25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</row>
    <row r="8" spans="1:24" ht="15" customHeight="1" x14ac:dyDescent="0.3">
      <c r="A8" s="250" t="s">
        <v>448</v>
      </c>
      <c r="B8" s="250"/>
      <c r="C8" s="250"/>
      <c r="D8" s="250"/>
      <c r="E8" s="250"/>
      <c r="F8" s="250"/>
      <c r="G8" s="250"/>
      <c r="H8" s="25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</row>
    <row r="9" spans="1:24" ht="15" customHeight="1" x14ac:dyDescent="0.3">
      <c r="A9" s="252" t="s">
        <v>518</v>
      </c>
      <c r="B9" s="252"/>
      <c r="C9" s="252"/>
      <c r="D9" s="252"/>
      <c r="E9" s="252"/>
      <c r="F9" s="252"/>
      <c r="G9" s="252"/>
      <c r="H9" s="252"/>
      <c r="I9" s="331">
        <f>SUM(I5:P8)</f>
        <v>2002812</v>
      </c>
      <c r="J9" s="331"/>
      <c r="K9" s="331"/>
      <c r="L9" s="331"/>
      <c r="M9" s="331"/>
      <c r="N9" s="331"/>
      <c r="O9" s="331"/>
      <c r="P9" s="331"/>
      <c r="Q9" s="331">
        <f>SUM(Q5:X8)</f>
        <v>841086</v>
      </c>
      <c r="R9" s="331"/>
      <c r="S9" s="331"/>
      <c r="T9" s="331"/>
      <c r="U9" s="331"/>
      <c r="V9" s="331"/>
      <c r="W9" s="331"/>
      <c r="X9" s="331"/>
    </row>
    <row r="10" spans="1:24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24" ht="15" customHeight="1" x14ac:dyDescent="0.3">
      <c r="A11" s="167" t="s">
        <v>663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</row>
    <row r="12" spans="1:24" ht="15.6" x14ac:dyDescent="0.3">
      <c r="A12" s="46"/>
      <c r="B12" s="46"/>
      <c r="C12" s="46"/>
      <c r="D12" s="46"/>
      <c r="E12" s="46"/>
      <c r="F12" s="46"/>
      <c r="G12" s="46"/>
      <c r="H12" s="46"/>
      <c r="I12" s="11"/>
      <c r="J12" s="11"/>
      <c r="K12" s="11"/>
      <c r="L12" s="11"/>
    </row>
    <row r="13" spans="1:24" ht="15" customHeight="1" x14ac:dyDescent="0.3">
      <c r="A13" s="228" t="s">
        <v>499</v>
      </c>
      <c r="B13" s="228"/>
      <c r="C13" s="228"/>
      <c r="D13" s="228"/>
      <c r="E13" s="228"/>
      <c r="F13" s="228"/>
      <c r="G13" s="228"/>
      <c r="H13" s="228"/>
      <c r="I13" s="253" t="s">
        <v>405</v>
      </c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</row>
    <row r="14" spans="1:24" ht="24.9" customHeight="1" x14ac:dyDescent="0.3">
      <c r="A14" s="247"/>
      <c r="B14" s="247"/>
      <c r="C14" s="247"/>
      <c r="D14" s="247"/>
      <c r="E14" s="247"/>
      <c r="F14" s="247"/>
      <c r="G14" s="247"/>
      <c r="H14" s="247"/>
      <c r="I14" s="247" t="s">
        <v>400</v>
      </c>
      <c r="J14" s="247"/>
      <c r="K14" s="247"/>
      <c r="L14" s="247"/>
      <c r="M14" s="328" t="s">
        <v>197</v>
      </c>
      <c r="N14" s="328"/>
      <c r="O14" s="328"/>
      <c r="P14" s="328"/>
      <c r="Q14" s="328" t="s">
        <v>484</v>
      </c>
      <c r="R14" s="328"/>
      <c r="S14" s="328"/>
      <c r="T14" s="328"/>
      <c r="U14" s="328" t="s">
        <v>1298</v>
      </c>
      <c r="V14" s="328"/>
      <c r="W14" s="328"/>
      <c r="X14" s="328"/>
    </row>
    <row r="15" spans="1:24" ht="33" customHeight="1" x14ac:dyDescent="0.3">
      <c r="A15" s="326" t="s">
        <v>1034</v>
      </c>
      <c r="B15" s="326"/>
      <c r="C15" s="326"/>
      <c r="D15" s="326"/>
      <c r="E15" s="326"/>
      <c r="F15" s="326"/>
      <c r="G15" s="326"/>
      <c r="H15" s="326"/>
      <c r="I15" s="297"/>
      <c r="J15" s="297"/>
      <c r="K15" s="297"/>
      <c r="L15" s="297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</row>
    <row r="16" spans="1:24" ht="33" customHeight="1" x14ac:dyDescent="0.3">
      <c r="A16" s="250" t="s">
        <v>971</v>
      </c>
      <c r="B16" s="250"/>
      <c r="C16" s="250"/>
      <c r="D16" s="250"/>
      <c r="E16" s="250"/>
      <c r="F16" s="250"/>
      <c r="G16" s="250"/>
      <c r="H16" s="250"/>
      <c r="I16" s="264"/>
      <c r="J16" s="264"/>
      <c r="K16" s="264"/>
      <c r="L16" s="26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</row>
    <row r="17" spans="1:24" ht="33" customHeight="1" x14ac:dyDescent="0.3">
      <c r="A17" s="250" t="s">
        <v>530</v>
      </c>
      <c r="B17" s="250"/>
      <c r="C17" s="250"/>
      <c r="D17" s="250"/>
      <c r="E17" s="250"/>
      <c r="F17" s="250"/>
      <c r="G17" s="250"/>
      <c r="H17" s="250"/>
      <c r="I17" s="264"/>
      <c r="J17" s="264"/>
      <c r="K17" s="264"/>
      <c r="L17" s="26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</row>
    <row r="18" spans="1:24" ht="33" customHeight="1" x14ac:dyDescent="0.3">
      <c r="A18" s="250" t="s">
        <v>662</v>
      </c>
      <c r="B18" s="250"/>
      <c r="C18" s="250"/>
      <c r="D18" s="250"/>
      <c r="E18" s="250"/>
      <c r="F18" s="250"/>
      <c r="G18" s="250"/>
      <c r="H18" s="250"/>
      <c r="I18" s="264"/>
      <c r="J18" s="264"/>
      <c r="K18" s="264"/>
      <c r="L18" s="26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</row>
    <row r="19" spans="1:24" ht="33" customHeight="1" x14ac:dyDescent="0.3">
      <c r="A19" s="250" t="s">
        <v>422</v>
      </c>
      <c r="B19" s="250"/>
      <c r="C19" s="250"/>
      <c r="D19" s="250"/>
      <c r="E19" s="250"/>
      <c r="F19" s="250"/>
      <c r="G19" s="250"/>
      <c r="H19" s="250"/>
      <c r="I19" s="264"/>
      <c r="J19" s="264"/>
      <c r="K19" s="264"/>
      <c r="L19" s="264"/>
      <c r="M19" s="324"/>
      <c r="N19" s="324"/>
      <c r="O19" s="324"/>
      <c r="P19" s="324"/>
      <c r="Q19" s="324"/>
      <c r="R19" s="324"/>
      <c r="S19" s="324"/>
      <c r="T19" s="324"/>
      <c r="U19" s="324"/>
      <c r="V19" s="324"/>
      <c r="W19" s="324"/>
      <c r="X19" s="324"/>
    </row>
    <row r="20" spans="1:24" ht="33" customHeight="1" x14ac:dyDescent="0.3">
      <c r="A20" s="250" t="s">
        <v>541</v>
      </c>
      <c r="B20" s="250"/>
      <c r="C20" s="250"/>
      <c r="D20" s="250"/>
      <c r="E20" s="250"/>
      <c r="F20" s="250"/>
      <c r="G20" s="250"/>
      <c r="H20" s="250"/>
      <c r="I20" s="264"/>
      <c r="J20" s="264"/>
      <c r="K20" s="264"/>
      <c r="L20" s="264"/>
      <c r="M20" s="324"/>
      <c r="N20" s="324"/>
      <c r="O20" s="324"/>
      <c r="P20" s="324"/>
      <c r="Q20" s="324"/>
      <c r="R20" s="324"/>
      <c r="S20" s="324"/>
      <c r="T20" s="324"/>
      <c r="U20" s="324"/>
      <c r="V20" s="324"/>
      <c r="W20" s="324"/>
      <c r="X20" s="324"/>
    </row>
    <row r="21" spans="1:24" ht="33" customHeight="1" x14ac:dyDescent="0.3">
      <c r="A21" s="252" t="s">
        <v>206</v>
      </c>
      <c r="B21" s="252"/>
      <c r="C21" s="252"/>
      <c r="D21" s="252"/>
      <c r="E21" s="252"/>
      <c r="F21" s="252"/>
      <c r="G21" s="252"/>
      <c r="H21" s="252"/>
      <c r="I21" s="262">
        <f>SUM(I15:L20)</f>
        <v>0</v>
      </c>
      <c r="J21" s="262"/>
      <c r="K21" s="262"/>
      <c r="L21" s="262"/>
      <c r="M21" s="262">
        <f>SUM(M15:P20)</f>
        <v>0</v>
      </c>
      <c r="N21" s="262"/>
      <c r="O21" s="262"/>
      <c r="P21" s="262"/>
      <c r="Q21" s="262">
        <f>SUM(Q15:T20)</f>
        <v>0</v>
      </c>
      <c r="R21" s="262"/>
      <c r="S21" s="262"/>
      <c r="T21" s="262"/>
      <c r="U21" s="262">
        <f>SUM(U15:X20)</f>
        <v>0</v>
      </c>
      <c r="V21" s="262"/>
      <c r="W21" s="262"/>
      <c r="X21" s="262"/>
    </row>
    <row r="22" spans="1:24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24" ht="15" customHeight="1" x14ac:dyDescent="0.3">
      <c r="A23" s="167" t="s">
        <v>1033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</row>
    <row r="24" spans="1:24" ht="15.6" x14ac:dyDescent="0.3">
      <c r="A24" s="46"/>
      <c r="B24" s="46"/>
      <c r="C24" s="46"/>
      <c r="D24" s="46"/>
      <c r="E24" s="46"/>
      <c r="F24" s="46"/>
      <c r="G24" s="46"/>
      <c r="H24" s="46"/>
      <c r="I24" s="11"/>
      <c r="J24" s="11"/>
      <c r="K24" s="11"/>
      <c r="L24" s="11"/>
    </row>
    <row r="25" spans="1:24" ht="50.1" customHeight="1" x14ac:dyDescent="0.3">
      <c r="A25" s="235" t="s">
        <v>499</v>
      </c>
      <c r="B25" s="272"/>
      <c r="C25" s="272"/>
      <c r="D25" s="273"/>
      <c r="E25" s="235" t="s">
        <v>53</v>
      </c>
      <c r="F25" s="272"/>
      <c r="G25" s="272"/>
      <c r="H25" s="273"/>
      <c r="I25" s="235" t="s">
        <v>602</v>
      </c>
      <c r="J25" s="272"/>
      <c r="K25" s="272"/>
      <c r="L25" s="273"/>
      <c r="M25" s="235" t="s">
        <v>488</v>
      </c>
      <c r="N25" s="272"/>
      <c r="O25" s="272"/>
      <c r="P25" s="273"/>
      <c r="Q25" s="235" t="s">
        <v>512</v>
      </c>
      <c r="R25" s="272"/>
      <c r="S25" s="272"/>
      <c r="T25" s="273"/>
      <c r="U25" s="235" t="s">
        <v>1298</v>
      </c>
      <c r="V25" s="272"/>
      <c r="W25" s="272"/>
      <c r="X25" s="273"/>
    </row>
    <row r="26" spans="1:24" x14ac:dyDescent="0.3">
      <c r="A26" s="332" t="s">
        <v>1001</v>
      </c>
      <c r="B26" s="333"/>
      <c r="C26" s="333"/>
      <c r="D26" s="334"/>
      <c r="E26" s="332" t="s">
        <v>28</v>
      </c>
      <c r="F26" s="333"/>
      <c r="G26" s="333"/>
      <c r="H26" s="334"/>
      <c r="I26" s="332" t="s">
        <v>788</v>
      </c>
      <c r="J26" s="333"/>
      <c r="K26" s="333"/>
      <c r="L26" s="334"/>
      <c r="M26" s="348" t="s">
        <v>296</v>
      </c>
      <c r="N26" s="349"/>
      <c r="O26" s="349"/>
      <c r="P26" s="350"/>
      <c r="Q26" s="335" t="s">
        <v>889</v>
      </c>
      <c r="R26" s="336"/>
      <c r="S26" s="336"/>
      <c r="T26" s="337"/>
      <c r="U26" s="335" t="s">
        <v>191</v>
      </c>
      <c r="V26" s="336"/>
      <c r="W26" s="336"/>
      <c r="X26" s="337"/>
    </row>
    <row r="27" spans="1:24" ht="35.1" customHeight="1" x14ac:dyDescent="0.3">
      <c r="A27" s="250" t="s">
        <v>422</v>
      </c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</row>
    <row r="28" spans="1:24" ht="35.1" customHeight="1" x14ac:dyDescent="0.3">
      <c r="A28" s="250" t="s">
        <v>76</v>
      </c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</row>
    <row r="29" spans="1:24" ht="35.1" customHeight="1" x14ac:dyDescent="0.3">
      <c r="A29" s="252" t="s">
        <v>206</v>
      </c>
      <c r="B29" s="252"/>
      <c r="C29" s="252"/>
      <c r="D29" s="252"/>
      <c r="E29" s="252">
        <f>SUM(E27:H28)</f>
        <v>0</v>
      </c>
      <c r="F29" s="252"/>
      <c r="G29" s="252"/>
      <c r="H29" s="252"/>
      <c r="I29" s="252">
        <f>SUM(I27:L28)</f>
        <v>0</v>
      </c>
      <c r="J29" s="252"/>
      <c r="K29" s="252"/>
      <c r="L29" s="252"/>
      <c r="M29" s="252">
        <f>SUM(M27:P28)</f>
        <v>0</v>
      </c>
      <c r="N29" s="252"/>
      <c r="O29" s="252"/>
      <c r="P29" s="252"/>
      <c r="Q29" s="252">
        <f>SUM(Q27:T28)</f>
        <v>0</v>
      </c>
      <c r="R29" s="252"/>
      <c r="S29" s="252"/>
      <c r="T29" s="252"/>
      <c r="U29" s="252">
        <f>SUM(U27:X28)</f>
        <v>0</v>
      </c>
      <c r="V29" s="252"/>
      <c r="W29" s="252"/>
      <c r="X29" s="252"/>
    </row>
    <row r="30" spans="1:24" s="11" customFormat="1" ht="1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</row>
    <row r="31" spans="1:24" s="11" customFormat="1" ht="15" customHeight="1" x14ac:dyDescent="0.3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</row>
    <row r="32" spans="1:24" s="11" customFormat="1" ht="15" customHeigh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</row>
    <row r="33" spans="1:24" s="11" customFormat="1" ht="15" customHeigh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</row>
    <row r="34" spans="1:24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Q34" s="347"/>
      <c r="R34" s="347"/>
      <c r="S34" s="347"/>
      <c r="T34" s="347"/>
      <c r="U34" s="347"/>
      <c r="V34" s="347"/>
      <c r="W34" s="347"/>
      <c r="X34" s="347"/>
    </row>
    <row r="35" spans="1:24" ht="30" customHeight="1" x14ac:dyDescent="0.3">
      <c r="A35" s="167" t="s">
        <v>471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</row>
    <row r="36" spans="1:24" ht="15.6" x14ac:dyDescent="0.3">
      <c r="A36" s="46"/>
      <c r="B36" s="46"/>
      <c r="C36" s="46"/>
      <c r="D36" s="46"/>
      <c r="E36" s="46"/>
      <c r="F36" s="46"/>
      <c r="G36" s="46"/>
      <c r="H36" s="46"/>
      <c r="I36" s="11"/>
      <c r="J36" s="11"/>
      <c r="K36" s="11"/>
      <c r="L36" s="11"/>
    </row>
    <row r="37" spans="1:24" ht="15.75" customHeight="1" x14ac:dyDescent="0.3">
      <c r="A37" s="247" t="s">
        <v>375</v>
      </c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338" t="s">
        <v>559</v>
      </c>
      <c r="R37" s="338"/>
      <c r="S37" s="338"/>
      <c r="T37" s="338"/>
      <c r="U37" s="338"/>
      <c r="V37" s="338"/>
      <c r="W37" s="338"/>
      <c r="X37" s="338"/>
    </row>
    <row r="38" spans="1:24" ht="30" customHeight="1" x14ac:dyDescent="0.3">
      <c r="A38" s="327" t="s">
        <v>1140</v>
      </c>
      <c r="B38" s="327"/>
      <c r="C38" s="327"/>
      <c r="D38" s="327"/>
      <c r="E38" s="327"/>
      <c r="F38" s="327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46"/>
      <c r="R38" s="346"/>
      <c r="S38" s="346"/>
      <c r="T38" s="346"/>
      <c r="U38" s="346"/>
      <c r="V38" s="346"/>
      <c r="W38" s="346"/>
      <c r="X38" s="346"/>
    </row>
    <row r="39" spans="1:24" ht="30" customHeight="1" x14ac:dyDescent="0.3">
      <c r="A39" s="250" t="s">
        <v>981</v>
      </c>
      <c r="B39" s="250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124"/>
      <c r="R39" s="124"/>
      <c r="S39" s="124"/>
      <c r="T39" s="124"/>
      <c r="U39" s="124"/>
      <c r="V39" s="124"/>
      <c r="W39" s="124"/>
      <c r="X39" s="124"/>
    </row>
    <row r="40" spans="1:24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24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24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24" ht="30" customHeight="1" x14ac:dyDescent="0.3">
      <c r="A43" s="167" t="s">
        <v>804</v>
      </c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</row>
    <row r="44" spans="1:24" ht="15.6" x14ac:dyDescent="0.3">
      <c r="A44" s="46"/>
      <c r="B44" s="46"/>
      <c r="C44" s="46"/>
      <c r="D44" s="46"/>
      <c r="E44" s="46"/>
      <c r="F44" s="46"/>
      <c r="G44" s="46"/>
      <c r="H44" s="46"/>
      <c r="I44" s="11"/>
      <c r="J44" s="11"/>
      <c r="K44" s="11"/>
      <c r="L44" s="11"/>
    </row>
    <row r="45" spans="1:24" ht="39.9" customHeight="1" x14ac:dyDescent="0.3">
      <c r="A45" s="228" t="s">
        <v>499</v>
      </c>
      <c r="B45" s="228"/>
      <c r="C45" s="228"/>
      <c r="D45" s="228"/>
      <c r="E45" s="228"/>
      <c r="F45" s="228"/>
      <c r="G45" s="228" t="s">
        <v>575</v>
      </c>
      <c r="H45" s="228"/>
      <c r="I45" s="228"/>
      <c r="J45" s="228"/>
      <c r="K45" s="228"/>
      <c r="L45" s="228"/>
      <c r="M45" s="228" t="s">
        <v>167</v>
      </c>
      <c r="N45" s="228"/>
      <c r="O45" s="228"/>
      <c r="P45" s="228"/>
      <c r="Q45" s="228"/>
      <c r="R45" s="228"/>
      <c r="S45" s="228" t="s">
        <v>216</v>
      </c>
      <c r="T45" s="228"/>
      <c r="U45" s="228"/>
      <c r="V45" s="228"/>
      <c r="W45" s="228"/>
      <c r="X45" s="228"/>
    </row>
    <row r="46" spans="1:24" ht="15" customHeight="1" x14ac:dyDescent="0.3">
      <c r="A46" s="339" t="s">
        <v>1001</v>
      </c>
      <c r="B46" s="339"/>
      <c r="C46" s="339"/>
      <c r="D46" s="339"/>
      <c r="E46" s="339"/>
      <c r="F46" s="339"/>
      <c r="G46" s="339" t="s">
        <v>28</v>
      </c>
      <c r="H46" s="339"/>
      <c r="I46" s="339"/>
      <c r="J46" s="339"/>
      <c r="K46" s="339"/>
      <c r="L46" s="339"/>
      <c r="M46" s="351" t="s">
        <v>788</v>
      </c>
      <c r="N46" s="351"/>
      <c r="O46" s="351"/>
      <c r="P46" s="351"/>
      <c r="Q46" s="351"/>
      <c r="R46" s="351"/>
      <c r="S46" s="351" t="s">
        <v>296</v>
      </c>
      <c r="T46" s="351"/>
      <c r="U46" s="351"/>
      <c r="V46" s="351"/>
      <c r="W46" s="351"/>
      <c r="X46" s="351"/>
    </row>
    <row r="47" spans="1:24" ht="30" customHeight="1" x14ac:dyDescent="0.3">
      <c r="A47" s="327" t="s">
        <v>1034</v>
      </c>
      <c r="B47" s="327"/>
      <c r="C47" s="327"/>
      <c r="D47" s="327"/>
      <c r="E47" s="327"/>
      <c r="F47" s="327"/>
      <c r="G47" s="327"/>
      <c r="H47" s="327"/>
      <c r="I47" s="327"/>
      <c r="J47" s="327"/>
      <c r="K47" s="327"/>
      <c r="L47" s="327"/>
      <c r="M47" s="325"/>
      <c r="N47" s="325"/>
      <c r="O47" s="325"/>
      <c r="P47" s="325"/>
      <c r="Q47" s="325"/>
      <c r="R47" s="325"/>
      <c r="S47" s="346"/>
      <c r="T47" s="346"/>
      <c r="U47" s="346"/>
      <c r="V47" s="346"/>
      <c r="W47" s="346"/>
      <c r="X47" s="346"/>
    </row>
    <row r="48" spans="1:24" ht="30" customHeight="1" x14ac:dyDescent="0.3">
      <c r="A48" s="250" t="s">
        <v>971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324"/>
      <c r="N48" s="324"/>
      <c r="O48" s="324"/>
      <c r="P48" s="324"/>
      <c r="Q48" s="324"/>
      <c r="R48" s="324"/>
      <c r="S48" s="124"/>
      <c r="T48" s="124"/>
      <c r="U48" s="124"/>
      <c r="V48" s="124"/>
      <c r="W48" s="124"/>
      <c r="X48" s="124"/>
    </row>
    <row r="49" spans="1:24" ht="30" customHeight="1" x14ac:dyDescent="0.3">
      <c r="A49" s="250" t="s">
        <v>472</v>
      </c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324"/>
      <c r="N49" s="324"/>
      <c r="O49" s="324"/>
      <c r="P49" s="324"/>
      <c r="Q49" s="324"/>
      <c r="R49" s="324"/>
      <c r="S49" s="124"/>
      <c r="T49" s="124"/>
      <c r="U49" s="124"/>
      <c r="V49" s="124"/>
      <c r="W49" s="124"/>
      <c r="X49" s="124"/>
    </row>
    <row r="50" spans="1:24" ht="30" customHeight="1" x14ac:dyDescent="0.3">
      <c r="A50" s="250" t="s">
        <v>422</v>
      </c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324"/>
      <c r="N50" s="324"/>
      <c r="O50" s="324"/>
      <c r="P50" s="324"/>
      <c r="Q50" s="324"/>
      <c r="R50" s="324"/>
      <c r="S50" s="124"/>
      <c r="T50" s="124"/>
      <c r="U50" s="124"/>
      <c r="V50" s="124"/>
      <c r="W50" s="124"/>
      <c r="X50" s="124"/>
    </row>
    <row r="51" spans="1:24" ht="30" customHeight="1" x14ac:dyDescent="0.3">
      <c r="A51" s="252" t="s">
        <v>206</v>
      </c>
      <c r="B51" s="252"/>
      <c r="C51" s="252"/>
      <c r="D51" s="252"/>
      <c r="E51" s="252"/>
      <c r="F51" s="252"/>
      <c r="G51" s="252">
        <f>SUM(G47:L50)</f>
        <v>0</v>
      </c>
      <c r="H51" s="252"/>
      <c r="I51" s="252"/>
      <c r="J51" s="252"/>
      <c r="K51" s="252"/>
      <c r="L51" s="252"/>
      <c r="M51" s="252">
        <f>SUM(M47:R50)</f>
        <v>0</v>
      </c>
      <c r="N51" s="252"/>
      <c r="O51" s="252"/>
      <c r="P51" s="252"/>
      <c r="Q51" s="252"/>
      <c r="R51" s="252"/>
      <c r="S51" s="252">
        <f>SUM(S47:X50)</f>
        <v>0</v>
      </c>
      <c r="T51" s="252"/>
      <c r="U51" s="252"/>
      <c r="V51" s="252"/>
      <c r="W51" s="252"/>
      <c r="X51" s="252"/>
    </row>
    <row r="52" spans="1:24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24" ht="30" customHeight="1" x14ac:dyDescent="0.3">
      <c r="A53" s="167" t="s">
        <v>1256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</row>
    <row r="54" spans="1:24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24" ht="39.9" customHeight="1" x14ac:dyDescent="0.3">
      <c r="A55" s="247" t="s">
        <v>1297</v>
      </c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 t="s">
        <v>405</v>
      </c>
      <c r="N55" s="247"/>
      <c r="O55" s="247"/>
      <c r="P55" s="247"/>
      <c r="Q55" s="247"/>
      <c r="R55" s="247"/>
      <c r="S55" s="247" t="s">
        <v>430</v>
      </c>
      <c r="T55" s="247"/>
      <c r="U55" s="247"/>
      <c r="V55" s="247"/>
      <c r="W55" s="247"/>
      <c r="X55" s="247"/>
    </row>
    <row r="56" spans="1:24" ht="15" customHeight="1" x14ac:dyDescent="0.3">
      <c r="A56" s="327" t="s">
        <v>399</v>
      </c>
      <c r="B56" s="327"/>
      <c r="C56" s="327"/>
      <c r="D56" s="327"/>
      <c r="E56" s="327"/>
      <c r="F56" s="327"/>
      <c r="G56" s="327"/>
      <c r="H56" s="327"/>
      <c r="I56" s="327"/>
      <c r="J56" s="327"/>
      <c r="K56" s="327"/>
      <c r="L56" s="327"/>
      <c r="M56" s="325"/>
      <c r="N56" s="325"/>
      <c r="O56" s="325"/>
      <c r="P56" s="325"/>
      <c r="Q56" s="325"/>
      <c r="R56" s="325"/>
      <c r="S56" s="325"/>
      <c r="T56" s="325"/>
      <c r="U56" s="325"/>
      <c r="V56" s="325"/>
      <c r="W56" s="325"/>
      <c r="X56" s="325"/>
    </row>
    <row r="57" spans="1:24" x14ac:dyDescent="0.3">
      <c r="A57" s="250"/>
      <c r="B57" s="250"/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</row>
    <row r="58" spans="1:24" x14ac:dyDescent="0.3">
      <c r="A58" s="250"/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</row>
    <row r="59" spans="1:24" ht="15" customHeight="1" x14ac:dyDescent="0.3">
      <c r="A59" s="250" t="s">
        <v>111</v>
      </c>
      <c r="B59" s="250"/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319">
        <v>5034</v>
      </c>
      <c r="N59" s="319"/>
      <c r="O59" s="319"/>
      <c r="P59" s="319"/>
      <c r="Q59" s="319"/>
      <c r="R59" s="319"/>
      <c r="S59" s="319">
        <v>3363</v>
      </c>
      <c r="T59" s="319"/>
      <c r="U59" s="319"/>
      <c r="V59" s="319"/>
      <c r="W59" s="319"/>
      <c r="X59" s="319"/>
    </row>
    <row r="60" spans="1:24" x14ac:dyDescent="0.3">
      <c r="A60" s="320" t="s">
        <v>1357</v>
      </c>
      <c r="B60" s="321"/>
      <c r="C60" s="321"/>
      <c r="D60" s="321"/>
      <c r="E60" s="321"/>
      <c r="F60" s="321"/>
      <c r="G60" s="321"/>
      <c r="H60" s="321"/>
      <c r="I60" s="321"/>
      <c r="J60" s="321"/>
      <c r="K60" s="321"/>
      <c r="L60" s="322"/>
      <c r="M60" s="323">
        <v>1708</v>
      </c>
      <c r="N60" s="175"/>
      <c r="O60" s="175"/>
      <c r="P60" s="175"/>
      <c r="Q60" s="175"/>
      <c r="R60" s="176"/>
      <c r="S60" s="323">
        <v>1986</v>
      </c>
      <c r="T60" s="175"/>
      <c r="U60" s="175"/>
      <c r="V60" s="175"/>
      <c r="W60" s="175"/>
      <c r="X60" s="176"/>
    </row>
    <row r="61" spans="1:24" x14ac:dyDescent="0.3">
      <c r="A61" s="320" t="s">
        <v>1358</v>
      </c>
      <c r="B61" s="321"/>
      <c r="C61" s="321"/>
      <c r="D61" s="321"/>
      <c r="E61" s="321"/>
      <c r="F61" s="321"/>
      <c r="G61" s="321"/>
      <c r="H61" s="321"/>
      <c r="I61" s="321"/>
      <c r="J61" s="321"/>
      <c r="K61" s="321"/>
      <c r="L61" s="322"/>
      <c r="M61" s="323">
        <f>33.28+10.06+10.22+122.45+226.46+207.65-0.12</f>
        <v>610</v>
      </c>
      <c r="N61" s="175"/>
      <c r="O61" s="175"/>
      <c r="P61" s="175"/>
      <c r="Q61" s="175"/>
      <c r="R61" s="176"/>
      <c r="S61" s="323">
        <f>97.55+22.84+174.89+182.13+45.54+33.41-0.36+14</f>
        <v>569.99999999999989</v>
      </c>
      <c r="T61" s="175"/>
      <c r="U61" s="175"/>
      <c r="V61" s="175"/>
      <c r="W61" s="175"/>
      <c r="X61" s="176"/>
    </row>
    <row r="62" spans="1:24" ht="15" customHeight="1" x14ac:dyDescent="0.3">
      <c r="A62" s="320" t="s">
        <v>1359</v>
      </c>
      <c r="B62" s="321"/>
      <c r="C62" s="321"/>
      <c r="D62" s="321"/>
      <c r="E62" s="321"/>
      <c r="F62" s="321"/>
      <c r="G62" s="321"/>
      <c r="H62" s="321"/>
      <c r="I62" s="321"/>
      <c r="J62" s="321"/>
      <c r="K62" s="321"/>
      <c r="L62" s="322"/>
      <c r="M62" s="323">
        <v>40</v>
      </c>
      <c r="N62" s="175"/>
      <c r="O62" s="175"/>
      <c r="P62" s="175"/>
      <c r="Q62" s="175"/>
      <c r="R62" s="176"/>
      <c r="S62" s="323">
        <f>459.38+347.36+0.26</f>
        <v>807</v>
      </c>
      <c r="T62" s="175"/>
      <c r="U62" s="175"/>
      <c r="V62" s="175"/>
      <c r="W62" s="175"/>
      <c r="X62" s="176"/>
    </row>
    <row r="63" spans="1:24" x14ac:dyDescent="0.3">
      <c r="A63" s="250" t="s">
        <v>495</v>
      </c>
      <c r="B63" s="250"/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323"/>
      <c r="N63" s="175"/>
      <c r="O63" s="175"/>
      <c r="P63" s="175"/>
      <c r="Q63" s="175"/>
      <c r="R63" s="176"/>
      <c r="S63" s="323"/>
      <c r="T63" s="175"/>
      <c r="U63" s="175"/>
      <c r="V63" s="175"/>
      <c r="W63" s="175"/>
      <c r="X63" s="176"/>
    </row>
    <row r="64" spans="1:24" x14ac:dyDescent="0.3">
      <c r="A64" s="250"/>
      <c r="B64" s="250"/>
      <c r="C64" s="250"/>
      <c r="D64" s="250"/>
      <c r="E64" s="250"/>
      <c r="F64" s="250"/>
      <c r="G64" s="250"/>
      <c r="H64" s="250"/>
      <c r="I64" s="250"/>
      <c r="J64" s="250"/>
      <c r="K64" s="250"/>
      <c r="L64" s="250"/>
      <c r="M64" s="324"/>
      <c r="N64" s="324"/>
      <c r="O64" s="324"/>
      <c r="P64" s="324"/>
      <c r="Q64" s="324"/>
      <c r="R64" s="324"/>
      <c r="S64" s="324"/>
      <c r="T64" s="324"/>
      <c r="U64" s="324"/>
      <c r="V64" s="324"/>
      <c r="W64" s="324"/>
      <c r="X64" s="324"/>
    </row>
    <row r="65" spans="1:24" ht="15" customHeight="1" x14ac:dyDescent="0.3">
      <c r="A65" s="250"/>
      <c r="B65" s="250"/>
      <c r="C65" s="250"/>
      <c r="D65" s="250"/>
      <c r="E65" s="250"/>
      <c r="F65" s="250"/>
      <c r="G65" s="250"/>
      <c r="H65" s="250"/>
      <c r="I65" s="250"/>
      <c r="J65" s="250"/>
      <c r="K65" s="250"/>
      <c r="L65" s="250"/>
      <c r="M65" s="324"/>
      <c r="N65" s="324"/>
      <c r="O65" s="324"/>
      <c r="P65" s="324"/>
      <c r="Q65" s="324"/>
      <c r="R65" s="324"/>
      <c r="S65" s="324"/>
      <c r="T65" s="324"/>
      <c r="U65" s="324"/>
      <c r="V65" s="324"/>
      <c r="W65" s="324"/>
      <c r="X65" s="324"/>
    </row>
    <row r="66" spans="1:24" x14ac:dyDescent="0.3">
      <c r="A66" s="250" t="s">
        <v>1360</v>
      </c>
      <c r="B66" s="250"/>
      <c r="C66" s="250"/>
      <c r="D66" s="250"/>
      <c r="E66" s="250"/>
      <c r="F66" s="250"/>
      <c r="G66" s="250"/>
      <c r="H66" s="250"/>
      <c r="I66" s="250"/>
      <c r="J66" s="250"/>
      <c r="K66" s="250"/>
      <c r="L66" s="250"/>
      <c r="M66" s="319">
        <v>108</v>
      </c>
      <c r="N66" s="319"/>
      <c r="O66" s="319"/>
      <c r="P66" s="319"/>
      <c r="Q66" s="319"/>
      <c r="R66" s="319"/>
      <c r="S66" s="319">
        <v>122013</v>
      </c>
      <c r="T66" s="319"/>
      <c r="U66" s="319"/>
      <c r="V66" s="319"/>
      <c r="W66" s="319"/>
      <c r="X66" s="319"/>
    </row>
    <row r="67" spans="1:24" x14ac:dyDescent="0.3">
      <c r="A67" s="250" t="s">
        <v>1361</v>
      </c>
      <c r="B67" s="250"/>
      <c r="C67" s="250"/>
      <c r="D67" s="250"/>
      <c r="E67" s="250"/>
      <c r="F67" s="250"/>
      <c r="G67" s="250"/>
      <c r="H67" s="250"/>
      <c r="I67" s="250"/>
      <c r="J67" s="250"/>
      <c r="K67" s="250"/>
      <c r="L67" s="250"/>
      <c r="M67" s="319">
        <v>108</v>
      </c>
      <c r="N67" s="319"/>
      <c r="O67" s="319"/>
      <c r="P67" s="319"/>
      <c r="Q67" s="319"/>
      <c r="R67" s="319"/>
      <c r="S67" s="319">
        <v>1476</v>
      </c>
      <c r="T67" s="319"/>
      <c r="U67" s="319"/>
      <c r="V67" s="319"/>
      <c r="W67" s="319"/>
      <c r="X67" s="319"/>
    </row>
    <row r="68" spans="1:24" x14ac:dyDescent="0.3">
      <c r="A68" s="250" t="s">
        <v>1362</v>
      </c>
      <c r="B68" s="250"/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319"/>
      <c r="N68" s="319"/>
      <c r="O68" s="319"/>
      <c r="P68" s="319"/>
      <c r="Q68" s="319"/>
      <c r="R68" s="319"/>
      <c r="S68" s="319">
        <v>10379</v>
      </c>
      <c r="T68" s="319"/>
      <c r="U68" s="319"/>
      <c r="V68" s="319"/>
      <c r="W68" s="319"/>
      <c r="X68" s="319"/>
    </row>
    <row r="69" spans="1:24" s="11" customFormat="1" x14ac:dyDescent="0.3">
      <c r="A69" s="250" t="s">
        <v>1363</v>
      </c>
      <c r="B69" s="250"/>
      <c r="C69" s="250"/>
      <c r="D69" s="250"/>
      <c r="E69" s="250"/>
      <c r="F69" s="250"/>
      <c r="G69" s="250"/>
      <c r="H69" s="250"/>
      <c r="I69" s="250"/>
      <c r="J69" s="250"/>
      <c r="K69" s="250"/>
      <c r="L69" s="250"/>
      <c r="M69" s="319"/>
      <c r="N69" s="319"/>
      <c r="O69" s="319"/>
      <c r="P69" s="319"/>
      <c r="Q69" s="319"/>
      <c r="R69" s="319"/>
      <c r="S69" s="319">
        <v>107433</v>
      </c>
      <c r="T69" s="319"/>
      <c r="U69" s="319"/>
      <c r="V69" s="319"/>
      <c r="W69" s="319"/>
      <c r="X69" s="319"/>
    </row>
    <row r="70" spans="1:24" s="11" customFormat="1" x14ac:dyDescent="0.3">
      <c r="A70" s="250" t="s">
        <v>1364</v>
      </c>
      <c r="B70" s="250"/>
      <c r="C70" s="250"/>
      <c r="D70" s="250"/>
      <c r="E70" s="250"/>
      <c r="F70" s="250"/>
      <c r="G70" s="250"/>
      <c r="H70" s="250"/>
      <c r="I70" s="250"/>
      <c r="J70" s="250"/>
      <c r="K70" s="250"/>
      <c r="L70" s="250"/>
      <c r="M70" s="319"/>
      <c r="N70" s="319"/>
      <c r="O70" s="319"/>
      <c r="P70" s="319"/>
      <c r="Q70" s="319"/>
      <c r="R70" s="319"/>
      <c r="S70" s="319">
        <v>2245</v>
      </c>
      <c r="T70" s="319"/>
      <c r="U70" s="319"/>
      <c r="V70" s="319"/>
      <c r="W70" s="319"/>
      <c r="X70" s="319"/>
    </row>
    <row r="71" spans="1:24" ht="15.75" customHeight="1" x14ac:dyDescent="0.3">
      <c r="A71" s="250" t="s">
        <v>1365</v>
      </c>
      <c r="B71" s="250"/>
      <c r="C71" s="250"/>
      <c r="D71" s="250"/>
      <c r="E71" s="250"/>
      <c r="F71" s="250"/>
      <c r="G71" s="250"/>
      <c r="H71" s="250"/>
      <c r="I71" s="250"/>
      <c r="J71" s="250"/>
      <c r="K71" s="250"/>
      <c r="L71" s="250"/>
      <c r="M71" s="319"/>
      <c r="N71" s="319"/>
      <c r="O71" s="319"/>
      <c r="P71" s="319"/>
      <c r="Q71" s="319"/>
      <c r="R71" s="319"/>
      <c r="S71" s="319">
        <v>480</v>
      </c>
      <c r="T71" s="319"/>
      <c r="U71" s="319"/>
      <c r="V71" s="319"/>
      <c r="W71" s="319"/>
      <c r="X71" s="319"/>
    </row>
    <row r="72" spans="1:24" s="86" customFormat="1" ht="15.75" customHeight="1" x14ac:dyDescent="0.3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</row>
    <row r="73" spans="1:24" ht="15.6" x14ac:dyDescent="0.3">
      <c r="A73" s="167" t="s">
        <v>425</v>
      </c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</row>
    <row r="74" spans="1:24" s="11" customFormat="1" ht="30" customHeight="1" x14ac:dyDescent="0.3">
      <c r="A74" s="228" t="s">
        <v>375</v>
      </c>
      <c r="B74" s="228"/>
      <c r="C74" s="228"/>
      <c r="D74" s="228"/>
      <c r="E74" s="228"/>
      <c r="F74" s="228"/>
      <c r="G74" s="228" t="s">
        <v>405</v>
      </c>
      <c r="H74" s="228"/>
      <c r="I74" s="228"/>
      <c r="J74" s="228"/>
      <c r="K74" s="228"/>
      <c r="L74" s="228"/>
      <c r="M74" s="228"/>
      <c r="N74" s="228"/>
      <c r="O74" s="228"/>
      <c r="P74" s="228" t="s">
        <v>430</v>
      </c>
      <c r="Q74" s="228"/>
      <c r="R74" s="228"/>
      <c r="S74" s="228"/>
      <c r="T74" s="228"/>
      <c r="U74" s="228"/>
      <c r="V74" s="228"/>
      <c r="W74" s="228"/>
      <c r="X74" s="228"/>
    </row>
    <row r="75" spans="1:24" x14ac:dyDescent="0.3">
      <c r="A75" s="228"/>
      <c r="B75" s="228"/>
      <c r="C75" s="228"/>
      <c r="D75" s="228"/>
      <c r="E75" s="228"/>
      <c r="F75" s="228"/>
      <c r="G75" s="228" t="s">
        <v>287</v>
      </c>
      <c r="H75" s="228"/>
      <c r="I75" s="228"/>
      <c r="J75" s="228"/>
      <c r="K75" s="228"/>
      <c r="L75" s="228"/>
      <c r="M75" s="228"/>
      <c r="N75" s="228"/>
      <c r="O75" s="228"/>
      <c r="P75" s="228" t="s">
        <v>287</v>
      </c>
      <c r="Q75" s="228"/>
      <c r="R75" s="228"/>
      <c r="S75" s="228"/>
      <c r="T75" s="228"/>
      <c r="U75" s="228"/>
      <c r="V75" s="228"/>
      <c r="W75" s="228"/>
      <c r="X75" s="228"/>
    </row>
    <row r="76" spans="1:24" ht="50.1" customHeight="1" x14ac:dyDescent="0.3">
      <c r="A76" s="228"/>
      <c r="B76" s="228"/>
      <c r="C76" s="228"/>
      <c r="D76" s="228"/>
      <c r="E76" s="228"/>
      <c r="F76" s="228"/>
      <c r="G76" s="228" t="s">
        <v>868</v>
      </c>
      <c r="H76" s="228"/>
      <c r="I76" s="228"/>
      <c r="J76" s="228" t="s">
        <v>1278</v>
      </c>
      <c r="K76" s="228"/>
      <c r="L76" s="228"/>
      <c r="M76" s="228" t="s">
        <v>340</v>
      </c>
      <c r="N76" s="228"/>
      <c r="O76" s="228"/>
      <c r="P76" s="228" t="s">
        <v>868</v>
      </c>
      <c r="Q76" s="228"/>
      <c r="R76" s="228"/>
      <c r="S76" s="228" t="s">
        <v>1278</v>
      </c>
      <c r="T76" s="228"/>
      <c r="U76" s="228"/>
      <c r="V76" s="228" t="s">
        <v>868</v>
      </c>
      <c r="W76" s="228"/>
      <c r="X76" s="228"/>
    </row>
    <row r="77" spans="1:24" x14ac:dyDescent="0.3">
      <c r="A77" s="339" t="s">
        <v>1001</v>
      </c>
      <c r="B77" s="339"/>
      <c r="C77" s="339"/>
      <c r="D77" s="339"/>
      <c r="E77" s="339"/>
      <c r="F77" s="339"/>
      <c r="G77" s="339" t="s">
        <v>28</v>
      </c>
      <c r="H77" s="339"/>
      <c r="I77" s="339"/>
      <c r="J77" s="339" t="s">
        <v>788</v>
      </c>
      <c r="K77" s="339"/>
      <c r="L77" s="339"/>
      <c r="M77" s="339" t="s">
        <v>296</v>
      </c>
      <c r="N77" s="339"/>
      <c r="O77" s="339"/>
      <c r="P77" s="345" t="s">
        <v>889</v>
      </c>
      <c r="Q77" s="345"/>
      <c r="R77" s="345"/>
      <c r="S77" s="345" t="s">
        <v>191</v>
      </c>
      <c r="T77" s="345"/>
      <c r="U77" s="345"/>
      <c r="V77" s="345" t="s">
        <v>747</v>
      </c>
      <c r="W77" s="345"/>
      <c r="X77" s="345"/>
    </row>
    <row r="78" spans="1:24" x14ac:dyDescent="0.3">
      <c r="A78" s="340" t="s">
        <v>547</v>
      </c>
      <c r="B78" s="340"/>
      <c r="C78" s="340"/>
      <c r="D78" s="340"/>
      <c r="E78" s="340"/>
      <c r="F78" s="340"/>
      <c r="G78" s="342"/>
      <c r="H78" s="342"/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</row>
    <row r="79" spans="1:24" x14ac:dyDescent="0.3">
      <c r="A79" s="267" t="s">
        <v>943</v>
      </c>
      <c r="B79" s="267"/>
      <c r="C79" s="267"/>
      <c r="D79" s="267"/>
      <c r="E79" s="267"/>
      <c r="F79" s="267"/>
      <c r="G79" s="343"/>
      <c r="H79" s="343"/>
      <c r="I79" s="343"/>
      <c r="J79" s="343"/>
      <c r="K79" s="343"/>
      <c r="L79" s="343"/>
      <c r="M79" s="343"/>
      <c r="N79" s="343"/>
      <c r="O79" s="343"/>
      <c r="P79" s="343"/>
      <c r="Q79" s="343"/>
      <c r="R79" s="343"/>
      <c r="S79" s="343"/>
      <c r="T79" s="343"/>
      <c r="U79" s="343"/>
      <c r="V79" s="343"/>
      <c r="W79" s="343"/>
      <c r="X79" s="343"/>
    </row>
    <row r="80" spans="1:24" x14ac:dyDescent="0.3">
      <c r="A80" s="341" t="s">
        <v>518</v>
      </c>
      <c r="B80" s="341"/>
      <c r="C80" s="341"/>
      <c r="D80" s="341"/>
      <c r="E80" s="341"/>
      <c r="F80" s="341"/>
      <c r="G80" s="344">
        <f>SUM(G78:I79)</f>
        <v>0</v>
      </c>
      <c r="H80" s="344"/>
      <c r="I80" s="344"/>
      <c r="J80" s="344">
        <f>SUM(J78:L79)</f>
        <v>0</v>
      </c>
      <c r="K80" s="344"/>
      <c r="L80" s="344"/>
      <c r="M80" s="344">
        <f>SUM(M78:O79)</f>
        <v>0</v>
      </c>
      <c r="N80" s="344"/>
      <c r="O80" s="344"/>
      <c r="P80" s="344">
        <f>SUM(P78:R79)</f>
        <v>0</v>
      </c>
      <c r="Q80" s="344"/>
      <c r="R80" s="344"/>
      <c r="S80" s="344">
        <f>SUM(S78:U79)</f>
        <v>0</v>
      </c>
      <c r="T80" s="344"/>
      <c r="U80" s="344"/>
      <c r="V80" s="344">
        <f>SUM(V78:X79)</f>
        <v>0</v>
      </c>
      <c r="W80" s="344"/>
      <c r="X80" s="344"/>
    </row>
  </sheetData>
  <mergeCells count="222">
    <mergeCell ref="A48:F48"/>
    <mergeCell ref="A49:F49"/>
    <mergeCell ref="S48:X48"/>
    <mergeCell ref="S47:X47"/>
    <mergeCell ref="M50:R50"/>
    <mergeCell ref="S50:X50"/>
    <mergeCell ref="A53:X53"/>
    <mergeCell ref="A50:F50"/>
    <mergeCell ref="S51:X51"/>
    <mergeCell ref="M78:O78"/>
    <mergeCell ref="I26:L26"/>
    <mergeCell ref="M26:P26"/>
    <mergeCell ref="S49:X49"/>
    <mergeCell ref="Q39:X39"/>
    <mergeCell ref="A38:P38"/>
    <mergeCell ref="A39:P39"/>
    <mergeCell ref="S45:X45"/>
    <mergeCell ref="S46:X46"/>
    <mergeCell ref="U27:X27"/>
    <mergeCell ref="U28:X28"/>
    <mergeCell ref="M49:R49"/>
    <mergeCell ref="G46:L46"/>
    <mergeCell ref="M45:R45"/>
    <mergeCell ref="M46:R46"/>
    <mergeCell ref="M47:R47"/>
    <mergeCell ref="M48:R48"/>
    <mergeCell ref="A46:F46"/>
    <mergeCell ref="G45:L45"/>
    <mergeCell ref="A45:F45"/>
    <mergeCell ref="A37:P37"/>
    <mergeCell ref="I29:L29"/>
    <mergeCell ref="E29:H29"/>
    <mergeCell ref="A47:F47"/>
    <mergeCell ref="A29:D29"/>
    <mergeCell ref="A43:X43"/>
    <mergeCell ref="Q37:X37"/>
    <mergeCell ref="Q38:X38"/>
    <mergeCell ref="U29:X29"/>
    <mergeCell ref="M29:P29"/>
    <mergeCell ref="U34:X34"/>
    <mergeCell ref="A35:X35"/>
    <mergeCell ref="Q29:T29"/>
    <mergeCell ref="Q34:T34"/>
    <mergeCell ref="M79:O79"/>
    <mergeCell ref="M80:O80"/>
    <mergeCell ref="J77:L77"/>
    <mergeCell ref="J78:L78"/>
    <mergeCell ref="J79:L79"/>
    <mergeCell ref="J80:L80"/>
    <mergeCell ref="P74:X74"/>
    <mergeCell ref="S77:U77"/>
    <mergeCell ref="S78:U78"/>
    <mergeCell ref="S79:U79"/>
    <mergeCell ref="S80:U80"/>
    <mergeCell ref="V77:X77"/>
    <mergeCell ref="V76:X76"/>
    <mergeCell ref="S76:U76"/>
    <mergeCell ref="P76:R76"/>
    <mergeCell ref="V78:X78"/>
    <mergeCell ref="V79:X79"/>
    <mergeCell ref="V80:X80"/>
    <mergeCell ref="P75:X75"/>
    <mergeCell ref="P77:R77"/>
    <mergeCell ref="P78:R78"/>
    <mergeCell ref="P79:R79"/>
    <mergeCell ref="P80:R80"/>
    <mergeCell ref="M77:O77"/>
    <mergeCell ref="A77:F77"/>
    <mergeCell ref="A78:F78"/>
    <mergeCell ref="A79:F79"/>
    <mergeCell ref="A80:F80"/>
    <mergeCell ref="G77:I77"/>
    <mergeCell ref="G78:I78"/>
    <mergeCell ref="G79:I79"/>
    <mergeCell ref="G80:I80"/>
    <mergeCell ref="A74:F76"/>
    <mergeCell ref="A2:X2"/>
    <mergeCell ref="A11:X11"/>
    <mergeCell ref="A23:X23"/>
    <mergeCell ref="G49:L49"/>
    <mergeCell ref="G50:L50"/>
    <mergeCell ref="G47:L47"/>
    <mergeCell ref="G48:L48"/>
    <mergeCell ref="M76:O76"/>
    <mergeCell ref="J76:L76"/>
    <mergeCell ref="G76:I76"/>
    <mergeCell ref="Q4:X4"/>
    <mergeCell ref="Q5:X5"/>
    <mergeCell ref="U26:X26"/>
    <mergeCell ref="A66:L66"/>
    <mergeCell ref="A67:L67"/>
    <mergeCell ref="A64:L64"/>
    <mergeCell ref="G74:O74"/>
    <mergeCell ref="G75:O75"/>
    <mergeCell ref="A61:L61"/>
    <mergeCell ref="G51:L51"/>
    <mergeCell ref="A51:F51"/>
    <mergeCell ref="A21:H21"/>
    <mergeCell ref="I28:L28"/>
    <mergeCell ref="M51:R51"/>
    <mergeCell ref="Q6:X6"/>
    <mergeCell ref="Q7:X7"/>
    <mergeCell ref="Q8:X8"/>
    <mergeCell ref="Q9:X9"/>
    <mergeCell ref="U14:X14"/>
    <mergeCell ref="Q14:T14"/>
    <mergeCell ref="A65:L65"/>
    <mergeCell ref="A62:L62"/>
    <mergeCell ref="A63:L63"/>
    <mergeCell ref="E28:H28"/>
    <mergeCell ref="A28:D28"/>
    <mergeCell ref="I27:L27"/>
    <mergeCell ref="E27:H27"/>
    <mergeCell ref="I21:L21"/>
    <mergeCell ref="M27:P27"/>
    <mergeCell ref="M28:P28"/>
    <mergeCell ref="E26:H26"/>
    <mergeCell ref="A26:D26"/>
    <mergeCell ref="E25:H25"/>
    <mergeCell ref="A25:D25"/>
    <mergeCell ref="A27:D27"/>
    <mergeCell ref="Q26:T26"/>
    <mergeCell ref="Q27:T27"/>
    <mergeCell ref="Q28:T28"/>
    <mergeCell ref="I4:P4"/>
    <mergeCell ref="A4:H4"/>
    <mergeCell ref="A5:H5"/>
    <mergeCell ref="A6:H6"/>
    <mergeCell ref="A7:H7"/>
    <mergeCell ref="A8:H8"/>
    <mergeCell ref="I5:P5"/>
    <mergeCell ref="A13:H14"/>
    <mergeCell ref="A9:H9"/>
    <mergeCell ref="I6:P6"/>
    <mergeCell ref="I7:P7"/>
    <mergeCell ref="I8:P8"/>
    <mergeCell ref="I9:P9"/>
    <mergeCell ref="A55:L55"/>
    <mergeCell ref="A56:L56"/>
    <mergeCell ref="A57:L57"/>
    <mergeCell ref="U18:X18"/>
    <mergeCell ref="M19:P19"/>
    <mergeCell ref="U19:X19"/>
    <mergeCell ref="I13:X13"/>
    <mergeCell ref="I14:L14"/>
    <mergeCell ref="M21:P21"/>
    <mergeCell ref="Q16:T16"/>
    <mergeCell ref="Q17:T17"/>
    <mergeCell ref="U25:X25"/>
    <mergeCell ref="Q25:T25"/>
    <mergeCell ref="M25:P25"/>
    <mergeCell ref="I25:L25"/>
    <mergeCell ref="U15:X15"/>
    <mergeCell ref="Q15:T15"/>
    <mergeCell ref="M15:P15"/>
    <mergeCell ref="M16:P16"/>
    <mergeCell ref="U16:X16"/>
    <mergeCell ref="U17:X17"/>
    <mergeCell ref="M14:P14"/>
    <mergeCell ref="I15:L15"/>
    <mergeCell ref="I16:L16"/>
    <mergeCell ref="Q20:T20"/>
    <mergeCell ref="Q21:T21"/>
    <mergeCell ref="M17:P17"/>
    <mergeCell ref="M18:P18"/>
    <mergeCell ref="Q18:T18"/>
    <mergeCell ref="Q19:T19"/>
    <mergeCell ref="M20:P20"/>
    <mergeCell ref="U20:X20"/>
    <mergeCell ref="U21:X21"/>
    <mergeCell ref="I18:L18"/>
    <mergeCell ref="A15:H15"/>
    <mergeCell ref="A16:H16"/>
    <mergeCell ref="A17:H17"/>
    <mergeCell ref="A18:H18"/>
    <mergeCell ref="A19:H19"/>
    <mergeCell ref="A20:H20"/>
    <mergeCell ref="I19:L19"/>
    <mergeCell ref="I20:L20"/>
    <mergeCell ref="I17:L17"/>
    <mergeCell ref="S64:X64"/>
    <mergeCell ref="S65:X65"/>
    <mergeCell ref="S66:X66"/>
    <mergeCell ref="S67:X67"/>
    <mergeCell ref="M55:R55"/>
    <mergeCell ref="M56:R56"/>
    <mergeCell ref="M57:R57"/>
    <mergeCell ref="M58:R58"/>
    <mergeCell ref="M59:R59"/>
    <mergeCell ref="M60:R60"/>
    <mergeCell ref="S58:X58"/>
    <mergeCell ref="S59:X59"/>
    <mergeCell ref="S60:X60"/>
    <mergeCell ref="S61:X61"/>
    <mergeCell ref="S62:X62"/>
    <mergeCell ref="S63:X63"/>
    <mergeCell ref="M67:R67"/>
    <mergeCell ref="S55:X55"/>
    <mergeCell ref="S56:X56"/>
    <mergeCell ref="S57:X57"/>
    <mergeCell ref="A58:L58"/>
    <mergeCell ref="A59:L59"/>
    <mergeCell ref="A60:L60"/>
    <mergeCell ref="M61:R61"/>
    <mergeCell ref="M62:R62"/>
    <mergeCell ref="M63:R63"/>
    <mergeCell ref="M64:R64"/>
    <mergeCell ref="M65:R65"/>
    <mergeCell ref="M66:R66"/>
    <mergeCell ref="A71:L71"/>
    <mergeCell ref="M71:R71"/>
    <mergeCell ref="S71:X71"/>
    <mergeCell ref="A73:X73"/>
    <mergeCell ref="A68:L68"/>
    <mergeCell ref="M68:R68"/>
    <mergeCell ref="S68:X68"/>
    <mergeCell ref="A69:L69"/>
    <mergeCell ref="M69:R69"/>
    <mergeCell ref="S69:X69"/>
    <mergeCell ref="A70:L70"/>
    <mergeCell ref="M70:R70"/>
    <mergeCell ref="S70:X70"/>
  </mergeCells>
  <pageMargins left="0.7" right="0.7" top="0.75" bottom="0.75" header="0.3" footer="0.3"/>
  <pageSetup paperSize="9" scale="97" orientation="portrait" r:id="rId1"/>
  <rowBreaks count="2" manualBreakCount="2">
    <brk id="34" max="23" man="1"/>
    <brk id="7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86"/>
  <sheetViews>
    <sheetView topLeftCell="A61" zoomScaleNormal="100" workbookViewId="0">
      <selection activeCell="T74" sqref="T74"/>
    </sheetView>
  </sheetViews>
  <sheetFormatPr defaultRowHeight="14.4" x14ac:dyDescent="0.3"/>
  <cols>
    <col min="1" max="14" width="6" customWidth="1"/>
  </cols>
  <sheetData>
    <row r="1" spans="1:24" x14ac:dyDescent="0.3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4" s="11" customFormat="1" ht="15.75" customHeight="1" x14ac:dyDescent="0.35">
      <c r="A2" s="400" t="s">
        <v>365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</row>
    <row r="3" spans="1:24" s="11" customFormat="1" x14ac:dyDescent="0.3"/>
    <row r="4" spans="1:24" ht="15.75" customHeight="1" x14ac:dyDescent="0.3">
      <c r="A4" s="355" t="s">
        <v>1040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46"/>
      <c r="P4" s="46"/>
      <c r="Q4" s="46"/>
      <c r="R4" s="46"/>
      <c r="S4" s="46"/>
      <c r="T4" s="46"/>
      <c r="U4" s="46"/>
      <c r="V4" s="46"/>
      <c r="W4" s="46"/>
      <c r="X4" s="46"/>
    </row>
    <row r="6" spans="1:24" ht="39.9" customHeight="1" x14ac:dyDescent="0.3">
      <c r="A6" s="247" t="s">
        <v>375</v>
      </c>
      <c r="B6" s="247"/>
      <c r="C6" s="247"/>
      <c r="D6" s="247"/>
      <c r="E6" s="247"/>
      <c r="F6" s="247"/>
      <c r="G6" s="247"/>
      <c r="H6" s="247"/>
      <c r="I6" s="247" t="s">
        <v>405</v>
      </c>
      <c r="J6" s="247"/>
      <c r="K6" s="247"/>
      <c r="L6" s="247" t="s">
        <v>430</v>
      </c>
      <c r="M6" s="247"/>
      <c r="N6" s="247"/>
    </row>
    <row r="7" spans="1:24" x14ac:dyDescent="0.3">
      <c r="A7" s="359" t="s">
        <v>576</v>
      </c>
      <c r="B7" s="359"/>
      <c r="C7" s="359"/>
      <c r="D7" s="359"/>
      <c r="E7" s="359"/>
      <c r="F7" s="359"/>
      <c r="G7" s="359"/>
      <c r="H7" s="359"/>
      <c r="I7" s="398">
        <v>4800000</v>
      </c>
      <c r="J7" s="398"/>
      <c r="K7" s="398"/>
      <c r="L7" s="398">
        <v>3800000</v>
      </c>
      <c r="M7" s="399"/>
      <c r="N7" s="399"/>
    </row>
    <row r="8" spans="1:24" x14ac:dyDescent="0.3">
      <c r="A8" s="356" t="s">
        <v>320</v>
      </c>
      <c r="B8" s="356"/>
      <c r="C8" s="356"/>
      <c r="D8" s="356"/>
      <c r="E8" s="356"/>
      <c r="F8" s="356"/>
      <c r="G8" s="356"/>
      <c r="H8" s="356"/>
      <c r="I8" s="397"/>
      <c r="J8" s="397"/>
      <c r="K8" s="397"/>
      <c r="L8" s="233"/>
      <c r="M8" s="233"/>
      <c r="N8" s="233"/>
    </row>
    <row r="9" spans="1:24" x14ac:dyDescent="0.3">
      <c r="A9" s="356" t="s">
        <v>659</v>
      </c>
      <c r="B9" s="356"/>
      <c r="C9" s="356"/>
      <c r="D9" s="356"/>
      <c r="E9" s="356"/>
      <c r="F9" s="356"/>
      <c r="G9" s="356"/>
      <c r="H9" s="356"/>
      <c r="I9" s="397"/>
      <c r="J9" s="397"/>
      <c r="K9" s="397"/>
      <c r="L9" s="233"/>
      <c r="M9" s="233"/>
      <c r="N9" s="233"/>
    </row>
    <row r="10" spans="1:24" ht="24.9" customHeight="1" x14ac:dyDescent="0.3">
      <c r="A10" s="356" t="s">
        <v>882</v>
      </c>
      <c r="B10" s="356"/>
      <c r="C10" s="356"/>
      <c r="D10" s="356"/>
      <c r="E10" s="356"/>
      <c r="F10" s="356"/>
      <c r="G10" s="356"/>
      <c r="H10" s="356"/>
      <c r="I10" s="397">
        <v>4800000</v>
      </c>
      <c r="J10" s="397"/>
      <c r="K10" s="397"/>
      <c r="L10" s="397">
        <v>3800000</v>
      </c>
      <c r="M10" s="233"/>
      <c r="N10" s="233"/>
    </row>
    <row r="11" spans="1:24" x14ac:dyDescent="0.3">
      <c r="A11" s="356" t="s">
        <v>37</v>
      </c>
      <c r="B11" s="356"/>
      <c r="C11" s="356"/>
      <c r="D11" s="356"/>
      <c r="E11" s="356"/>
      <c r="F11" s="356"/>
      <c r="G11" s="356"/>
      <c r="H11" s="356"/>
      <c r="I11" s="397"/>
      <c r="J11" s="397"/>
      <c r="K11" s="397"/>
      <c r="L11" s="233"/>
      <c r="M11" s="233"/>
      <c r="N11" s="233"/>
    </row>
    <row r="12" spans="1:24" x14ac:dyDescent="0.3">
      <c r="A12" s="356" t="s">
        <v>37</v>
      </c>
      <c r="B12" s="356"/>
      <c r="C12" s="356"/>
      <c r="D12" s="356"/>
      <c r="E12" s="356"/>
      <c r="F12" s="356"/>
      <c r="G12" s="356"/>
      <c r="H12" s="356"/>
      <c r="I12" s="397"/>
      <c r="J12" s="397"/>
      <c r="K12" s="397"/>
      <c r="L12" s="233"/>
      <c r="M12" s="233"/>
      <c r="N12" s="233"/>
    </row>
    <row r="13" spans="1:24" x14ac:dyDescent="0.3">
      <c r="A13" s="356" t="s">
        <v>691</v>
      </c>
      <c r="B13" s="356"/>
      <c r="C13" s="356"/>
      <c r="D13" s="356"/>
      <c r="E13" s="356"/>
      <c r="F13" s="356"/>
      <c r="G13" s="356"/>
      <c r="H13" s="356"/>
      <c r="I13" s="397"/>
      <c r="J13" s="397"/>
      <c r="K13" s="397"/>
      <c r="L13" s="233"/>
      <c r="M13" s="233"/>
      <c r="N13" s="233"/>
    </row>
    <row r="14" spans="1:24" x14ac:dyDescent="0.3">
      <c r="A14" s="356" t="s">
        <v>494</v>
      </c>
      <c r="B14" s="356"/>
      <c r="C14" s="356"/>
      <c r="D14" s="356"/>
      <c r="E14" s="356"/>
      <c r="F14" s="356"/>
      <c r="G14" s="356"/>
      <c r="H14" s="356"/>
      <c r="I14" s="397"/>
      <c r="J14" s="397"/>
      <c r="K14" s="397"/>
      <c r="L14" s="233"/>
      <c r="M14" s="233"/>
      <c r="N14" s="233"/>
    </row>
    <row r="15" spans="1:24" x14ac:dyDescent="0.3">
      <c r="A15" s="356" t="s">
        <v>460</v>
      </c>
      <c r="B15" s="356"/>
      <c r="C15" s="356"/>
      <c r="D15" s="356"/>
      <c r="E15" s="356"/>
      <c r="F15" s="356"/>
      <c r="G15" s="356"/>
      <c r="H15" s="356"/>
      <c r="I15" s="397">
        <v>4800000</v>
      </c>
      <c r="J15" s="397"/>
      <c r="K15" s="397"/>
      <c r="L15" s="397">
        <v>3800000</v>
      </c>
      <c r="M15" s="233"/>
      <c r="N15" s="233"/>
    </row>
    <row r="16" spans="1:24" ht="39.9" customHeight="1" x14ac:dyDescent="0.3">
      <c r="A16" s="356" t="s">
        <v>49</v>
      </c>
      <c r="B16" s="356"/>
      <c r="C16" s="356"/>
      <c r="D16" s="356"/>
      <c r="E16" s="356"/>
      <c r="F16" s="356"/>
      <c r="G16" s="356"/>
      <c r="H16" s="356"/>
      <c r="I16" s="397"/>
      <c r="J16" s="397"/>
      <c r="K16" s="397"/>
      <c r="L16" s="233"/>
      <c r="M16" s="233"/>
      <c r="N16" s="233"/>
    </row>
    <row r="18" spans="1:14" ht="15.6" x14ac:dyDescent="0.3">
      <c r="A18" s="355" t="s">
        <v>658</v>
      </c>
      <c r="B18" s="355"/>
      <c r="C18" s="355"/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55"/>
    </row>
    <row r="19" spans="1:14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5.75" customHeight="1" x14ac:dyDescent="0.3">
      <c r="A20" s="247" t="s">
        <v>375</v>
      </c>
      <c r="B20" s="247"/>
      <c r="C20" s="247"/>
      <c r="D20" s="247"/>
      <c r="E20" s="247"/>
      <c r="F20" s="247"/>
      <c r="G20" s="247"/>
      <c r="H20" s="247"/>
      <c r="I20" s="361" t="s">
        <v>430</v>
      </c>
      <c r="J20" s="362"/>
      <c r="K20" s="362"/>
      <c r="L20" s="362"/>
      <c r="M20" s="362"/>
      <c r="N20" s="363"/>
    </row>
    <row r="21" spans="1:14" x14ac:dyDescent="0.3">
      <c r="A21" s="386" t="s">
        <v>207</v>
      </c>
      <c r="B21" s="386"/>
      <c r="C21" s="386"/>
      <c r="D21" s="386"/>
      <c r="E21" s="386"/>
      <c r="F21" s="386"/>
      <c r="G21" s="386"/>
      <c r="H21" s="386"/>
      <c r="I21" s="364"/>
      <c r="J21" s="365"/>
      <c r="K21" s="365"/>
      <c r="L21" s="365"/>
      <c r="M21" s="365"/>
      <c r="N21" s="366"/>
    </row>
    <row r="22" spans="1:14" x14ac:dyDescent="0.3">
      <c r="A22" s="382" t="s">
        <v>762</v>
      </c>
      <c r="B22" s="382"/>
      <c r="C22" s="382"/>
      <c r="D22" s="382"/>
      <c r="E22" s="382"/>
      <c r="F22" s="382"/>
      <c r="G22" s="382"/>
      <c r="H22" s="382"/>
      <c r="I22" s="367" t="s">
        <v>405</v>
      </c>
      <c r="J22" s="368"/>
      <c r="K22" s="368"/>
      <c r="L22" s="368"/>
      <c r="M22" s="368"/>
      <c r="N22" s="369"/>
    </row>
    <row r="23" spans="1:14" x14ac:dyDescent="0.3">
      <c r="A23" s="390" t="s">
        <v>83</v>
      </c>
      <c r="B23" s="390"/>
      <c r="C23" s="390"/>
      <c r="D23" s="390"/>
      <c r="E23" s="390"/>
      <c r="F23" s="390"/>
      <c r="G23" s="390"/>
      <c r="H23" s="390"/>
      <c r="I23" s="370"/>
      <c r="J23" s="371"/>
      <c r="K23" s="371"/>
      <c r="L23" s="371"/>
      <c r="M23" s="371"/>
      <c r="N23" s="372"/>
    </row>
    <row r="24" spans="1:14" x14ac:dyDescent="0.3">
      <c r="A24" s="356" t="s">
        <v>649</v>
      </c>
      <c r="B24" s="356"/>
      <c r="C24" s="356"/>
      <c r="D24" s="356"/>
      <c r="E24" s="356"/>
      <c r="F24" s="356"/>
      <c r="G24" s="356"/>
      <c r="H24" s="356"/>
      <c r="I24" s="373"/>
      <c r="J24" s="374"/>
      <c r="K24" s="374"/>
      <c r="L24" s="374"/>
      <c r="M24" s="374"/>
      <c r="N24" s="375"/>
    </row>
    <row r="25" spans="1:14" x14ac:dyDescent="0.3">
      <c r="A25" s="356" t="s">
        <v>1141</v>
      </c>
      <c r="B25" s="356"/>
      <c r="C25" s="356"/>
      <c r="D25" s="356"/>
      <c r="E25" s="356"/>
      <c r="F25" s="356"/>
      <c r="G25" s="356"/>
      <c r="H25" s="356"/>
      <c r="I25" s="373"/>
      <c r="J25" s="374"/>
      <c r="K25" s="374"/>
      <c r="L25" s="374"/>
      <c r="M25" s="374"/>
      <c r="N25" s="375"/>
    </row>
    <row r="26" spans="1:14" x14ac:dyDescent="0.3">
      <c r="A26" s="356" t="s">
        <v>612</v>
      </c>
      <c r="B26" s="356"/>
      <c r="C26" s="356"/>
      <c r="D26" s="356"/>
      <c r="E26" s="356"/>
      <c r="F26" s="356"/>
      <c r="G26" s="356"/>
      <c r="H26" s="356"/>
      <c r="I26" s="373"/>
      <c r="J26" s="374"/>
      <c r="K26" s="374"/>
      <c r="L26" s="374"/>
      <c r="M26" s="374"/>
      <c r="N26" s="375"/>
    </row>
    <row r="27" spans="1:14" x14ac:dyDescent="0.3">
      <c r="A27" s="356" t="s">
        <v>1184</v>
      </c>
      <c r="B27" s="356"/>
      <c r="C27" s="356"/>
      <c r="D27" s="356"/>
      <c r="E27" s="356"/>
      <c r="F27" s="356"/>
      <c r="G27" s="356"/>
      <c r="H27" s="356"/>
      <c r="I27" s="373"/>
      <c r="J27" s="374"/>
      <c r="K27" s="374"/>
      <c r="L27" s="374"/>
      <c r="M27" s="374"/>
      <c r="N27" s="375"/>
    </row>
    <row r="28" spans="1:14" x14ac:dyDescent="0.3">
      <c r="A28" s="356" t="s">
        <v>32</v>
      </c>
      <c r="B28" s="356"/>
      <c r="C28" s="356"/>
      <c r="D28" s="356"/>
      <c r="E28" s="356"/>
      <c r="F28" s="356"/>
      <c r="G28" s="356"/>
      <c r="H28" s="356"/>
      <c r="I28" s="373"/>
      <c r="J28" s="374"/>
      <c r="K28" s="374"/>
      <c r="L28" s="374"/>
      <c r="M28" s="374"/>
      <c r="N28" s="375"/>
    </row>
    <row r="29" spans="1:14" x14ac:dyDescent="0.3">
      <c r="A29" s="356" t="s">
        <v>1170</v>
      </c>
      <c r="B29" s="356"/>
      <c r="C29" s="356"/>
      <c r="D29" s="356"/>
      <c r="E29" s="356"/>
      <c r="F29" s="356"/>
      <c r="G29" s="356"/>
      <c r="H29" s="356"/>
      <c r="I29" s="373"/>
      <c r="J29" s="374"/>
      <c r="K29" s="374"/>
      <c r="L29" s="374"/>
      <c r="M29" s="374"/>
      <c r="N29" s="375"/>
    </row>
    <row r="30" spans="1:14" x14ac:dyDescent="0.3">
      <c r="A30" s="356" t="s">
        <v>489</v>
      </c>
      <c r="B30" s="356"/>
      <c r="C30" s="356"/>
      <c r="D30" s="356"/>
      <c r="E30" s="356"/>
      <c r="F30" s="356"/>
      <c r="G30" s="356"/>
      <c r="H30" s="356"/>
      <c r="I30" s="373"/>
      <c r="J30" s="374"/>
      <c r="K30" s="374"/>
      <c r="L30" s="374"/>
      <c r="M30" s="374"/>
      <c r="N30" s="375"/>
    </row>
    <row r="31" spans="1:14" x14ac:dyDescent="0.3">
      <c r="A31" s="357" t="s">
        <v>518</v>
      </c>
      <c r="B31" s="357"/>
      <c r="C31" s="357"/>
      <c r="D31" s="357"/>
      <c r="E31" s="357"/>
      <c r="F31" s="357"/>
      <c r="G31" s="357"/>
      <c r="H31" s="357"/>
      <c r="I31" s="379">
        <f>SUM(I23:N30)</f>
        <v>0</v>
      </c>
      <c r="J31" s="380"/>
      <c r="K31" s="380"/>
      <c r="L31" s="380"/>
      <c r="M31" s="380"/>
      <c r="N31" s="381"/>
    </row>
    <row r="33" spans="1:14" ht="15.6" x14ac:dyDescent="0.3">
      <c r="A33" s="355" t="s">
        <v>686</v>
      </c>
      <c r="B33" s="355"/>
      <c r="C33" s="355"/>
      <c r="D33" s="355"/>
      <c r="E33" s="355"/>
      <c r="F33" s="355"/>
      <c r="G33" s="355"/>
      <c r="H33" s="355"/>
      <c r="I33" s="355"/>
      <c r="J33" s="355"/>
      <c r="K33" s="355"/>
      <c r="L33" s="355"/>
      <c r="M33" s="355"/>
      <c r="N33" s="355"/>
    </row>
    <row r="34" spans="1:14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x14ac:dyDescent="0.3">
      <c r="A35" s="247" t="s">
        <v>375</v>
      </c>
      <c r="B35" s="247"/>
      <c r="C35" s="247"/>
      <c r="D35" s="247"/>
      <c r="E35" s="247"/>
      <c r="F35" s="247"/>
      <c r="G35" s="247"/>
      <c r="H35" s="247"/>
      <c r="I35" s="361" t="s">
        <v>430</v>
      </c>
      <c r="J35" s="362"/>
      <c r="K35" s="362"/>
      <c r="L35" s="362"/>
      <c r="M35" s="362"/>
      <c r="N35" s="363"/>
    </row>
    <row r="36" spans="1:14" x14ac:dyDescent="0.3">
      <c r="A36" s="386" t="s">
        <v>95</v>
      </c>
      <c r="B36" s="386"/>
      <c r="C36" s="386"/>
      <c r="D36" s="386"/>
      <c r="E36" s="386"/>
      <c r="F36" s="386"/>
      <c r="G36" s="386"/>
      <c r="H36" s="386"/>
      <c r="I36" s="387">
        <v>2467071</v>
      </c>
      <c r="J36" s="388"/>
      <c r="K36" s="388"/>
      <c r="L36" s="388"/>
      <c r="M36" s="388"/>
      <c r="N36" s="389"/>
    </row>
    <row r="37" spans="1:14" x14ac:dyDescent="0.3">
      <c r="A37" s="382" t="s">
        <v>506</v>
      </c>
      <c r="B37" s="382"/>
      <c r="C37" s="382"/>
      <c r="D37" s="382"/>
      <c r="E37" s="382"/>
      <c r="F37" s="382"/>
      <c r="G37" s="382"/>
      <c r="H37" s="382"/>
      <c r="I37" s="383" t="s">
        <v>405</v>
      </c>
      <c r="J37" s="384"/>
      <c r="K37" s="384"/>
      <c r="L37" s="384"/>
      <c r="M37" s="384"/>
      <c r="N37" s="385"/>
    </row>
    <row r="38" spans="1:14" x14ac:dyDescent="0.3">
      <c r="A38" s="390" t="s">
        <v>1286</v>
      </c>
      <c r="B38" s="390"/>
      <c r="C38" s="390"/>
      <c r="D38" s="390"/>
      <c r="E38" s="390"/>
      <c r="F38" s="390"/>
      <c r="G38" s="390"/>
      <c r="H38" s="390"/>
      <c r="I38" s="394"/>
      <c r="J38" s="395"/>
      <c r="K38" s="395"/>
      <c r="L38" s="395"/>
      <c r="M38" s="395"/>
      <c r="N38" s="396"/>
    </row>
    <row r="39" spans="1:14" x14ac:dyDescent="0.3">
      <c r="A39" s="356" t="s">
        <v>912</v>
      </c>
      <c r="B39" s="356"/>
      <c r="C39" s="356"/>
      <c r="D39" s="356"/>
      <c r="E39" s="356"/>
      <c r="F39" s="356"/>
      <c r="G39" s="356"/>
      <c r="H39" s="356"/>
      <c r="I39" s="376"/>
      <c r="J39" s="377"/>
      <c r="K39" s="377"/>
      <c r="L39" s="377"/>
      <c r="M39" s="377"/>
      <c r="N39" s="378"/>
    </row>
    <row r="40" spans="1:14" x14ac:dyDescent="0.3">
      <c r="A40" s="356" t="s">
        <v>846</v>
      </c>
      <c r="B40" s="356"/>
      <c r="C40" s="356"/>
      <c r="D40" s="356"/>
      <c r="E40" s="356"/>
      <c r="F40" s="356"/>
      <c r="G40" s="356"/>
      <c r="H40" s="356"/>
      <c r="I40" s="376"/>
      <c r="J40" s="377"/>
      <c r="K40" s="377"/>
      <c r="L40" s="377"/>
      <c r="M40" s="377"/>
      <c r="N40" s="378"/>
    </row>
    <row r="41" spans="1:14" x14ac:dyDescent="0.3">
      <c r="A41" s="356" t="s">
        <v>275</v>
      </c>
      <c r="B41" s="356"/>
      <c r="C41" s="356"/>
      <c r="D41" s="356"/>
      <c r="E41" s="356"/>
      <c r="F41" s="356"/>
      <c r="G41" s="356"/>
      <c r="H41" s="356"/>
      <c r="I41" s="376"/>
      <c r="J41" s="377"/>
      <c r="K41" s="377"/>
      <c r="L41" s="377"/>
      <c r="M41" s="377"/>
      <c r="N41" s="378"/>
    </row>
    <row r="42" spans="1:14" x14ac:dyDescent="0.3">
      <c r="A42" s="356" t="s">
        <v>596</v>
      </c>
      <c r="B42" s="356"/>
      <c r="C42" s="356"/>
      <c r="D42" s="356"/>
      <c r="E42" s="356"/>
      <c r="F42" s="356"/>
      <c r="G42" s="356"/>
      <c r="H42" s="356"/>
      <c r="I42" s="376">
        <v>2467071</v>
      </c>
      <c r="J42" s="377"/>
      <c r="K42" s="377"/>
      <c r="L42" s="377"/>
      <c r="M42" s="377"/>
      <c r="N42" s="378"/>
    </row>
    <row r="43" spans="1:14" x14ac:dyDescent="0.3">
      <c r="A43" s="356" t="s">
        <v>489</v>
      </c>
      <c r="B43" s="356"/>
      <c r="C43" s="356"/>
      <c r="D43" s="356"/>
      <c r="E43" s="356"/>
      <c r="F43" s="356"/>
      <c r="G43" s="356"/>
      <c r="H43" s="356"/>
      <c r="I43" s="376"/>
      <c r="J43" s="377"/>
      <c r="K43" s="377"/>
      <c r="L43" s="377"/>
      <c r="M43" s="377"/>
      <c r="N43" s="378"/>
    </row>
    <row r="44" spans="1:14" x14ac:dyDescent="0.3">
      <c r="A44" s="357" t="s">
        <v>518</v>
      </c>
      <c r="B44" s="357"/>
      <c r="C44" s="357"/>
      <c r="D44" s="357"/>
      <c r="E44" s="357"/>
      <c r="F44" s="357"/>
      <c r="G44" s="357"/>
      <c r="H44" s="357"/>
      <c r="I44" s="391">
        <f>SUM(I38:N43)</f>
        <v>2467071</v>
      </c>
      <c r="J44" s="392"/>
      <c r="K44" s="392"/>
      <c r="L44" s="392"/>
      <c r="M44" s="392"/>
      <c r="N44" s="393"/>
    </row>
    <row r="48" spans="1:14" ht="30" customHeight="1" x14ac:dyDescent="0.3">
      <c r="A48" s="167" t="s">
        <v>445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</row>
    <row r="49" spans="1:14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39.9" customHeight="1" x14ac:dyDescent="0.3">
      <c r="A50" s="247" t="s">
        <v>375</v>
      </c>
      <c r="B50" s="247"/>
      <c r="C50" s="247"/>
      <c r="D50" s="247"/>
      <c r="E50" s="247"/>
      <c r="F50" s="247"/>
      <c r="G50" s="247"/>
      <c r="H50" s="247"/>
      <c r="I50" s="247" t="s">
        <v>405</v>
      </c>
      <c r="J50" s="247"/>
      <c r="K50" s="247"/>
      <c r="L50" s="247" t="s">
        <v>430</v>
      </c>
      <c r="M50" s="247"/>
      <c r="N50" s="247"/>
    </row>
    <row r="51" spans="1:14" x14ac:dyDescent="0.3">
      <c r="A51" s="359" t="s">
        <v>1058</v>
      </c>
      <c r="B51" s="359"/>
      <c r="C51" s="359"/>
      <c r="D51" s="359"/>
      <c r="E51" s="359"/>
      <c r="F51" s="359"/>
      <c r="G51" s="359"/>
      <c r="H51" s="359"/>
      <c r="I51" s="360"/>
      <c r="J51" s="360"/>
      <c r="K51" s="360"/>
      <c r="L51" s="360"/>
      <c r="M51" s="360"/>
      <c r="N51" s="360"/>
    </row>
    <row r="52" spans="1:14" ht="24.9" customHeight="1" x14ac:dyDescent="0.3">
      <c r="A52" s="356" t="s">
        <v>160</v>
      </c>
      <c r="B52" s="356"/>
      <c r="C52" s="356"/>
      <c r="D52" s="356"/>
      <c r="E52" s="356"/>
      <c r="F52" s="356"/>
      <c r="G52" s="356"/>
      <c r="H52" s="356"/>
      <c r="I52" s="268"/>
      <c r="J52" s="268"/>
      <c r="K52" s="268"/>
      <c r="L52" s="268"/>
      <c r="M52" s="268"/>
      <c r="N52" s="268"/>
    </row>
    <row r="53" spans="1:14" x14ac:dyDescent="0.3">
      <c r="A53" s="356" t="s">
        <v>544</v>
      </c>
      <c r="B53" s="356"/>
      <c r="C53" s="356"/>
      <c r="D53" s="356"/>
      <c r="E53" s="356"/>
      <c r="F53" s="356"/>
      <c r="G53" s="356"/>
      <c r="H53" s="356"/>
      <c r="I53" s="268"/>
      <c r="J53" s="268"/>
      <c r="K53" s="268"/>
      <c r="L53" s="268"/>
      <c r="M53" s="268"/>
      <c r="N53" s="268"/>
    </row>
    <row r="54" spans="1:14" x14ac:dyDescent="0.3">
      <c r="A54" s="356"/>
      <c r="B54" s="356"/>
      <c r="C54" s="356"/>
      <c r="D54" s="356"/>
      <c r="E54" s="356"/>
      <c r="F54" s="356"/>
      <c r="G54" s="356"/>
      <c r="H54" s="356"/>
      <c r="I54" s="268"/>
      <c r="J54" s="268"/>
      <c r="K54" s="268"/>
      <c r="L54" s="268"/>
      <c r="M54" s="268"/>
      <c r="N54" s="268"/>
    </row>
    <row r="55" spans="1:14" x14ac:dyDescent="0.3">
      <c r="A55" s="357" t="s">
        <v>518</v>
      </c>
      <c r="B55" s="357"/>
      <c r="C55" s="357"/>
      <c r="D55" s="357"/>
      <c r="E55" s="357"/>
      <c r="F55" s="357"/>
      <c r="G55" s="357"/>
      <c r="H55" s="357"/>
      <c r="I55" s="358">
        <f>SUM(I51:K54)</f>
        <v>0</v>
      </c>
      <c r="J55" s="358"/>
      <c r="K55" s="358"/>
      <c r="L55" s="358">
        <f>SUM(L51:N54)</f>
        <v>0</v>
      </c>
      <c r="M55" s="358"/>
      <c r="N55" s="358"/>
    </row>
    <row r="57" spans="1:14" ht="15.6" x14ac:dyDescent="0.3">
      <c r="A57" s="355" t="s">
        <v>640</v>
      </c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5"/>
      <c r="N57" s="355"/>
    </row>
    <row r="59" spans="1:14" x14ac:dyDescent="0.3">
      <c r="A59" s="228" t="s">
        <v>375</v>
      </c>
      <c r="B59" s="228"/>
      <c r="C59" s="228"/>
      <c r="D59" s="228"/>
      <c r="E59" s="228" t="s">
        <v>405</v>
      </c>
      <c r="F59" s="228"/>
      <c r="G59" s="228"/>
      <c r="H59" s="228"/>
      <c r="I59" s="228"/>
      <c r="J59" s="228"/>
      <c r="K59" s="228"/>
      <c r="L59" s="228"/>
      <c r="M59" s="228"/>
      <c r="N59" s="228"/>
    </row>
    <row r="60" spans="1:14" ht="48" customHeight="1" x14ac:dyDescent="0.3">
      <c r="A60" s="228"/>
      <c r="B60" s="228"/>
      <c r="C60" s="228"/>
      <c r="D60" s="228"/>
      <c r="E60" s="228" t="s">
        <v>400</v>
      </c>
      <c r="F60" s="228"/>
      <c r="G60" s="228" t="s">
        <v>463</v>
      </c>
      <c r="H60" s="228"/>
      <c r="I60" s="228" t="s">
        <v>948</v>
      </c>
      <c r="J60" s="228"/>
      <c r="K60" s="228" t="s">
        <v>684</v>
      </c>
      <c r="L60" s="228"/>
      <c r="M60" s="228" t="s">
        <v>1298</v>
      </c>
      <c r="N60" s="228"/>
    </row>
    <row r="61" spans="1:14" x14ac:dyDescent="0.3">
      <c r="A61" s="229" t="s">
        <v>1001</v>
      </c>
      <c r="B61" s="229"/>
      <c r="C61" s="229"/>
      <c r="D61" s="229"/>
      <c r="E61" s="229" t="s">
        <v>28</v>
      </c>
      <c r="F61" s="229"/>
      <c r="G61" s="229" t="s">
        <v>788</v>
      </c>
      <c r="H61" s="229"/>
      <c r="I61" s="229" t="s">
        <v>296</v>
      </c>
      <c r="J61" s="229"/>
      <c r="K61" s="229" t="s">
        <v>889</v>
      </c>
      <c r="L61" s="229"/>
      <c r="M61" s="229" t="s">
        <v>191</v>
      </c>
      <c r="N61" s="229"/>
    </row>
    <row r="62" spans="1:14" x14ac:dyDescent="0.3">
      <c r="A62" s="354" t="s">
        <v>793</v>
      </c>
      <c r="B62" s="354"/>
      <c r="C62" s="354"/>
      <c r="D62" s="354"/>
      <c r="E62" s="342"/>
      <c r="F62" s="342"/>
      <c r="G62" s="342"/>
      <c r="H62" s="342"/>
      <c r="I62" s="342"/>
      <c r="J62" s="342"/>
      <c r="K62" s="342"/>
      <c r="L62" s="342"/>
      <c r="M62" s="342"/>
      <c r="N62" s="342"/>
    </row>
    <row r="63" spans="1:14" x14ac:dyDescent="0.3">
      <c r="A63" s="343"/>
      <c r="B63" s="343"/>
      <c r="C63" s="343"/>
      <c r="D63" s="343"/>
      <c r="E63" s="343"/>
      <c r="F63" s="343"/>
      <c r="G63" s="343"/>
      <c r="H63" s="343"/>
      <c r="I63" s="343"/>
      <c r="J63" s="343"/>
      <c r="K63" s="343"/>
      <c r="L63" s="343"/>
      <c r="M63" s="352">
        <f>E63+G63-I63-K63</f>
        <v>0</v>
      </c>
      <c r="N63" s="353"/>
    </row>
    <row r="64" spans="1:14" x14ac:dyDescent="0.3">
      <c r="A64" s="343"/>
      <c r="B64" s="343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52">
        <f>E64+G64-I64-K64</f>
        <v>0</v>
      </c>
      <c r="N64" s="353"/>
    </row>
    <row r="65" spans="1:14" x14ac:dyDescent="0.3">
      <c r="A65" s="343"/>
      <c r="B65" s="343"/>
      <c r="C65" s="343"/>
      <c r="D65" s="343"/>
      <c r="E65" s="343"/>
      <c r="F65" s="343"/>
      <c r="G65" s="343"/>
      <c r="H65" s="343"/>
      <c r="I65" s="343"/>
      <c r="J65" s="343"/>
      <c r="K65" s="343"/>
      <c r="L65" s="343"/>
      <c r="M65" s="352">
        <f>E65+G65-I65-K65</f>
        <v>0</v>
      </c>
      <c r="N65" s="353"/>
    </row>
    <row r="66" spans="1:14" x14ac:dyDescent="0.3">
      <c r="A66" s="343"/>
      <c r="B66" s="343"/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52">
        <f>E66+G66-I66-K66</f>
        <v>0</v>
      </c>
      <c r="N66" s="353"/>
    </row>
    <row r="67" spans="1:14" x14ac:dyDescent="0.3">
      <c r="A67" s="343"/>
      <c r="B67" s="343"/>
      <c r="C67" s="343"/>
      <c r="D67" s="343"/>
      <c r="E67" s="343"/>
      <c r="F67" s="343"/>
      <c r="G67" s="343"/>
      <c r="H67" s="343"/>
      <c r="I67" s="343"/>
      <c r="J67" s="343"/>
      <c r="K67" s="343"/>
      <c r="L67" s="343"/>
      <c r="M67" s="352">
        <f>E67+G67-I67-K67</f>
        <v>0</v>
      </c>
      <c r="N67" s="353"/>
    </row>
    <row r="68" spans="1:14" x14ac:dyDescent="0.3">
      <c r="A68" s="344" t="s">
        <v>456</v>
      </c>
      <c r="B68" s="344"/>
      <c r="C68" s="344"/>
      <c r="D68" s="344"/>
      <c r="E68" s="343">
        <v>38497</v>
      </c>
      <c r="F68" s="343"/>
      <c r="G68" s="343">
        <f>12182+38262</f>
        <v>50444</v>
      </c>
      <c r="H68" s="343"/>
      <c r="I68" s="343">
        <v>38497</v>
      </c>
      <c r="J68" s="343"/>
      <c r="K68" s="343"/>
      <c r="L68" s="343"/>
      <c r="M68" s="343">
        <f>12182+38262</f>
        <v>50444</v>
      </c>
      <c r="N68" s="343"/>
    </row>
    <row r="69" spans="1:14" x14ac:dyDescent="0.3">
      <c r="A69" s="343" t="s">
        <v>1366</v>
      </c>
      <c r="B69" s="343"/>
      <c r="C69" s="343"/>
      <c r="D69" s="343"/>
      <c r="E69" s="343">
        <v>31579</v>
      </c>
      <c r="F69" s="343"/>
      <c r="G69" s="343">
        <f>6298+1696</f>
        <v>7994</v>
      </c>
      <c r="H69" s="343"/>
      <c r="I69" s="343">
        <v>31579</v>
      </c>
      <c r="J69" s="343"/>
      <c r="K69" s="343"/>
      <c r="L69" s="343"/>
      <c r="M69" s="352">
        <f>E69+G69-I69-K69</f>
        <v>7994</v>
      </c>
      <c r="N69" s="353"/>
    </row>
    <row r="70" spans="1:14" x14ac:dyDescent="0.3">
      <c r="A70" s="343" t="s">
        <v>1367</v>
      </c>
      <c r="B70" s="343"/>
      <c r="C70" s="343"/>
      <c r="D70" s="343"/>
      <c r="E70" s="343">
        <v>4918</v>
      </c>
      <c r="F70" s="343"/>
      <c r="G70" s="343">
        <v>2188</v>
      </c>
      <c r="H70" s="343"/>
      <c r="I70" s="343">
        <v>4918</v>
      </c>
      <c r="J70" s="343"/>
      <c r="K70" s="343"/>
      <c r="L70" s="343"/>
      <c r="M70" s="352">
        <f>E70+G70-I70-K70</f>
        <v>2188</v>
      </c>
      <c r="N70" s="353"/>
    </row>
    <row r="71" spans="1:14" x14ac:dyDescent="0.3">
      <c r="A71" s="343" t="s">
        <v>1368</v>
      </c>
      <c r="B71" s="343"/>
      <c r="C71" s="343"/>
      <c r="D71" s="343"/>
      <c r="E71" s="343">
        <v>2000</v>
      </c>
      <c r="F71" s="343"/>
      <c r="G71" s="343">
        <v>2000</v>
      </c>
      <c r="H71" s="343"/>
      <c r="I71" s="343">
        <v>2000</v>
      </c>
      <c r="J71" s="343"/>
      <c r="K71" s="343"/>
      <c r="L71" s="343"/>
      <c r="M71" s="352">
        <f>E71+G71-I71-K71</f>
        <v>2000</v>
      </c>
      <c r="N71" s="353"/>
    </row>
    <row r="72" spans="1:14" x14ac:dyDescent="0.3">
      <c r="A72" s="343" t="s">
        <v>1369</v>
      </c>
      <c r="B72" s="343"/>
      <c r="C72" s="343"/>
      <c r="D72" s="343"/>
      <c r="E72" s="343"/>
      <c r="F72" s="343"/>
      <c r="G72" s="343">
        <v>38262</v>
      </c>
      <c r="H72" s="343"/>
      <c r="I72" s="343"/>
      <c r="J72" s="343"/>
      <c r="K72" s="343"/>
      <c r="L72" s="343"/>
      <c r="M72" s="352">
        <f>E72+G72-I72-K72</f>
        <v>38262</v>
      </c>
      <c r="N72" s="353"/>
    </row>
    <row r="73" spans="1:14" x14ac:dyDescent="0.3">
      <c r="A73" s="343"/>
      <c r="B73" s="343"/>
      <c r="C73" s="343"/>
      <c r="D73" s="343"/>
      <c r="E73" s="343"/>
      <c r="F73" s="343"/>
      <c r="G73" s="343"/>
      <c r="H73" s="343"/>
      <c r="I73" s="343"/>
      <c r="J73" s="343"/>
      <c r="K73" s="343"/>
      <c r="L73" s="343"/>
      <c r="M73" s="352">
        <f>E73+G73-I73-K73</f>
        <v>0</v>
      </c>
      <c r="N73" s="353"/>
    </row>
    <row r="75" spans="1:14" ht="15.6" x14ac:dyDescent="0.3">
      <c r="A75" s="355" t="s">
        <v>181</v>
      </c>
      <c r="B75" s="355"/>
      <c r="C75" s="355"/>
      <c r="D75" s="355"/>
      <c r="E75" s="355"/>
      <c r="F75" s="355"/>
      <c r="G75" s="355"/>
      <c r="H75" s="355"/>
      <c r="I75" s="355"/>
      <c r="J75" s="355"/>
      <c r="K75" s="355"/>
      <c r="L75" s="355"/>
      <c r="M75" s="355"/>
      <c r="N75" s="355"/>
    </row>
    <row r="76" spans="1:14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x14ac:dyDescent="0.3">
      <c r="A77" s="228" t="s">
        <v>375</v>
      </c>
      <c r="B77" s="228"/>
      <c r="C77" s="228"/>
      <c r="D77" s="228"/>
      <c r="E77" s="228" t="s">
        <v>430</v>
      </c>
      <c r="F77" s="228"/>
      <c r="G77" s="228"/>
      <c r="H77" s="228"/>
      <c r="I77" s="228"/>
      <c r="J77" s="228"/>
      <c r="K77" s="228"/>
      <c r="L77" s="228"/>
      <c r="M77" s="228"/>
      <c r="N77" s="228"/>
    </row>
    <row r="78" spans="1:14" ht="48" customHeight="1" x14ac:dyDescent="0.3">
      <c r="A78" s="228"/>
      <c r="B78" s="228"/>
      <c r="C78" s="228"/>
      <c r="D78" s="228"/>
      <c r="E78" s="228" t="s">
        <v>400</v>
      </c>
      <c r="F78" s="228"/>
      <c r="G78" s="228" t="s">
        <v>463</v>
      </c>
      <c r="H78" s="228"/>
      <c r="I78" s="228" t="s">
        <v>948</v>
      </c>
      <c r="J78" s="228"/>
      <c r="K78" s="228" t="s">
        <v>684</v>
      </c>
      <c r="L78" s="228"/>
      <c r="M78" s="228" t="s">
        <v>1298</v>
      </c>
      <c r="N78" s="228"/>
    </row>
    <row r="79" spans="1:14" x14ac:dyDescent="0.3">
      <c r="A79" s="229" t="s">
        <v>1001</v>
      </c>
      <c r="B79" s="229"/>
      <c r="C79" s="229"/>
      <c r="D79" s="229"/>
      <c r="E79" s="229" t="s">
        <v>28</v>
      </c>
      <c r="F79" s="229"/>
      <c r="G79" s="229" t="s">
        <v>788</v>
      </c>
      <c r="H79" s="229"/>
      <c r="I79" s="229" t="s">
        <v>296</v>
      </c>
      <c r="J79" s="229"/>
      <c r="K79" s="229" t="s">
        <v>889</v>
      </c>
      <c r="L79" s="229"/>
      <c r="M79" s="229" t="s">
        <v>191</v>
      </c>
      <c r="N79" s="229"/>
    </row>
    <row r="80" spans="1:14" x14ac:dyDescent="0.3">
      <c r="A80" s="354" t="s">
        <v>793</v>
      </c>
      <c r="B80" s="354"/>
      <c r="C80" s="354"/>
      <c r="D80" s="354"/>
      <c r="E80" s="342"/>
      <c r="F80" s="342"/>
      <c r="G80" s="342"/>
      <c r="H80" s="342"/>
      <c r="I80" s="342"/>
      <c r="J80" s="342"/>
      <c r="K80" s="342"/>
      <c r="L80" s="342"/>
      <c r="M80" s="342"/>
      <c r="N80" s="342"/>
    </row>
    <row r="81" spans="1:14" x14ac:dyDescent="0.3">
      <c r="A81" s="343"/>
      <c r="B81" s="343"/>
      <c r="C81" s="343"/>
      <c r="D81" s="343"/>
      <c r="E81" s="343"/>
      <c r="F81" s="343"/>
      <c r="G81" s="343"/>
      <c r="H81" s="343"/>
      <c r="I81" s="343"/>
      <c r="J81" s="343"/>
      <c r="K81" s="343"/>
      <c r="L81" s="343"/>
      <c r="M81" s="352">
        <f>E81+G81-I81-K81</f>
        <v>0</v>
      </c>
      <c r="N81" s="353"/>
    </row>
    <row r="82" spans="1:14" x14ac:dyDescent="0.3">
      <c r="A82" s="343"/>
      <c r="B82" s="343"/>
      <c r="C82" s="343"/>
      <c r="D82" s="343"/>
      <c r="E82" s="343"/>
      <c r="F82" s="343"/>
      <c r="G82" s="343"/>
      <c r="H82" s="343"/>
      <c r="I82" s="343"/>
      <c r="J82" s="343"/>
      <c r="K82" s="343"/>
      <c r="L82" s="343"/>
      <c r="M82" s="352">
        <f>E82+G82-I82-K82</f>
        <v>0</v>
      </c>
      <c r="N82" s="353"/>
    </row>
    <row r="83" spans="1:14" x14ac:dyDescent="0.3">
      <c r="A83" s="344" t="s">
        <v>456</v>
      </c>
      <c r="B83" s="344"/>
      <c r="C83" s="344"/>
      <c r="D83" s="344"/>
      <c r="E83" s="343">
        <v>26074</v>
      </c>
      <c r="F83" s="343"/>
      <c r="G83" s="343">
        <v>38497</v>
      </c>
      <c r="H83" s="343"/>
      <c r="I83" s="343">
        <v>26074</v>
      </c>
      <c r="J83" s="343"/>
      <c r="K83" s="343"/>
      <c r="L83" s="343"/>
      <c r="M83" s="343">
        <v>38497</v>
      </c>
      <c r="N83" s="343"/>
    </row>
    <row r="84" spans="1:14" x14ac:dyDescent="0.3">
      <c r="A84" s="343" t="s">
        <v>1366</v>
      </c>
      <c r="B84" s="343"/>
      <c r="C84" s="343"/>
      <c r="D84" s="343"/>
      <c r="E84" s="343">
        <v>24474</v>
      </c>
      <c r="F84" s="343"/>
      <c r="G84" s="343">
        <v>31579</v>
      </c>
      <c r="H84" s="343"/>
      <c r="I84" s="343">
        <v>24474</v>
      </c>
      <c r="J84" s="343"/>
      <c r="K84" s="343"/>
      <c r="L84" s="343"/>
      <c r="M84" s="343">
        <v>31579</v>
      </c>
      <c r="N84" s="343"/>
    </row>
    <row r="85" spans="1:14" x14ac:dyDescent="0.3">
      <c r="A85" s="343" t="s">
        <v>1367</v>
      </c>
      <c r="B85" s="343"/>
      <c r="C85" s="343"/>
      <c r="D85" s="343"/>
      <c r="E85" s="343"/>
      <c r="F85" s="343"/>
      <c r="G85" s="343">
        <v>4918</v>
      </c>
      <c r="H85" s="343"/>
      <c r="I85" s="343"/>
      <c r="J85" s="343"/>
      <c r="K85" s="343"/>
      <c r="L85" s="343"/>
      <c r="M85" s="343">
        <v>4918</v>
      </c>
      <c r="N85" s="343"/>
    </row>
    <row r="86" spans="1:14" x14ac:dyDescent="0.3">
      <c r="A86" s="343" t="s">
        <v>1368</v>
      </c>
      <c r="B86" s="343"/>
      <c r="C86" s="343"/>
      <c r="D86" s="343"/>
      <c r="E86" s="343">
        <v>1600</v>
      </c>
      <c r="F86" s="343"/>
      <c r="G86" s="343">
        <v>2000</v>
      </c>
      <c r="H86" s="343"/>
      <c r="I86" s="343">
        <v>1600</v>
      </c>
      <c r="J86" s="343"/>
      <c r="K86" s="343"/>
      <c r="L86" s="343"/>
      <c r="M86" s="343">
        <v>2000</v>
      </c>
      <c r="N86" s="343"/>
    </row>
  </sheetData>
  <mergeCells count="242">
    <mergeCell ref="A9:H9"/>
    <mergeCell ref="L7:N7"/>
    <mergeCell ref="I8:K8"/>
    <mergeCell ref="L8:N8"/>
    <mergeCell ref="I9:K9"/>
    <mergeCell ref="L9:N9"/>
    <mergeCell ref="A2:N2"/>
    <mergeCell ref="A4:N4"/>
    <mergeCell ref="L6:N6"/>
    <mergeCell ref="I6:K6"/>
    <mergeCell ref="A6:H6"/>
    <mergeCell ref="I7:K7"/>
    <mergeCell ref="A7:H7"/>
    <mergeCell ref="A8:H8"/>
    <mergeCell ref="I14:K14"/>
    <mergeCell ref="L14:N14"/>
    <mergeCell ref="L15:N15"/>
    <mergeCell ref="I16:K16"/>
    <mergeCell ref="L16:N16"/>
    <mergeCell ref="A18:N18"/>
    <mergeCell ref="I10:K10"/>
    <mergeCell ref="L10:N10"/>
    <mergeCell ref="L11:N11"/>
    <mergeCell ref="I12:K12"/>
    <mergeCell ref="L12:N12"/>
    <mergeCell ref="I13:K13"/>
    <mergeCell ref="L13:N13"/>
    <mergeCell ref="A13:H13"/>
    <mergeCell ref="I11:K11"/>
    <mergeCell ref="A10:H10"/>
    <mergeCell ref="A11:H11"/>
    <mergeCell ref="A12:H12"/>
    <mergeCell ref="A14:H14"/>
    <mergeCell ref="A15:H15"/>
    <mergeCell ref="A16:H16"/>
    <mergeCell ref="I15:K15"/>
    <mergeCell ref="A81:D81"/>
    <mergeCell ref="E81:F81"/>
    <mergeCell ref="G81:H81"/>
    <mergeCell ref="I81:J81"/>
    <mergeCell ref="K81:L81"/>
    <mergeCell ref="M81:N81"/>
    <mergeCell ref="A43:H43"/>
    <mergeCell ref="I43:N43"/>
    <mergeCell ref="A20:H20"/>
    <mergeCell ref="A21:H21"/>
    <mergeCell ref="A42:H42"/>
    <mergeCell ref="I42:N42"/>
    <mergeCell ref="A40:H40"/>
    <mergeCell ref="I40:N40"/>
    <mergeCell ref="A22:H22"/>
    <mergeCell ref="A23:H23"/>
    <mergeCell ref="A48:N48"/>
    <mergeCell ref="A44:H44"/>
    <mergeCell ref="I44:N44"/>
    <mergeCell ref="A41:H41"/>
    <mergeCell ref="I41:N41"/>
    <mergeCell ref="A38:H38"/>
    <mergeCell ref="I38:N38"/>
    <mergeCell ref="A24:H24"/>
    <mergeCell ref="A39:H39"/>
    <mergeCell ref="I39:N39"/>
    <mergeCell ref="I26:N26"/>
    <mergeCell ref="A28:H28"/>
    <mergeCell ref="I31:N31"/>
    <mergeCell ref="A33:N33"/>
    <mergeCell ref="A35:H35"/>
    <mergeCell ref="I35:N35"/>
    <mergeCell ref="A30:H30"/>
    <mergeCell ref="A37:H37"/>
    <mergeCell ref="I37:N37"/>
    <mergeCell ref="A36:H36"/>
    <mergeCell ref="I36:N36"/>
    <mergeCell ref="I30:N30"/>
    <mergeCell ref="A31:H31"/>
    <mergeCell ref="I20:N20"/>
    <mergeCell ref="I21:N21"/>
    <mergeCell ref="I22:N22"/>
    <mergeCell ref="I23:N23"/>
    <mergeCell ref="I24:N24"/>
    <mergeCell ref="I25:N25"/>
    <mergeCell ref="A29:H29"/>
    <mergeCell ref="I28:N28"/>
    <mergeCell ref="I29:N29"/>
    <mergeCell ref="A26:H26"/>
    <mergeCell ref="A27:H27"/>
    <mergeCell ref="I27:N27"/>
    <mergeCell ref="A25:H25"/>
    <mergeCell ref="A52:H52"/>
    <mergeCell ref="I52:K52"/>
    <mergeCell ref="L52:N52"/>
    <mergeCell ref="A53:H53"/>
    <mergeCell ref="I53:K53"/>
    <mergeCell ref="L53:N53"/>
    <mergeCell ref="A50:H50"/>
    <mergeCell ref="I50:K50"/>
    <mergeCell ref="L50:N50"/>
    <mergeCell ref="A51:H51"/>
    <mergeCell ref="I51:K51"/>
    <mergeCell ref="L51:N51"/>
    <mergeCell ref="A54:H54"/>
    <mergeCell ref="I54:K54"/>
    <mergeCell ref="L54:N54"/>
    <mergeCell ref="A55:H55"/>
    <mergeCell ref="I55:K55"/>
    <mergeCell ref="L55:N55"/>
    <mergeCell ref="M78:N78"/>
    <mergeCell ref="A61:D61"/>
    <mergeCell ref="E61:F61"/>
    <mergeCell ref="A57:N57"/>
    <mergeCell ref="M60:N60"/>
    <mergeCell ref="K60:L60"/>
    <mergeCell ref="I60:J60"/>
    <mergeCell ref="G60:H60"/>
    <mergeCell ref="E60:F60"/>
    <mergeCell ref="A59:D60"/>
    <mergeCell ref="E59:N59"/>
    <mergeCell ref="K61:L61"/>
    <mergeCell ref="M61:N61"/>
    <mergeCell ref="E62:F62"/>
    <mergeCell ref="G62:H62"/>
    <mergeCell ref="I62:J62"/>
    <mergeCell ref="K62:L62"/>
    <mergeCell ref="M62:N62"/>
    <mergeCell ref="G61:H61"/>
    <mergeCell ref="I61:J61"/>
    <mergeCell ref="K78:L78"/>
    <mergeCell ref="I63:J63"/>
    <mergeCell ref="K63:L63"/>
    <mergeCell ref="A75:N75"/>
    <mergeCell ref="A62:D62"/>
    <mergeCell ref="A77:D78"/>
    <mergeCell ref="E77:N77"/>
    <mergeCell ref="E78:F78"/>
    <mergeCell ref="G78:H78"/>
    <mergeCell ref="I78:J78"/>
    <mergeCell ref="A65:D65"/>
    <mergeCell ref="E65:F65"/>
    <mergeCell ref="G65:H65"/>
    <mergeCell ref="I65:J65"/>
    <mergeCell ref="A67:D67"/>
    <mergeCell ref="E67:F67"/>
    <mergeCell ref="K65:L65"/>
    <mergeCell ref="M65:N65"/>
    <mergeCell ref="A66:D66"/>
    <mergeCell ref="E66:F66"/>
    <mergeCell ref="G66:H66"/>
    <mergeCell ref="I66:J66"/>
    <mergeCell ref="K66:L66"/>
    <mergeCell ref="M66:N66"/>
    <mergeCell ref="M63:N63"/>
    <mergeCell ref="A64:D64"/>
    <mergeCell ref="E64:F64"/>
    <mergeCell ref="G64:H64"/>
    <mergeCell ref="I64:J64"/>
    <mergeCell ref="K64:L64"/>
    <mergeCell ref="M64:N64"/>
    <mergeCell ref="A63:D63"/>
    <mergeCell ref="E63:F63"/>
    <mergeCell ref="G63:H63"/>
    <mergeCell ref="G67:H67"/>
    <mergeCell ref="I67:J67"/>
    <mergeCell ref="K67:L67"/>
    <mergeCell ref="M67:N67"/>
    <mergeCell ref="A68:D68"/>
    <mergeCell ref="E68:F68"/>
    <mergeCell ref="G68:H68"/>
    <mergeCell ref="I68:J68"/>
    <mergeCell ref="K68:L68"/>
    <mergeCell ref="M68:N68"/>
    <mergeCell ref="A70:D70"/>
    <mergeCell ref="E70:F70"/>
    <mergeCell ref="G70:H70"/>
    <mergeCell ref="I70:J70"/>
    <mergeCell ref="K70:L70"/>
    <mergeCell ref="M70:N70"/>
    <mergeCell ref="A69:D69"/>
    <mergeCell ref="E69:F69"/>
    <mergeCell ref="G69:H69"/>
    <mergeCell ref="I69:J69"/>
    <mergeCell ref="K69:L69"/>
    <mergeCell ref="M69:N69"/>
    <mergeCell ref="A72:D72"/>
    <mergeCell ref="E72:F72"/>
    <mergeCell ref="G72:H72"/>
    <mergeCell ref="I72:J72"/>
    <mergeCell ref="K72:L72"/>
    <mergeCell ref="M72:N72"/>
    <mergeCell ref="A71:D71"/>
    <mergeCell ref="E71:F71"/>
    <mergeCell ref="G71:H71"/>
    <mergeCell ref="I71:J71"/>
    <mergeCell ref="K71:L71"/>
    <mergeCell ref="M71:N71"/>
    <mergeCell ref="A82:D82"/>
    <mergeCell ref="E82:F82"/>
    <mergeCell ref="G82:H82"/>
    <mergeCell ref="I82:J82"/>
    <mergeCell ref="K82:L82"/>
    <mergeCell ref="M82:N82"/>
    <mergeCell ref="A73:D73"/>
    <mergeCell ref="E73:F73"/>
    <mergeCell ref="G73:H73"/>
    <mergeCell ref="I73:J73"/>
    <mergeCell ref="K73:L73"/>
    <mergeCell ref="M73:N73"/>
    <mergeCell ref="K79:L79"/>
    <mergeCell ref="A79:D79"/>
    <mergeCell ref="E79:F79"/>
    <mergeCell ref="G79:H79"/>
    <mergeCell ref="I79:J79"/>
    <mergeCell ref="M79:N79"/>
    <mergeCell ref="A80:D80"/>
    <mergeCell ref="E80:F80"/>
    <mergeCell ref="G80:H80"/>
    <mergeCell ref="I80:J80"/>
    <mergeCell ref="K80:L80"/>
    <mergeCell ref="M80:N80"/>
    <mergeCell ref="A84:D84"/>
    <mergeCell ref="E84:F84"/>
    <mergeCell ref="G84:H84"/>
    <mergeCell ref="I84:J84"/>
    <mergeCell ref="K84:L84"/>
    <mergeCell ref="M84:N84"/>
    <mergeCell ref="A83:D83"/>
    <mergeCell ref="E83:F83"/>
    <mergeCell ref="G83:H83"/>
    <mergeCell ref="I83:J83"/>
    <mergeCell ref="K83:L83"/>
    <mergeCell ref="M83:N83"/>
    <mergeCell ref="A86:D86"/>
    <mergeCell ref="E86:F86"/>
    <mergeCell ref="G86:H86"/>
    <mergeCell ref="I86:J86"/>
    <mergeCell ref="K86:L86"/>
    <mergeCell ref="M86:N86"/>
    <mergeCell ref="A85:D85"/>
    <mergeCell ref="E85:F85"/>
    <mergeCell ref="G85:H85"/>
    <mergeCell ref="I85:J85"/>
    <mergeCell ref="K85:L85"/>
    <mergeCell ref="M85:N85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90"/>
  <sheetViews>
    <sheetView topLeftCell="A73" zoomScaleNormal="100" workbookViewId="0">
      <selection activeCell="L86" sqref="L86:N86"/>
    </sheetView>
  </sheetViews>
  <sheetFormatPr defaultRowHeight="14.4" x14ac:dyDescent="0.3"/>
  <cols>
    <col min="1" max="14" width="6" customWidth="1"/>
  </cols>
  <sheetData>
    <row r="1" spans="1:14" ht="15.6" x14ac:dyDescent="0.3">
      <c r="A1" s="167" t="s">
        <v>1166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4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30" customHeight="1" x14ac:dyDescent="0.3">
      <c r="A3" s="402" t="s">
        <v>375</v>
      </c>
      <c r="B3" s="402"/>
      <c r="C3" s="402"/>
      <c r="D3" s="402"/>
      <c r="E3" s="402"/>
      <c r="F3" s="402"/>
      <c r="G3" s="402" t="s">
        <v>405</v>
      </c>
      <c r="H3" s="402"/>
      <c r="I3" s="402"/>
      <c r="J3" s="402"/>
      <c r="K3" s="402" t="s">
        <v>430</v>
      </c>
      <c r="L3" s="402"/>
      <c r="M3" s="402"/>
      <c r="N3" s="402"/>
    </row>
    <row r="4" spans="1:14" x14ac:dyDescent="0.3">
      <c r="A4" s="403" t="s">
        <v>419</v>
      </c>
      <c r="B4" s="403"/>
      <c r="C4" s="403"/>
      <c r="D4" s="403"/>
      <c r="E4" s="403"/>
      <c r="F4" s="403"/>
      <c r="G4" s="403">
        <v>6407220</v>
      </c>
      <c r="H4" s="403"/>
      <c r="I4" s="403"/>
      <c r="J4" s="403"/>
      <c r="K4" s="403">
        <v>2306765</v>
      </c>
      <c r="L4" s="403"/>
      <c r="M4" s="403"/>
      <c r="N4" s="403"/>
    </row>
    <row r="5" spans="1:14" ht="24.9" customHeight="1" x14ac:dyDescent="0.3">
      <c r="A5" s="404" t="s">
        <v>398</v>
      </c>
      <c r="B5" s="404"/>
      <c r="C5" s="404"/>
      <c r="D5" s="404"/>
      <c r="E5" s="404"/>
      <c r="F5" s="404"/>
      <c r="G5" s="404">
        <v>481999</v>
      </c>
      <c r="H5" s="404"/>
      <c r="I5" s="404"/>
      <c r="J5" s="404"/>
      <c r="K5" s="404">
        <f>4885037+3100000-1319+6432</f>
        <v>7990150</v>
      </c>
      <c r="L5" s="404"/>
      <c r="M5" s="404"/>
      <c r="N5" s="404"/>
    </row>
    <row r="6" spans="1:14" x14ac:dyDescent="0.3">
      <c r="A6" s="405" t="s">
        <v>1213</v>
      </c>
      <c r="B6" s="405"/>
      <c r="C6" s="405"/>
      <c r="D6" s="405"/>
      <c r="E6" s="405"/>
      <c r="F6" s="405"/>
      <c r="G6" s="405">
        <v>6889219</v>
      </c>
      <c r="H6" s="405"/>
      <c r="I6" s="405"/>
      <c r="J6" s="405"/>
      <c r="K6" s="405">
        <f>SUM(K4:N5)</f>
        <v>10296915</v>
      </c>
      <c r="L6" s="405"/>
      <c r="M6" s="405"/>
      <c r="N6" s="405"/>
    </row>
    <row r="7" spans="1:14" ht="24.9" customHeight="1" x14ac:dyDescent="0.3">
      <c r="A7" s="404" t="s">
        <v>631</v>
      </c>
      <c r="B7" s="404"/>
      <c r="C7" s="404"/>
      <c r="D7" s="404"/>
      <c r="E7" s="404"/>
      <c r="F7" s="404"/>
      <c r="G7" s="404">
        <v>98</v>
      </c>
      <c r="H7" s="404"/>
      <c r="I7" s="404"/>
      <c r="J7" s="404"/>
      <c r="K7" s="404">
        <f>4350000-3100000+1319</f>
        <v>1251319</v>
      </c>
      <c r="L7" s="404"/>
      <c r="M7" s="404"/>
      <c r="N7" s="404"/>
    </row>
    <row r="8" spans="1:14" ht="24.9" customHeight="1" x14ac:dyDescent="0.3">
      <c r="A8" s="404" t="s">
        <v>503</v>
      </c>
      <c r="B8" s="404"/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</row>
    <row r="9" spans="1:14" x14ac:dyDescent="0.3">
      <c r="A9" s="405" t="s">
        <v>821</v>
      </c>
      <c r="B9" s="405"/>
      <c r="C9" s="405"/>
      <c r="D9" s="405"/>
      <c r="E9" s="405"/>
      <c r="F9" s="405"/>
      <c r="G9" s="232">
        <v>98</v>
      </c>
      <c r="H9" s="232"/>
      <c r="I9" s="232"/>
      <c r="J9" s="232"/>
      <c r="K9" s="232">
        <f>SUM(K7:N8)</f>
        <v>1251319</v>
      </c>
      <c r="L9" s="232"/>
      <c r="M9" s="232"/>
      <c r="N9" s="232"/>
    </row>
    <row r="10" spans="1:14" x14ac:dyDescent="0.3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</row>
    <row r="11" spans="1:14" ht="15.6" x14ac:dyDescent="0.3">
      <c r="A11" s="167" t="s">
        <v>998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</row>
    <row r="12" spans="1:14" x14ac:dyDescent="0.3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</row>
    <row r="13" spans="1:14" x14ac:dyDescent="0.3">
      <c r="A13" s="255" t="s">
        <v>913</v>
      </c>
      <c r="B13" s="255"/>
      <c r="C13" s="255"/>
      <c r="D13" s="255"/>
      <c r="E13" s="255"/>
      <c r="F13" s="255"/>
      <c r="G13" s="255" t="s">
        <v>1011</v>
      </c>
      <c r="H13" s="255"/>
      <c r="I13" s="255"/>
      <c r="J13" s="255"/>
      <c r="K13" s="255"/>
      <c r="L13" s="255"/>
      <c r="M13" s="255"/>
      <c r="N13" s="255"/>
    </row>
    <row r="14" spans="1:14" x14ac:dyDescent="0.3">
      <c r="A14" s="254"/>
      <c r="B14" s="254"/>
      <c r="C14" s="254"/>
      <c r="D14" s="254"/>
      <c r="E14" s="254"/>
      <c r="F14" s="254"/>
      <c r="G14" s="247" t="s">
        <v>468</v>
      </c>
      <c r="H14" s="247"/>
      <c r="I14" s="247"/>
      <c r="J14" s="247"/>
      <c r="K14" s="247" t="s">
        <v>637</v>
      </c>
      <c r="L14" s="247"/>
      <c r="M14" s="247"/>
      <c r="N14" s="247"/>
    </row>
    <row r="15" spans="1:14" x14ac:dyDescent="0.3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6"/>
      <c r="L15" s="406"/>
      <c r="M15" s="406"/>
      <c r="N15" s="406"/>
    </row>
    <row r="16" spans="1:14" x14ac:dyDescent="0.3">
      <c r="A16" s="404"/>
      <c r="B16" s="404"/>
      <c r="C16" s="404"/>
      <c r="D16" s="404"/>
      <c r="E16" s="404"/>
      <c r="F16" s="404"/>
      <c r="G16" s="404"/>
      <c r="H16" s="404"/>
      <c r="I16" s="404"/>
      <c r="J16" s="404"/>
      <c r="K16" s="231"/>
      <c r="L16" s="231"/>
      <c r="M16" s="231"/>
      <c r="N16" s="231"/>
    </row>
    <row r="17" spans="1:14" x14ac:dyDescent="0.3">
      <c r="A17" s="405"/>
      <c r="B17" s="405"/>
      <c r="C17" s="405"/>
      <c r="D17" s="405"/>
      <c r="E17" s="405"/>
      <c r="F17" s="405"/>
      <c r="G17" s="405"/>
      <c r="H17" s="405"/>
      <c r="I17" s="405"/>
      <c r="J17" s="405"/>
      <c r="K17" s="405"/>
      <c r="L17" s="405"/>
      <c r="M17" s="405"/>
      <c r="N17" s="405"/>
    </row>
    <row r="18" spans="1:14" x14ac:dyDescent="0.3">
      <c r="A18" s="404"/>
      <c r="B18" s="404"/>
      <c r="C18" s="404"/>
      <c r="D18" s="404"/>
      <c r="E18" s="404"/>
      <c r="F18" s="404"/>
      <c r="G18" s="404"/>
      <c r="H18" s="404"/>
      <c r="I18" s="404"/>
      <c r="J18" s="404"/>
      <c r="K18" s="231"/>
      <c r="L18" s="231"/>
      <c r="M18" s="231"/>
      <c r="N18" s="231"/>
    </row>
    <row r="19" spans="1:14" x14ac:dyDescent="0.3">
      <c r="A19" s="404"/>
      <c r="B19" s="404"/>
      <c r="C19" s="404"/>
      <c r="D19" s="404"/>
      <c r="E19" s="404"/>
      <c r="F19" s="404"/>
      <c r="G19" s="404"/>
      <c r="H19" s="404"/>
      <c r="I19" s="404"/>
      <c r="J19" s="404"/>
      <c r="K19" s="231"/>
      <c r="L19" s="231"/>
      <c r="M19" s="231"/>
      <c r="N19" s="231"/>
    </row>
    <row r="20" spans="1:14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1:14" ht="15.6" x14ac:dyDescent="0.3">
      <c r="A21" s="167" t="s">
        <v>597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</row>
    <row r="22" spans="1:14" x14ac:dyDescent="0.3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 ht="24.9" customHeight="1" x14ac:dyDescent="0.3">
      <c r="A23" s="254" t="s">
        <v>375</v>
      </c>
      <c r="B23" s="254"/>
      <c r="C23" s="254"/>
      <c r="D23" s="254"/>
      <c r="E23" s="254"/>
      <c r="F23" s="254"/>
      <c r="G23" s="247" t="s">
        <v>405</v>
      </c>
      <c r="H23" s="247"/>
      <c r="I23" s="247"/>
      <c r="J23" s="247"/>
      <c r="K23" s="247" t="s">
        <v>430</v>
      </c>
      <c r="L23" s="247"/>
      <c r="M23" s="247"/>
      <c r="N23" s="247"/>
    </row>
    <row r="24" spans="1:14" ht="24.9" customHeight="1" x14ac:dyDescent="0.3">
      <c r="A24" s="407" t="s">
        <v>248</v>
      </c>
      <c r="B24" s="407"/>
      <c r="C24" s="407"/>
      <c r="D24" s="407"/>
      <c r="E24" s="407"/>
      <c r="F24" s="407"/>
      <c r="G24" s="403"/>
      <c r="H24" s="403"/>
      <c r="I24" s="403"/>
      <c r="J24" s="403"/>
      <c r="K24" s="406"/>
      <c r="L24" s="406"/>
      <c r="M24" s="406"/>
      <c r="N24" s="406"/>
    </row>
    <row r="25" spans="1:14" x14ac:dyDescent="0.3">
      <c r="A25" s="404" t="s">
        <v>464</v>
      </c>
      <c r="B25" s="404"/>
      <c r="C25" s="404"/>
      <c r="D25" s="404"/>
      <c r="E25" s="404"/>
      <c r="F25" s="404"/>
      <c r="G25" s="404"/>
      <c r="H25" s="404"/>
      <c r="I25" s="404"/>
      <c r="J25" s="404"/>
      <c r="K25" s="231"/>
      <c r="L25" s="231"/>
      <c r="M25" s="231"/>
      <c r="N25" s="231"/>
    </row>
    <row r="26" spans="1:14" x14ac:dyDescent="0.3">
      <c r="A26" s="404" t="s">
        <v>1032</v>
      </c>
      <c r="B26" s="404"/>
      <c r="C26" s="404"/>
      <c r="D26" s="404"/>
      <c r="E26" s="404"/>
      <c r="F26" s="404"/>
      <c r="G26" s="405"/>
      <c r="H26" s="405"/>
      <c r="I26" s="405"/>
      <c r="J26" s="405"/>
      <c r="K26" s="405"/>
      <c r="L26" s="405"/>
      <c r="M26" s="405"/>
      <c r="N26" s="405"/>
    </row>
    <row r="27" spans="1:14" ht="24.9" customHeight="1" x14ac:dyDescent="0.3">
      <c r="A27" s="405" t="s">
        <v>21</v>
      </c>
      <c r="B27" s="405"/>
      <c r="C27" s="405"/>
      <c r="D27" s="405"/>
      <c r="E27" s="405"/>
      <c r="F27" s="405"/>
      <c r="G27" s="404"/>
      <c r="H27" s="404"/>
      <c r="I27" s="404"/>
      <c r="J27" s="404"/>
      <c r="K27" s="231"/>
      <c r="L27" s="231"/>
      <c r="M27" s="231"/>
      <c r="N27" s="231"/>
    </row>
    <row r="28" spans="1:14" x14ac:dyDescent="0.3">
      <c r="A28" s="404" t="s">
        <v>464</v>
      </c>
      <c r="B28" s="404"/>
      <c r="C28" s="404"/>
      <c r="D28" s="404"/>
      <c r="E28" s="404"/>
      <c r="F28" s="404"/>
      <c r="G28" s="404"/>
      <c r="H28" s="404"/>
      <c r="I28" s="404"/>
      <c r="J28" s="404"/>
      <c r="K28" s="231"/>
      <c r="L28" s="231"/>
      <c r="M28" s="231"/>
      <c r="N28" s="231"/>
    </row>
    <row r="29" spans="1:14" x14ac:dyDescent="0.3">
      <c r="A29" s="404" t="s">
        <v>1032</v>
      </c>
      <c r="B29" s="404"/>
      <c r="C29" s="404"/>
      <c r="D29" s="404"/>
      <c r="E29" s="404"/>
      <c r="F29" s="404"/>
      <c r="G29" s="405"/>
      <c r="H29" s="405"/>
      <c r="I29" s="405"/>
      <c r="J29" s="405"/>
      <c r="K29" s="405"/>
      <c r="L29" s="405"/>
      <c r="M29" s="405"/>
      <c r="N29" s="405"/>
    </row>
    <row r="30" spans="1:14" x14ac:dyDescent="0.3">
      <c r="A30" s="405" t="s">
        <v>918</v>
      </c>
      <c r="B30" s="405"/>
      <c r="C30" s="405"/>
      <c r="D30" s="405"/>
      <c r="E30" s="405"/>
      <c r="F30" s="405"/>
      <c r="G30" s="404"/>
      <c r="H30" s="404"/>
      <c r="I30" s="404"/>
      <c r="J30" s="404"/>
      <c r="K30" s="231"/>
      <c r="L30" s="231"/>
      <c r="M30" s="231"/>
      <c r="N30" s="231"/>
    </row>
    <row r="31" spans="1:14" x14ac:dyDescent="0.3">
      <c r="A31" s="405" t="s">
        <v>1234</v>
      </c>
      <c r="B31" s="405"/>
      <c r="C31" s="405"/>
      <c r="D31" s="405"/>
      <c r="E31" s="405"/>
      <c r="F31" s="405"/>
      <c r="G31" s="404"/>
      <c r="H31" s="404"/>
      <c r="I31" s="404"/>
      <c r="J31" s="404"/>
      <c r="K31" s="231"/>
      <c r="L31" s="231"/>
      <c r="M31" s="231"/>
      <c r="N31" s="231"/>
    </row>
    <row r="32" spans="1:14" x14ac:dyDescent="0.3">
      <c r="A32" s="405" t="s">
        <v>968</v>
      </c>
      <c r="B32" s="405"/>
      <c r="C32" s="405"/>
      <c r="D32" s="405"/>
      <c r="E32" s="405"/>
      <c r="F32" s="405"/>
      <c r="G32" s="404"/>
      <c r="H32" s="404"/>
      <c r="I32" s="404"/>
      <c r="J32" s="404"/>
      <c r="K32" s="231"/>
      <c r="L32" s="231"/>
      <c r="M32" s="231"/>
      <c r="N32" s="231"/>
    </row>
    <row r="33" spans="1:14" x14ac:dyDescent="0.3">
      <c r="A33" s="405" t="s">
        <v>1202</v>
      </c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</row>
    <row r="34" spans="1:14" x14ac:dyDescent="0.3">
      <c r="A34" s="405" t="s">
        <v>822</v>
      </c>
      <c r="B34" s="405"/>
      <c r="C34" s="405"/>
      <c r="D34" s="405"/>
      <c r="E34" s="405"/>
      <c r="F34" s="405"/>
      <c r="G34" s="404"/>
      <c r="H34" s="404"/>
      <c r="I34" s="404"/>
      <c r="J34" s="404"/>
      <c r="K34" s="231"/>
      <c r="L34" s="231"/>
      <c r="M34" s="231"/>
      <c r="N34" s="231"/>
    </row>
    <row r="35" spans="1:14" x14ac:dyDescent="0.3">
      <c r="A35" s="404" t="s">
        <v>817</v>
      </c>
      <c r="B35" s="404"/>
      <c r="C35" s="404"/>
      <c r="D35" s="404"/>
      <c r="E35" s="404"/>
      <c r="F35" s="404"/>
      <c r="G35" s="404"/>
      <c r="H35" s="404"/>
      <c r="I35" s="404"/>
      <c r="J35" s="404"/>
      <c r="K35" s="231"/>
      <c r="L35" s="231"/>
      <c r="M35" s="231"/>
      <c r="N35" s="231"/>
    </row>
    <row r="36" spans="1:14" x14ac:dyDescent="0.3">
      <c r="A36" s="404" t="s">
        <v>1221</v>
      </c>
      <c r="B36" s="404"/>
      <c r="C36" s="404"/>
      <c r="D36" s="404"/>
      <c r="E36" s="404"/>
      <c r="F36" s="404"/>
      <c r="G36" s="405"/>
      <c r="H36" s="405"/>
      <c r="I36" s="405"/>
      <c r="J36" s="405"/>
      <c r="K36" s="405"/>
      <c r="L36" s="405"/>
      <c r="M36" s="405"/>
      <c r="N36" s="405"/>
    </row>
    <row r="37" spans="1:14" x14ac:dyDescent="0.3">
      <c r="A37" s="405" t="s">
        <v>72</v>
      </c>
      <c r="B37" s="405"/>
      <c r="C37" s="405"/>
      <c r="D37" s="405"/>
      <c r="E37" s="405"/>
      <c r="F37" s="405"/>
      <c r="G37" s="404"/>
      <c r="H37" s="404"/>
      <c r="I37" s="404"/>
      <c r="J37" s="404"/>
      <c r="K37" s="231"/>
      <c r="L37" s="231"/>
      <c r="M37" s="231"/>
      <c r="N37" s="231"/>
    </row>
    <row r="38" spans="1:14" x14ac:dyDescent="0.3">
      <c r="A38" s="405" t="s">
        <v>247</v>
      </c>
      <c r="B38" s="405"/>
      <c r="C38" s="405"/>
      <c r="D38" s="405"/>
      <c r="E38" s="405"/>
      <c r="F38" s="405"/>
      <c r="G38" s="404"/>
      <c r="H38" s="404"/>
      <c r="I38" s="404"/>
      <c r="J38" s="404"/>
      <c r="K38" s="231"/>
      <c r="L38" s="231"/>
      <c r="M38" s="231"/>
      <c r="N38" s="231"/>
    </row>
    <row r="39" spans="1:14" x14ac:dyDescent="0.3">
      <c r="A39" s="404" t="s">
        <v>919</v>
      </c>
      <c r="B39" s="404"/>
      <c r="C39" s="404"/>
      <c r="D39" s="404"/>
      <c r="E39" s="404"/>
      <c r="F39" s="404"/>
      <c r="G39" s="404"/>
      <c r="H39" s="404"/>
      <c r="I39" s="404"/>
      <c r="J39" s="404"/>
      <c r="K39" s="231"/>
      <c r="L39" s="231"/>
      <c r="M39" s="231"/>
      <c r="N39" s="231"/>
    </row>
    <row r="40" spans="1:14" x14ac:dyDescent="0.3">
      <c r="A40" s="404" t="s">
        <v>1221</v>
      </c>
      <c r="B40" s="404"/>
      <c r="C40" s="404"/>
      <c r="D40" s="404"/>
      <c r="E40" s="404"/>
      <c r="F40" s="404"/>
      <c r="G40" s="405"/>
      <c r="H40" s="405"/>
      <c r="I40" s="405"/>
      <c r="J40" s="405"/>
      <c r="K40" s="405"/>
      <c r="L40" s="405"/>
      <c r="M40" s="405"/>
      <c r="N40" s="405"/>
    </row>
    <row r="41" spans="1:14" x14ac:dyDescent="0.3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</row>
    <row r="42" spans="1:14" x14ac:dyDescent="0.3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 s="60" customFormat="1" x14ac:dyDescent="0.3"/>
    <row r="44" spans="1:14" x14ac:dyDescent="0.3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</row>
    <row r="45" spans="1:14" x14ac:dyDescent="0.3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</row>
    <row r="46" spans="1:14" ht="15.6" x14ac:dyDescent="0.3">
      <c r="A46" s="167" t="s">
        <v>716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</row>
    <row r="47" spans="1:14" x14ac:dyDescent="0.3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</row>
    <row r="48" spans="1:14" ht="24.9" customHeight="1" thickBot="1" x14ac:dyDescent="0.35">
      <c r="A48" s="254" t="s">
        <v>375</v>
      </c>
      <c r="B48" s="254"/>
      <c r="C48" s="254"/>
      <c r="D48" s="254"/>
      <c r="E48" s="254"/>
      <c r="F48" s="254"/>
      <c r="G48" s="247" t="s">
        <v>405</v>
      </c>
      <c r="H48" s="247"/>
      <c r="I48" s="247"/>
      <c r="J48" s="247"/>
      <c r="K48" s="247" t="s">
        <v>430</v>
      </c>
      <c r="L48" s="247"/>
      <c r="M48" s="247"/>
      <c r="N48" s="247"/>
    </row>
    <row r="49" spans="1:14" x14ac:dyDescent="0.3">
      <c r="A49" s="407" t="s">
        <v>955</v>
      </c>
      <c r="B49" s="407"/>
      <c r="C49" s="407"/>
      <c r="D49" s="407"/>
      <c r="E49" s="407"/>
      <c r="F49" s="407"/>
      <c r="G49" s="407">
        <v>0</v>
      </c>
      <c r="H49" s="407"/>
      <c r="I49" s="407"/>
      <c r="J49" s="407"/>
      <c r="K49" s="407">
        <v>0</v>
      </c>
      <c r="L49" s="407"/>
      <c r="M49" s="407"/>
      <c r="N49" s="407"/>
    </row>
    <row r="50" spans="1:14" ht="24.9" customHeight="1" x14ac:dyDescent="0.3">
      <c r="A50" s="404" t="s">
        <v>784</v>
      </c>
      <c r="B50" s="404"/>
      <c r="C50" s="404"/>
      <c r="D50" s="404"/>
      <c r="E50" s="404"/>
      <c r="F50" s="404"/>
      <c r="G50" s="404">
        <v>5683</v>
      </c>
      <c r="H50" s="404"/>
      <c r="I50" s="404"/>
      <c r="J50" s="404"/>
      <c r="K50" s="404">
        <v>8811</v>
      </c>
      <c r="L50" s="404"/>
      <c r="M50" s="404"/>
      <c r="N50" s="404"/>
    </row>
    <row r="51" spans="1:14" x14ac:dyDescent="0.3">
      <c r="A51" s="404" t="s">
        <v>244</v>
      </c>
      <c r="B51" s="404"/>
      <c r="C51" s="404"/>
      <c r="D51" s="404"/>
      <c r="E51" s="404"/>
      <c r="F51" s="404"/>
      <c r="G51" s="405"/>
      <c r="H51" s="405"/>
      <c r="I51" s="405"/>
      <c r="J51" s="405"/>
      <c r="K51" s="405"/>
      <c r="L51" s="405"/>
      <c r="M51" s="405"/>
      <c r="N51" s="405"/>
    </row>
    <row r="52" spans="1:14" x14ac:dyDescent="0.3">
      <c r="A52" s="404" t="s">
        <v>954</v>
      </c>
      <c r="B52" s="404"/>
      <c r="C52" s="404"/>
      <c r="D52" s="404"/>
      <c r="E52" s="404"/>
      <c r="F52" s="404"/>
      <c r="G52" s="404"/>
      <c r="H52" s="404"/>
      <c r="I52" s="404"/>
      <c r="J52" s="404"/>
      <c r="K52" s="404"/>
      <c r="L52" s="404"/>
      <c r="M52" s="404"/>
      <c r="N52" s="404"/>
    </row>
    <row r="53" spans="1:14" x14ac:dyDescent="0.3">
      <c r="A53" s="405" t="s">
        <v>1047</v>
      </c>
      <c r="B53" s="405"/>
      <c r="C53" s="405"/>
      <c r="D53" s="405"/>
      <c r="E53" s="405"/>
      <c r="F53" s="405"/>
      <c r="G53" s="405">
        <f>SUM(G50:J52)</f>
        <v>5683</v>
      </c>
      <c r="H53" s="405"/>
      <c r="I53" s="405"/>
      <c r="J53" s="405"/>
      <c r="K53" s="405">
        <f>SUM(K50:N52)</f>
        <v>8811</v>
      </c>
      <c r="L53" s="405"/>
      <c r="M53" s="405"/>
      <c r="N53" s="405"/>
    </row>
    <row r="54" spans="1:14" x14ac:dyDescent="0.3">
      <c r="A54" s="405" t="s">
        <v>1089</v>
      </c>
      <c r="B54" s="405"/>
      <c r="C54" s="405"/>
      <c r="D54" s="405"/>
      <c r="E54" s="405"/>
      <c r="F54" s="405"/>
      <c r="G54" s="405">
        <v>5585</v>
      </c>
      <c r="H54" s="405"/>
      <c r="I54" s="405"/>
      <c r="J54" s="405"/>
      <c r="K54" s="405">
        <v>8811</v>
      </c>
      <c r="L54" s="405"/>
      <c r="M54" s="405"/>
      <c r="N54" s="405"/>
    </row>
    <row r="55" spans="1:14" x14ac:dyDescent="0.3">
      <c r="A55" s="405" t="s">
        <v>351</v>
      </c>
      <c r="B55" s="405"/>
      <c r="C55" s="405"/>
      <c r="D55" s="405"/>
      <c r="E55" s="405"/>
      <c r="F55" s="405"/>
      <c r="G55" s="405">
        <f>G49+G53-G54</f>
        <v>98</v>
      </c>
      <c r="H55" s="405"/>
      <c r="I55" s="405"/>
      <c r="J55" s="405"/>
      <c r="K55" s="405">
        <f>K49+K53-K54</f>
        <v>0</v>
      </c>
      <c r="L55" s="405"/>
      <c r="M55" s="405"/>
      <c r="N55" s="405"/>
    </row>
    <row r="56" spans="1:14" x14ac:dyDescent="0.3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</row>
    <row r="57" spans="1:14" ht="15.6" x14ac:dyDescent="0.3">
      <c r="A57" s="167" t="s">
        <v>58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</row>
    <row r="58" spans="1:14" x14ac:dyDescent="0.3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</row>
    <row r="59" spans="1:14" x14ac:dyDescent="0.3">
      <c r="A59" s="367" t="s">
        <v>212</v>
      </c>
      <c r="B59" s="368"/>
      <c r="C59" s="368"/>
      <c r="D59" s="367" t="s">
        <v>737</v>
      </c>
      <c r="E59" s="368"/>
      <c r="F59" s="369"/>
      <c r="G59" s="254" t="s">
        <v>673</v>
      </c>
      <c r="H59" s="254"/>
      <c r="I59" s="254" t="s">
        <v>560</v>
      </c>
      <c r="J59" s="254"/>
      <c r="K59" s="254" t="s">
        <v>824</v>
      </c>
      <c r="L59" s="254"/>
      <c r="M59" s="254" t="s">
        <v>287</v>
      </c>
      <c r="N59" s="254"/>
    </row>
    <row r="60" spans="1:14" x14ac:dyDescent="0.3">
      <c r="A60" s="408"/>
      <c r="B60" s="409"/>
      <c r="C60" s="409"/>
      <c r="D60" s="410"/>
      <c r="E60" s="411"/>
      <c r="F60" s="412"/>
      <c r="G60" s="275"/>
      <c r="H60" s="275"/>
      <c r="I60" s="275"/>
      <c r="J60" s="275"/>
      <c r="K60" s="275"/>
      <c r="L60" s="275"/>
      <c r="M60" s="275"/>
      <c r="N60" s="275"/>
    </row>
    <row r="61" spans="1:14" x14ac:dyDescent="0.3">
      <c r="A61" s="413"/>
      <c r="B61" s="414"/>
      <c r="C61" s="414"/>
      <c r="D61" s="415"/>
      <c r="E61" s="416"/>
      <c r="F61" s="417"/>
      <c r="G61" s="264"/>
      <c r="H61" s="264"/>
      <c r="I61" s="264"/>
      <c r="J61" s="264"/>
      <c r="K61" s="264"/>
      <c r="L61" s="264"/>
      <c r="M61" s="264"/>
      <c r="N61" s="264"/>
    </row>
    <row r="62" spans="1:14" x14ac:dyDescent="0.3">
      <c r="A62" s="413"/>
      <c r="B62" s="414"/>
      <c r="C62" s="414"/>
      <c r="D62" s="415"/>
      <c r="E62" s="416"/>
      <c r="F62" s="417"/>
      <c r="G62" s="264"/>
      <c r="H62" s="264"/>
      <c r="I62" s="264"/>
      <c r="J62" s="264"/>
      <c r="K62" s="264"/>
      <c r="L62" s="264"/>
      <c r="M62" s="264"/>
      <c r="N62" s="264"/>
    </row>
    <row r="63" spans="1:14" x14ac:dyDescent="0.3">
      <c r="A63" s="413"/>
      <c r="B63" s="414"/>
      <c r="C63" s="414"/>
      <c r="D63" s="415"/>
      <c r="E63" s="416"/>
      <c r="F63" s="417"/>
      <c r="G63" s="264"/>
      <c r="H63" s="264"/>
      <c r="I63" s="264"/>
      <c r="J63" s="264"/>
      <c r="K63" s="264"/>
      <c r="L63" s="264"/>
      <c r="M63" s="264"/>
      <c r="N63" s="264"/>
    </row>
    <row r="64" spans="1:14" x14ac:dyDescent="0.3">
      <c r="A64" s="413"/>
      <c r="B64" s="414"/>
      <c r="C64" s="414"/>
      <c r="D64" s="415"/>
      <c r="E64" s="416"/>
      <c r="F64" s="417"/>
      <c r="G64" s="264"/>
      <c r="H64" s="264"/>
      <c r="I64" s="264"/>
      <c r="J64" s="264"/>
      <c r="K64" s="264"/>
      <c r="L64" s="264"/>
      <c r="M64" s="264"/>
      <c r="N64" s="264"/>
    </row>
    <row r="65" spans="1:14" x14ac:dyDescent="0.3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</row>
    <row r="66" spans="1:14" ht="15.6" x14ac:dyDescent="0.3">
      <c r="A66" s="167" t="s">
        <v>314</v>
      </c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</row>
    <row r="67" spans="1:14" x14ac:dyDescent="0.3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</row>
    <row r="68" spans="1:14" ht="50.1" customHeight="1" x14ac:dyDescent="0.3">
      <c r="A68" s="418" t="s">
        <v>375</v>
      </c>
      <c r="B68" s="418"/>
      <c r="C68" s="418"/>
      <c r="D68" s="84" t="s">
        <v>281</v>
      </c>
      <c r="E68" s="418" t="s">
        <v>692</v>
      </c>
      <c r="F68" s="418"/>
      <c r="G68" s="418" t="s">
        <v>1173</v>
      </c>
      <c r="H68" s="418"/>
      <c r="I68" s="418" t="s">
        <v>159</v>
      </c>
      <c r="J68" s="418"/>
      <c r="K68" s="418"/>
      <c r="L68" s="418" t="s">
        <v>271</v>
      </c>
      <c r="M68" s="418"/>
      <c r="N68" s="418"/>
    </row>
    <row r="69" spans="1:14" ht="15" thickBot="1" x14ac:dyDescent="0.35">
      <c r="A69" s="229" t="s">
        <v>1001</v>
      </c>
      <c r="B69" s="229"/>
      <c r="C69" s="229"/>
      <c r="D69" s="82" t="s">
        <v>28</v>
      </c>
      <c r="E69" s="229" t="s">
        <v>788</v>
      </c>
      <c r="F69" s="229"/>
      <c r="G69" s="229" t="s">
        <v>296</v>
      </c>
      <c r="H69" s="229"/>
      <c r="I69" s="229" t="s">
        <v>889</v>
      </c>
      <c r="J69" s="229"/>
      <c r="K69" s="229"/>
      <c r="L69" s="229" t="s">
        <v>191</v>
      </c>
      <c r="M69" s="229"/>
      <c r="N69" s="229"/>
    </row>
    <row r="70" spans="1:14" x14ac:dyDescent="0.3">
      <c r="A70" s="419" t="s">
        <v>243</v>
      </c>
      <c r="B70" s="420"/>
      <c r="C70" s="420"/>
      <c r="D70" s="420"/>
      <c r="E70" s="420"/>
      <c r="F70" s="420"/>
      <c r="G70" s="420"/>
      <c r="H70" s="420"/>
      <c r="I70" s="420"/>
      <c r="J70" s="420"/>
      <c r="K70" s="420"/>
      <c r="L70" s="420"/>
      <c r="M70" s="420"/>
      <c r="N70" s="421"/>
    </row>
    <row r="71" spans="1:14" x14ac:dyDescent="0.3">
      <c r="A71" s="233"/>
      <c r="B71" s="233"/>
      <c r="C71" s="233"/>
      <c r="D71" s="85"/>
      <c r="E71" s="233"/>
      <c r="F71" s="233"/>
      <c r="G71" s="401"/>
      <c r="H71" s="233"/>
      <c r="I71" s="233"/>
      <c r="J71" s="233"/>
      <c r="K71" s="233"/>
      <c r="L71" s="233"/>
      <c r="M71" s="233"/>
      <c r="N71" s="233"/>
    </row>
    <row r="72" spans="1:14" x14ac:dyDescent="0.3">
      <c r="A72" s="233" t="s">
        <v>1370</v>
      </c>
      <c r="B72" s="233"/>
      <c r="C72" s="233"/>
      <c r="D72" s="85" t="s">
        <v>1371</v>
      </c>
      <c r="E72" s="233" t="s">
        <v>1372</v>
      </c>
      <c r="F72" s="233"/>
      <c r="G72" s="401">
        <v>44061</v>
      </c>
      <c r="H72" s="233"/>
      <c r="I72" s="233"/>
      <c r="J72" s="233"/>
      <c r="K72" s="233"/>
      <c r="L72" s="233">
        <v>1250000</v>
      </c>
      <c r="M72" s="233"/>
      <c r="N72" s="233"/>
    </row>
    <row r="73" spans="1:14" x14ac:dyDescent="0.3">
      <c r="A73" s="308" t="s">
        <v>477</v>
      </c>
      <c r="B73" s="422"/>
      <c r="C73" s="422"/>
      <c r="D73" s="422"/>
      <c r="E73" s="422"/>
      <c r="F73" s="422"/>
      <c r="G73" s="422"/>
      <c r="H73" s="422"/>
      <c r="I73" s="422"/>
      <c r="J73" s="422"/>
      <c r="K73" s="422"/>
      <c r="L73" s="422"/>
      <c r="M73" s="422"/>
      <c r="N73" s="423"/>
    </row>
    <row r="74" spans="1:14" x14ac:dyDescent="0.3">
      <c r="A74" s="233" t="s">
        <v>1373</v>
      </c>
      <c r="B74" s="233"/>
      <c r="C74" s="233"/>
      <c r="D74" s="85" t="s">
        <v>1371</v>
      </c>
      <c r="E74" s="233"/>
      <c r="F74" s="233"/>
      <c r="G74" s="401">
        <v>43121</v>
      </c>
      <c r="H74" s="233"/>
      <c r="I74" s="233">
        <v>814</v>
      </c>
      <c r="J74" s="233"/>
      <c r="K74" s="233"/>
      <c r="L74" s="233">
        <v>2179</v>
      </c>
      <c r="M74" s="233"/>
      <c r="N74" s="233"/>
    </row>
    <row r="75" spans="1:14" x14ac:dyDescent="0.3">
      <c r="A75" s="233" t="s">
        <v>1370</v>
      </c>
      <c r="B75" s="233"/>
      <c r="C75" s="233"/>
      <c r="D75" s="85" t="s">
        <v>1371</v>
      </c>
      <c r="E75" s="233" t="s">
        <v>1372</v>
      </c>
      <c r="F75" s="233"/>
      <c r="G75" s="401">
        <v>43159</v>
      </c>
      <c r="H75" s="233"/>
      <c r="I75" s="233">
        <f>250000+1250000</f>
        <v>1500000</v>
      </c>
      <c r="J75" s="233"/>
      <c r="K75" s="233"/>
      <c r="L75" s="233">
        <v>1750000</v>
      </c>
      <c r="M75" s="233"/>
      <c r="N75" s="233"/>
    </row>
    <row r="76" spans="1:14" x14ac:dyDescent="0.3">
      <c r="A76" s="233" t="s">
        <v>1374</v>
      </c>
      <c r="B76" s="233"/>
      <c r="C76" s="233"/>
      <c r="D76" s="85" t="s">
        <v>1371</v>
      </c>
      <c r="E76" s="233" t="s">
        <v>1375</v>
      </c>
      <c r="F76" s="233"/>
      <c r="G76" s="401">
        <v>43025</v>
      </c>
      <c r="H76" s="233"/>
      <c r="I76" s="233">
        <v>0</v>
      </c>
      <c r="J76" s="233"/>
      <c r="K76" s="233"/>
      <c r="L76" s="233">
        <v>1350000</v>
      </c>
      <c r="M76" s="233"/>
      <c r="N76" s="233"/>
    </row>
    <row r="77" spans="1:14" ht="15.6" x14ac:dyDescent="0.3">
      <c r="A77" s="167" t="s">
        <v>764</v>
      </c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</row>
    <row r="78" spans="1:14" x14ac:dyDescent="0.3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</row>
    <row r="79" spans="1:14" ht="50.1" customHeight="1" x14ac:dyDescent="0.3">
      <c r="A79" s="418" t="s">
        <v>375</v>
      </c>
      <c r="B79" s="418"/>
      <c r="C79" s="418"/>
      <c r="D79" s="64" t="s">
        <v>281</v>
      </c>
      <c r="E79" s="418" t="s">
        <v>692</v>
      </c>
      <c r="F79" s="418"/>
      <c r="G79" s="418" t="s">
        <v>1173</v>
      </c>
      <c r="H79" s="418"/>
      <c r="I79" s="418" t="s">
        <v>159</v>
      </c>
      <c r="J79" s="418"/>
      <c r="K79" s="418"/>
      <c r="L79" s="418" t="s">
        <v>271</v>
      </c>
      <c r="M79" s="418"/>
      <c r="N79" s="418"/>
    </row>
    <row r="80" spans="1:14" x14ac:dyDescent="0.3">
      <c r="A80" s="229" t="s">
        <v>1001</v>
      </c>
      <c r="B80" s="229"/>
      <c r="C80" s="229"/>
      <c r="D80" s="65" t="s">
        <v>28</v>
      </c>
      <c r="E80" s="229" t="s">
        <v>788</v>
      </c>
      <c r="F80" s="229"/>
      <c r="G80" s="229" t="s">
        <v>296</v>
      </c>
      <c r="H80" s="229"/>
      <c r="I80" s="229" t="s">
        <v>889</v>
      </c>
      <c r="J80" s="229"/>
      <c r="K80" s="229"/>
      <c r="L80" s="229" t="s">
        <v>191</v>
      </c>
      <c r="M80" s="229"/>
      <c r="N80" s="229"/>
    </row>
    <row r="81" spans="1:14" x14ac:dyDescent="0.3">
      <c r="A81" s="419" t="s">
        <v>951</v>
      </c>
      <c r="B81" s="420"/>
      <c r="C81" s="420"/>
      <c r="D81" s="420"/>
      <c r="E81" s="420"/>
      <c r="F81" s="420"/>
      <c r="G81" s="420"/>
      <c r="H81" s="420"/>
      <c r="I81" s="420"/>
      <c r="J81" s="420"/>
      <c r="K81" s="420"/>
      <c r="L81" s="420"/>
      <c r="M81" s="420"/>
      <c r="N81" s="421"/>
    </row>
    <row r="82" spans="1:14" x14ac:dyDescent="0.3">
      <c r="A82" s="233"/>
      <c r="B82" s="233"/>
      <c r="C82" s="233"/>
      <c r="D82" s="63"/>
      <c r="E82" s="233"/>
      <c r="F82" s="233"/>
      <c r="G82" s="233"/>
      <c r="H82" s="233"/>
      <c r="I82" s="233"/>
      <c r="J82" s="233"/>
      <c r="K82" s="233"/>
      <c r="L82" s="233"/>
      <c r="M82" s="233"/>
      <c r="N82" s="233"/>
    </row>
    <row r="83" spans="1:14" x14ac:dyDescent="0.3">
      <c r="A83" s="233"/>
      <c r="B83" s="233"/>
      <c r="C83" s="233"/>
      <c r="D83" s="63"/>
      <c r="E83" s="233"/>
      <c r="F83" s="233"/>
      <c r="G83" s="233"/>
      <c r="H83" s="233"/>
      <c r="I83" s="233"/>
      <c r="J83" s="233"/>
      <c r="K83" s="233"/>
      <c r="L83" s="233"/>
      <c r="M83" s="233"/>
      <c r="N83" s="233"/>
    </row>
    <row r="84" spans="1:14" x14ac:dyDescent="0.3">
      <c r="A84" s="308" t="s">
        <v>1100</v>
      </c>
      <c r="B84" s="422"/>
      <c r="C84" s="422"/>
      <c r="D84" s="422"/>
      <c r="E84" s="422"/>
      <c r="F84" s="422"/>
      <c r="G84" s="422"/>
      <c r="H84" s="422"/>
      <c r="I84" s="422"/>
      <c r="J84" s="422"/>
      <c r="K84" s="422"/>
      <c r="L84" s="422"/>
      <c r="M84" s="422"/>
      <c r="N84" s="423"/>
    </row>
    <row r="85" spans="1:14" x14ac:dyDescent="0.3">
      <c r="A85" s="424" t="s">
        <v>1376</v>
      </c>
      <c r="B85" s="424"/>
      <c r="C85" s="424"/>
      <c r="D85" s="89" t="s">
        <v>1371</v>
      </c>
      <c r="E85" s="424">
        <v>3.71</v>
      </c>
      <c r="F85" s="424"/>
      <c r="G85" s="425">
        <v>43404</v>
      </c>
      <c r="H85" s="424"/>
      <c r="I85" s="424">
        <v>1031103</v>
      </c>
      <c r="J85" s="424"/>
      <c r="K85" s="424"/>
      <c r="L85" s="233">
        <v>1009731</v>
      </c>
      <c r="M85" s="233"/>
      <c r="N85" s="233"/>
    </row>
    <row r="86" spans="1:14" x14ac:dyDescent="0.3">
      <c r="A86" s="233"/>
      <c r="B86" s="233"/>
      <c r="C86" s="233"/>
      <c r="D86" s="63"/>
      <c r="E86" s="233"/>
      <c r="F86" s="233"/>
      <c r="G86" s="233"/>
      <c r="H86" s="233"/>
      <c r="I86" s="233"/>
      <c r="J86" s="233"/>
      <c r="K86" s="233"/>
      <c r="L86" s="233"/>
      <c r="M86" s="233"/>
      <c r="N86" s="233"/>
    </row>
    <row r="87" spans="1:14" x14ac:dyDescent="0.3">
      <c r="A87" s="308" t="s">
        <v>138</v>
      </c>
      <c r="B87" s="422"/>
      <c r="C87" s="422"/>
      <c r="D87" s="422"/>
      <c r="E87" s="422"/>
      <c r="F87" s="422"/>
      <c r="G87" s="422"/>
      <c r="H87" s="422"/>
      <c r="I87" s="422"/>
      <c r="J87" s="422"/>
      <c r="K87" s="422"/>
      <c r="L87" s="422"/>
      <c r="M87" s="422"/>
      <c r="N87" s="423"/>
    </row>
    <row r="88" spans="1:14" x14ac:dyDescent="0.3">
      <c r="A88" s="233"/>
      <c r="B88" s="233"/>
      <c r="C88" s="233"/>
      <c r="D88" s="63"/>
      <c r="E88" s="233"/>
      <c r="F88" s="233"/>
      <c r="G88" s="233"/>
      <c r="H88" s="233"/>
      <c r="I88" s="233"/>
      <c r="J88" s="233"/>
      <c r="K88" s="233"/>
      <c r="L88" s="233"/>
      <c r="M88" s="233"/>
      <c r="N88" s="233"/>
    </row>
    <row r="89" spans="1:14" x14ac:dyDescent="0.3">
      <c r="A89" s="233"/>
      <c r="B89" s="233"/>
      <c r="C89" s="233"/>
      <c r="D89" s="63"/>
      <c r="E89" s="233"/>
      <c r="F89" s="233"/>
      <c r="G89" s="233"/>
      <c r="H89" s="233"/>
      <c r="I89" s="233"/>
      <c r="J89" s="233"/>
      <c r="K89" s="233"/>
      <c r="L89" s="233"/>
      <c r="M89" s="233"/>
      <c r="N89" s="233"/>
    </row>
    <row r="90" spans="1:14" x14ac:dyDescent="0.3">
      <c r="A90" s="233"/>
      <c r="B90" s="233"/>
      <c r="C90" s="233"/>
      <c r="D90" s="63"/>
      <c r="E90" s="233"/>
      <c r="F90" s="233"/>
      <c r="G90" s="233"/>
      <c r="H90" s="233"/>
      <c r="I90" s="233"/>
      <c r="J90" s="233"/>
      <c r="K90" s="233"/>
      <c r="L90" s="233"/>
      <c r="M90" s="233"/>
      <c r="N90" s="233"/>
    </row>
  </sheetData>
  <mergeCells count="246">
    <mergeCell ref="A90:C90"/>
    <mergeCell ref="E90:F90"/>
    <mergeCell ref="G90:H90"/>
    <mergeCell ref="I90:K90"/>
    <mergeCell ref="L90:N90"/>
    <mergeCell ref="A87:N87"/>
    <mergeCell ref="A88:C88"/>
    <mergeCell ref="E88:F88"/>
    <mergeCell ref="G88:H88"/>
    <mergeCell ref="I88:K88"/>
    <mergeCell ref="L88:N88"/>
    <mergeCell ref="A89:C89"/>
    <mergeCell ref="E89:F89"/>
    <mergeCell ref="G89:H89"/>
    <mergeCell ref="I89:K89"/>
    <mergeCell ref="L89:N89"/>
    <mergeCell ref="A84:N84"/>
    <mergeCell ref="A85:C85"/>
    <mergeCell ref="E85:F85"/>
    <mergeCell ref="G85:H85"/>
    <mergeCell ref="I85:K85"/>
    <mergeCell ref="L85:N85"/>
    <mergeCell ref="A86:C86"/>
    <mergeCell ref="E86:F86"/>
    <mergeCell ref="G86:H86"/>
    <mergeCell ref="I86:K86"/>
    <mergeCell ref="L86:N86"/>
    <mergeCell ref="A81:N81"/>
    <mergeCell ref="A82:C82"/>
    <mergeCell ref="E82:F82"/>
    <mergeCell ref="G82:H82"/>
    <mergeCell ref="I82:K82"/>
    <mergeCell ref="L82:N82"/>
    <mergeCell ref="A83:C83"/>
    <mergeCell ref="E83:F83"/>
    <mergeCell ref="G83:H83"/>
    <mergeCell ref="I83:K83"/>
    <mergeCell ref="L83:N83"/>
    <mergeCell ref="A77:N77"/>
    <mergeCell ref="A79:C79"/>
    <mergeCell ref="E79:F79"/>
    <mergeCell ref="G79:H79"/>
    <mergeCell ref="I79:K79"/>
    <mergeCell ref="L79:N79"/>
    <mergeCell ref="A80:C80"/>
    <mergeCell ref="E80:F80"/>
    <mergeCell ref="G80:H80"/>
    <mergeCell ref="I80:K80"/>
    <mergeCell ref="L80:N80"/>
    <mergeCell ref="A73:N73"/>
    <mergeCell ref="A74:C74"/>
    <mergeCell ref="E74:F74"/>
    <mergeCell ref="G74:H74"/>
    <mergeCell ref="I74:K74"/>
    <mergeCell ref="L74:N74"/>
    <mergeCell ref="A75:C75"/>
    <mergeCell ref="E75:F75"/>
    <mergeCell ref="G75:H75"/>
    <mergeCell ref="I75:K75"/>
    <mergeCell ref="L75:N75"/>
    <mergeCell ref="A70:N70"/>
    <mergeCell ref="A71:C71"/>
    <mergeCell ref="E71:F71"/>
    <mergeCell ref="G71:H71"/>
    <mergeCell ref="I71:K71"/>
    <mergeCell ref="L71:N71"/>
    <mergeCell ref="A72:C72"/>
    <mergeCell ref="E72:F72"/>
    <mergeCell ref="G72:H72"/>
    <mergeCell ref="I72:K72"/>
    <mergeCell ref="L72:N72"/>
    <mergeCell ref="A66:N66"/>
    <mergeCell ref="A68:C68"/>
    <mergeCell ref="E68:F68"/>
    <mergeCell ref="G68:H68"/>
    <mergeCell ref="I68:K68"/>
    <mergeCell ref="L68:N68"/>
    <mergeCell ref="A69:C69"/>
    <mergeCell ref="E69:F69"/>
    <mergeCell ref="G69:H69"/>
    <mergeCell ref="I69:K69"/>
    <mergeCell ref="L69:N69"/>
    <mergeCell ref="A63:C63"/>
    <mergeCell ref="D63:F63"/>
    <mergeCell ref="G63:H63"/>
    <mergeCell ref="I63:J63"/>
    <mergeCell ref="K63:L63"/>
    <mergeCell ref="M63:N63"/>
    <mergeCell ref="A64:C64"/>
    <mergeCell ref="D64:F64"/>
    <mergeCell ref="G64:H64"/>
    <mergeCell ref="I64:J64"/>
    <mergeCell ref="K64:L64"/>
    <mergeCell ref="M64:N64"/>
    <mergeCell ref="A61:C61"/>
    <mergeCell ref="D61:F61"/>
    <mergeCell ref="G61:H61"/>
    <mergeCell ref="I61:J61"/>
    <mergeCell ref="K61:L61"/>
    <mergeCell ref="M61:N61"/>
    <mergeCell ref="A62:C62"/>
    <mergeCell ref="D62:F62"/>
    <mergeCell ref="G62:H62"/>
    <mergeCell ref="I62:J62"/>
    <mergeCell ref="K62:L62"/>
    <mergeCell ref="M62:N62"/>
    <mergeCell ref="A57:N57"/>
    <mergeCell ref="A59:C59"/>
    <mergeCell ref="D59:F59"/>
    <mergeCell ref="G59:H59"/>
    <mergeCell ref="I59:J59"/>
    <mergeCell ref="K59:L59"/>
    <mergeCell ref="M59:N59"/>
    <mergeCell ref="A60:C60"/>
    <mergeCell ref="D60:F60"/>
    <mergeCell ref="G60:H60"/>
    <mergeCell ref="I60:J60"/>
    <mergeCell ref="K60:L60"/>
    <mergeCell ref="M60:N60"/>
    <mergeCell ref="A53:F53"/>
    <mergeCell ref="G53:J53"/>
    <mergeCell ref="K53:N53"/>
    <mergeCell ref="A54:F54"/>
    <mergeCell ref="G54:J54"/>
    <mergeCell ref="K54:N54"/>
    <mergeCell ref="A55:F55"/>
    <mergeCell ref="G55:J55"/>
    <mergeCell ref="K55:N55"/>
    <mergeCell ref="A50:F50"/>
    <mergeCell ref="G50:J50"/>
    <mergeCell ref="K50:N50"/>
    <mergeCell ref="A51:F51"/>
    <mergeCell ref="G51:J51"/>
    <mergeCell ref="K51:N51"/>
    <mergeCell ref="A52:F52"/>
    <mergeCell ref="G52:J52"/>
    <mergeCell ref="K52:N52"/>
    <mergeCell ref="A40:F40"/>
    <mergeCell ref="G40:J40"/>
    <mergeCell ref="K40:N40"/>
    <mergeCell ref="A46:N46"/>
    <mergeCell ref="A48:F48"/>
    <mergeCell ref="G48:J48"/>
    <mergeCell ref="K48:N48"/>
    <mergeCell ref="A49:F49"/>
    <mergeCell ref="G49:J49"/>
    <mergeCell ref="K49:N49"/>
    <mergeCell ref="A37:F37"/>
    <mergeCell ref="G37:J37"/>
    <mergeCell ref="K37:N37"/>
    <mergeCell ref="A38:F38"/>
    <mergeCell ref="G38:J38"/>
    <mergeCell ref="K38:N38"/>
    <mergeCell ref="A39:F39"/>
    <mergeCell ref="G39:J39"/>
    <mergeCell ref="K39:N39"/>
    <mergeCell ref="A34:F34"/>
    <mergeCell ref="G34:J34"/>
    <mergeCell ref="K34:N34"/>
    <mergeCell ref="A35:F35"/>
    <mergeCell ref="G35:J35"/>
    <mergeCell ref="K35:N35"/>
    <mergeCell ref="A36:F36"/>
    <mergeCell ref="G36:J36"/>
    <mergeCell ref="K36:N36"/>
    <mergeCell ref="A31:F31"/>
    <mergeCell ref="G31:J31"/>
    <mergeCell ref="K31:N31"/>
    <mergeCell ref="A32:F32"/>
    <mergeCell ref="G32:J32"/>
    <mergeCell ref="K32:N32"/>
    <mergeCell ref="A33:F33"/>
    <mergeCell ref="G33:J33"/>
    <mergeCell ref="K33:N33"/>
    <mergeCell ref="A28:F28"/>
    <mergeCell ref="G28:J28"/>
    <mergeCell ref="K28:N28"/>
    <mergeCell ref="A29:F29"/>
    <mergeCell ref="G29:J29"/>
    <mergeCell ref="K29:N29"/>
    <mergeCell ref="A30:F30"/>
    <mergeCell ref="G30:J30"/>
    <mergeCell ref="K30:N30"/>
    <mergeCell ref="A25:F25"/>
    <mergeCell ref="G25:J25"/>
    <mergeCell ref="K25:N25"/>
    <mergeCell ref="A26:F26"/>
    <mergeCell ref="G26:J26"/>
    <mergeCell ref="K26:N26"/>
    <mergeCell ref="A27:F27"/>
    <mergeCell ref="G27:J27"/>
    <mergeCell ref="K27:N27"/>
    <mergeCell ref="A19:F19"/>
    <mergeCell ref="G19:J19"/>
    <mergeCell ref="K19:N19"/>
    <mergeCell ref="A21:N21"/>
    <mergeCell ref="A23:F23"/>
    <mergeCell ref="G23:J23"/>
    <mergeCell ref="K23:N23"/>
    <mergeCell ref="A24:F24"/>
    <mergeCell ref="G24:J24"/>
    <mergeCell ref="K24:N24"/>
    <mergeCell ref="A16:F16"/>
    <mergeCell ref="G16:J16"/>
    <mergeCell ref="K16:N16"/>
    <mergeCell ref="A17:F17"/>
    <mergeCell ref="G17:J17"/>
    <mergeCell ref="K17:N17"/>
    <mergeCell ref="A18:F18"/>
    <mergeCell ref="G18:J18"/>
    <mergeCell ref="K18:N18"/>
    <mergeCell ref="A9:F9"/>
    <mergeCell ref="G9:J9"/>
    <mergeCell ref="K9:N9"/>
    <mergeCell ref="A11:N11"/>
    <mergeCell ref="A13:F14"/>
    <mergeCell ref="G13:N13"/>
    <mergeCell ref="G14:J14"/>
    <mergeCell ref="K14:N14"/>
    <mergeCell ref="A15:F15"/>
    <mergeCell ref="G15:J15"/>
    <mergeCell ref="K15:N15"/>
    <mergeCell ref="A76:C76"/>
    <mergeCell ref="E76:F76"/>
    <mergeCell ref="G76:H76"/>
    <mergeCell ref="I76:K76"/>
    <mergeCell ref="L76:N76"/>
    <mergeCell ref="A1:N1"/>
    <mergeCell ref="A3:F3"/>
    <mergeCell ref="G3:J3"/>
    <mergeCell ref="K3:N3"/>
    <mergeCell ref="A4:F4"/>
    <mergeCell ref="G4:J4"/>
    <mergeCell ref="K4:N4"/>
    <mergeCell ref="A5:F5"/>
    <mergeCell ref="G5:J5"/>
    <mergeCell ref="K5:N5"/>
    <mergeCell ref="A6:F6"/>
    <mergeCell ref="G6:J6"/>
    <mergeCell ref="K6:N6"/>
    <mergeCell ref="A7:F7"/>
    <mergeCell ref="G7:J7"/>
    <mergeCell ref="K7:N7"/>
    <mergeCell ref="A8:F8"/>
    <mergeCell ref="G8:J8"/>
    <mergeCell ref="K8:N8"/>
  </mergeCells>
  <pageMargins left="0.7" right="0.7" top="0.75" bottom="0.75" header="0.3" footer="0.3"/>
  <pageSetup paperSize="9" scale="98" orientation="portrait" r:id="rId1"/>
  <rowBreaks count="1" manualBreakCount="1">
    <brk id="45" max="1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7"/>
  <sheetViews>
    <sheetView topLeftCell="A52" zoomScaleNormal="100" workbookViewId="0">
      <selection activeCell="K66" sqref="K66:L66"/>
    </sheetView>
  </sheetViews>
  <sheetFormatPr defaultRowHeight="14.4" x14ac:dyDescent="0.3"/>
  <cols>
    <col min="1" max="14" width="6" customWidth="1"/>
  </cols>
  <sheetData>
    <row r="1" spans="1:14" s="62" customFormat="1" x14ac:dyDescent="0.3"/>
    <row r="2" spans="1:14" ht="15.6" x14ac:dyDescent="0.3">
      <c r="A2" s="355" t="s">
        <v>1000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1:14" ht="39.9" customHeight="1" x14ac:dyDescent="0.3">
      <c r="A3" s="247" t="s">
        <v>375</v>
      </c>
      <c r="B3" s="247"/>
      <c r="C3" s="247"/>
      <c r="D3" s="247"/>
      <c r="E3" s="247"/>
      <c r="F3" s="247"/>
      <c r="G3" s="247"/>
      <c r="H3" s="247"/>
      <c r="I3" s="247" t="s">
        <v>405</v>
      </c>
      <c r="J3" s="247"/>
      <c r="K3" s="247"/>
      <c r="L3" s="247" t="s">
        <v>430</v>
      </c>
      <c r="M3" s="247"/>
      <c r="N3" s="247"/>
    </row>
    <row r="4" spans="1:14" ht="15" customHeight="1" x14ac:dyDescent="0.3">
      <c r="A4" s="427" t="s">
        <v>589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</row>
    <row r="5" spans="1:14" s="62" customFormat="1" x14ac:dyDescent="0.3">
      <c r="A5" s="404"/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</row>
    <row r="6" spans="1:14" s="62" customFormat="1" x14ac:dyDescent="0.3">
      <c r="A6" s="404"/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</row>
    <row r="7" spans="1:14" x14ac:dyDescent="0.3">
      <c r="A7" s="356" t="s">
        <v>78</v>
      </c>
      <c r="B7" s="356"/>
      <c r="C7" s="356"/>
      <c r="D7" s="356"/>
      <c r="E7" s="356"/>
      <c r="F7" s="356"/>
      <c r="G7" s="356"/>
      <c r="H7" s="356"/>
      <c r="I7" s="233">
        <v>4365</v>
      </c>
      <c r="J7" s="233"/>
      <c r="K7" s="233"/>
      <c r="L7" s="404">
        <v>14716</v>
      </c>
      <c r="M7" s="404"/>
      <c r="N7" s="404"/>
    </row>
    <row r="8" spans="1:14" x14ac:dyDescent="0.3">
      <c r="A8" s="356" t="s">
        <v>1377</v>
      </c>
      <c r="B8" s="356"/>
      <c r="C8" s="356"/>
      <c r="D8" s="356"/>
      <c r="E8" s="356"/>
      <c r="F8" s="356"/>
      <c r="G8" s="356"/>
      <c r="H8" s="356"/>
      <c r="I8" s="233">
        <v>4325</v>
      </c>
      <c r="J8" s="233"/>
      <c r="K8" s="233"/>
      <c r="L8" s="404">
        <v>14716</v>
      </c>
      <c r="M8" s="404"/>
      <c r="N8" s="404"/>
    </row>
    <row r="9" spans="1:14" x14ac:dyDescent="0.3">
      <c r="A9" s="356" t="s">
        <v>1378</v>
      </c>
      <c r="B9" s="356"/>
      <c r="C9" s="356"/>
      <c r="D9" s="356"/>
      <c r="E9" s="356"/>
      <c r="F9" s="356"/>
      <c r="G9" s="356"/>
      <c r="H9" s="356"/>
      <c r="I9" s="233">
        <v>40</v>
      </c>
      <c r="J9" s="233"/>
      <c r="K9" s="233"/>
      <c r="L9" s="233"/>
      <c r="M9" s="233"/>
      <c r="N9" s="233"/>
    </row>
    <row r="10" spans="1:14" x14ac:dyDescent="0.3">
      <c r="A10" s="356" t="s">
        <v>668</v>
      </c>
      <c r="B10" s="356"/>
      <c r="C10" s="356"/>
      <c r="D10" s="356"/>
      <c r="E10" s="356"/>
      <c r="F10" s="356"/>
      <c r="G10" s="356"/>
      <c r="H10" s="356"/>
      <c r="I10" s="233"/>
      <c r="J10" s="233"/>
      <c r="K10" s="233"/>
      <c r="L10" s="233"/>
      <c r="M10" s="233"/>
      <c r="N10" s="233"/>
    </row>
    <row r="11" spans="1:14" x14ac:dyDescent="0.3">
      <c r="A11" s="356"/>
      <c r="B11" s="356"/>
      <c r="C11" s="356"/>
      <c r="D11" s="356"/>
      <c r="E11" s="356"/>
      <c r="F11" s="356"/>
      <c r="G11" s="356"/>
      <c r="H11" s="356"/>
      <c r="I11" s="233"/>
      <c r="J11" s="233"/>
      <c r="K11" s="233"/>
      <c r="L11" s="233"/>
      <c r="M11" s="233"/>
      <c r="N11" s="233"/>
    </row>
    <row r="12" spans="1:14" x14ac:dyDescent="0.3">
      <c r="A12" s="356"/>
      <c r="B12" s="356"/>
      <c r="C12" s="356"/>
      <c r="D12" s="356"/>
      <c r="E12" s="356"/>
      <c r="F12" s="356"/>
      <c r="G12" s="356"/>
      <c r="H12" s="356"/>
      <c r="I12" s="233"/>
      <c r="J12" s="233"/>
      <c r="K12" s="233"/>
      <c r="L12" s="233"/>
      <c r="M12" s="233"/>
      <c r="N12" s="233"/>
    </row>
    <row r="13" spans="1:14" x14ac:dyDescent="0.3">
      <c r="A13" s="356" t="s">
        <v>82</v>
      </c>
      <c r="B13" s="356"/>
      <c r="C13" s="356"/>
      <c r="D13" s="356"/>
      <c r="E13" s="356"/>
      <c r="F13" s="356"/>
      <c r="G13" s="356"/>
      <c r="H13" s="356"/>
      <c r="I13" s="233"/>
      <c r="J13" s="233"/>
      <c r="K13" s="233"/>
      <c r="L13" s="233"/>
      <c r="M13" s="233"/>
      <c r="N13" s="233"/>
    </row>
    <row r="14" spans="1:14" x14ac:dyDescent="0.3">
      <c r="A14" s="356"/>
      <c r="B14" s="356"/>
      <c r="C14" s="356"/>
      <c r="D14" s="356"/>
      <c r="E14" s="356"/>
      <c r="F14" s="356"/>
      <c r="G14" s="356"/>
      <c r="H14" s="356"/>
      <c r="I14" s="233"/>
      <c r="J14" s="233"/>
      <c r="K14" s="233"/>
      <c r="L14" s="233"/>
      <c r="M14" s="233"/>
      <c r="N14" s="233"/>
    </row>
    <row r="15" spans="1:14" x14ac:dyDescent="0.3">
      <c r="A15" s="356"/>
      <c r="B15" s="356"/>
      <c r="C15" s="356"/>
      <c r="D15" s="356"/>
      <c r="E15" s="356"/>
      <c r="F15" s="356"/>
      <c r="G15" s="356"/>
      <c r="H15" s="356"/>
      <c r="I15" s="233"/>
      <c r="J15" s="233"/>
      <c r="K15" s="233"/>
      <c r="L15" s="233"/>
      <c r="M15" s="233"/>
      <c r="N15" s="233"/>
    </row>
    <row r="17" spans="1:14" ht="15.6" x14ac:dyDescent="0.3">
      <c r="A17" s="355" t="s">
        <v>1063</v>
      </c>
      <c r="B17" s="355"/>
      <c r="C17" s="355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</row>
    <row r="18" spans="1:14" s="62" customFormat="1" x14ac:dyDescent="0.3">
      <c r="A18" s="228" t="s">
        <v>375</v>
      </c>
      <c r="B18" s="228"/>
      <c r="C18" s="228"/>
      <c r="D18" s="228"/>
      <c r="E18" s="228"/>
      <c r="F18" s="228"/>
      <c r="G18" s="228"/>
      <c r="H18" s="228" t="s">
        <v>1057</v>
      </c>
      <c r="I18" s="228"/>
      <c r="J18" s="228"/>
      <c r="K18" s="228"/>
      <c r="L18" s="228" t="s">
        <v>997</v>
      </c>
      <c r="M18" s="228"/>
      <c r="N18" s="228"/>
    </row>
    <row r="19" spans="1:14" ht="15.75" customHeight="1" x14ac:dyDescent="0.3">
      <c r="A19" s="418"/>
      <c r="B19" s="418"/>
      <c r="C19" s="418"/>
      <c r="D19" s="418"/>
      <c r="E19" s="418"/>
      <c r="F19" s="418"/>
      <c r="G19" s="418"/>
      <c r="H19" s="418" t="s">
        <v>1302</v>
      </c>
      <c r="I19" s="418"/>
      <c r="J19" s="418" t="s">
        <v>838</v>
      </c>
      <c r="K19" s="418"/>
      <c r="L19" s="418"/>
      <c r="M19" s="418"/>
      <c r="N19" s="418"/>
    </row>
    <row r="20" spans="1:14" ht="15.75" customHeight="1" x14ac:dyDescent="0.3">
      <c r="A20" s="339" t="s">
        <v>1001</v>
      </c>
      <c r="B20" s="339"/>
      <c r="C20" s="339"/>
      <c r="D20" s="339"/>
      <c r="E20" s="339"/>
      <c r="F20" s="339"/>
      <c r="G20" s="339"/>
      <c r="H20" s="339" t="s">
        <v>28</v>
      </c>
      <c r="I20" s="339"/>
      <c r="J20" s="339" t="s">
        <v>788</v>
      </c>
      <c r="K20" s="339"/>
      <c r="L20" s="339" t="s">
        <v>296</v>
      </c>
      <c r="M20" s="339"/>
      <c r="N20" s="339"/>
    </row>
    <row r="21" spans="1:14" ht="15" customHeight="1" x14ac:dyDescent="0.3">
      <c r="A21" s="359" t="s">
        <v>1241</v>
      </c>
      <c r="B21" s="359"/>
      <c r="C21" s="359"/>
      <c r="D21" s="359"/>
      <c r="E21" s="359"/>
      <c r="F21" s="359"/>
      <c r="G21" s="359"/>
      <c r="H21" s="439"/>
      <c r="I21" s="439"/>
      <c r="J21" s="439"/>
      <c r="K21" s="439"/>
      <c r="L21" s="436"/>
      <c r="M21" s="437"/>
      <c r="N21" s="438"/>
    </row>
    <row r="22" spans="1:14" x14ac:dyDescent="0.3">
      <c r="A22" s="356"/>
      <c r="B22" s="356"/>
      <c r="C22" s="356"/>
      <c r="D22" s="356"/>
      <c r="E22" s="356"/>
      <c r="F22" s="356"/>
      <c r="G22" s="356"/>
      <c r="H22" s="432"/>
      <c r="I22" s="432"/>
      <c r="J22" s="432"/>
      <c r="K22" s="432"/>
      <c r="L22" s="433"/>
      <c r="M22" s="434"/>
      <c r="N22" s="435"/>
    </row>
    <row r="23" spans="1:14" x14ac:dyDescent="0.3">
      <c r="A23" s="356"/>
      <c r="B23" s="356"/>
      <c r="C23" s="356"/>
      <c r="D23" s="356"/>
      <c r="E23" s="356"/>
      <c r="F23" s="356"/>
      <c r="G23" s="356"/>
      <c r="H23" s="432"/>
      <c r="I23" s="432"/>
      <c r="J23" s="432"/>
      <c r="K23" s="432"/>
      <c r="L23" s="433"/>
      <c r="M23" s="434"/>
      <c r="N23" s="435"/>
    </row>
    <row r="24" spans="1:14" ht="15" customHeight="1" x14ac:dyDescent="0.3">
      <c r="A24" s="356"/>
      <c r="B24" s="356"/>
      <c r="C24" s="356"/>
      <c r="D24" s="356"/>
      <c r="E24" s="356"/>
      <c r="F24" s="356"/>
      <c r="G24" s="356"/>
      <c r="H24" s="432"/>
      <c r="I24" s="432"/>
      <c r="J24" s="268"/>
      <c r="K24" s="268"/>
      <c r="L24" s="429"/>
      <c r="M24" s="430"/>
      <c r="N24" s="431"/>
    </row>
    <row r="25" spans="1:14" x14ac:dyDescent="0.3">
      <c r="A25" s="356"/>
      <c r="B25" s="356"/>
      <c r="C25" s="356"/>
      <c r="D25" s="356"/>
      <c r="E25" s="356"/>
      <c r="F25" s="356"/>
      <c r="G25" s="356"/>
      <c r="H25" s="432"/>
      <c r="I25" s="432"/>
      <c r="J25" s="268"/>
      <c r="K25" s="268"/>
      <c r="L25" s="429"/>
      <c r="M25" s="430"/>
      <c r="N25" s="431"/>
    </row>
    <row r="26" spans="1:14" x14ac:dyDescent="0.3">
      <c r="A26" s="356" t="s">
        <v>1219</v>
      </c>
      <c r="B26" s="356"/>
      <c r="C26" s="356"/>
      <c r="D26" s="356"/>
      <c r="E26" s="356"/>
      <c r="F26" s="356"/>
      <c r="G26" s="356"/>
      <c r="H26" s="432"/>
      <c r="I26" s="432"/>
      <c r="J26" s="268"/>
      <c r="K26" s="268"/>
      <c r="L26" s="429"/>
      <c r="M26" s="430"/>
      <c r="N26" s="431"/>
    </row>
    <row r="27" spans="1:14" ht="15" customHeight="1" x14ac:dyDescent="0.3">
      <c r="A27" s="356"/>
      <c r="B27" s="356"/>
      <c r="C27" s="356"/>
      <c r="D27" s="356"/>
      <c r="E27" s="356"/>
      <c r="F27" s="356"/>
      <c r="G27" s="356"/>
      <c r="H27" s="432"/>
      <c r="I27" s="432"/>
      <c r="J27" s="268"/>
      <c r="K27" s="268"/>
      <c r="L27" s="429"/>
      <c r="M27" s="430"/>
      <c r="N27" s="431"/>
    </row>
    <row r="28" spans="1:14" x14ac:dyDescent="0.3">
      <c r="A28" s="356"/>
      <c r="B28" s="356"/>
      <c r="C28" s="356"/>
      <c r="D28" s="356"/>
      <c r="E28" s="356"/>
      <c r="F28" s="356"/>
      <c r="G28" s="356"/>
      <c r="H28" s="432"/>
      <c r="I28" s="432"/>
      <c r="J28" s="268"/>
      <c r="K28" s="268"/>
      <c r="L28" s="429"/>
      <c r="M28" s="430"/>
      <c r="N28" s="431"/>
    </row>
    <row r="29" spans="1:14" x14ac:dyDescent="0.3">
      <c r="A29" s="356"/>
      <c r="B29" s="356"/>
      <c r="C29" s="356"/>
      <c r="D29" s="356"/>
      <c r="E29" s="356"/>
      <c r="F29" s="356"/>
      <c r="G29" s="356"/>
      <c r="H29" s="432"/>
      <c r="I29" s="432"/>
      <c r="J29" s="268"/>
      <c r="K29" s="268"/>
      <c r="L29" s="429"/>
      <c r="M29" s="430"/>
      <c r="N29" s="431"/>
    </row>
    <row r="30" spans="1:14" ht="15" customHeight="1" x14ac:dyDescent="0.3">
      <c r="A30" s="356"/>
      <c r="B30" s="356"/>
      <c r="C30" s="356"/>
      <c r="D30" s="356"/>
      <c r="E30" s="356"/>
      <c r="F30" s="356"/>
      <c r="G30" s="356"/>
      <c r="H30" s="432"/>
      <c r="I30" s="432"/>
      <c r="J30" s="268"/>
      <c r="K30" s="268"/>
      <c r="L30" s="429"/>
      <c r="M30" s="430"/>
      <c r="N30" s="431"/>
    </row>
    <row r="32" spans="1:14" ht="15.75" customHeight="1" x14ac:dyDescent="0.3">
      <c r="A32" s="355" t="s">
        <v>632</v>
      </c>
      <c r="B32" s="355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</row>
    <row r="33" spans="1:14" ht="24.9" customHeight="1" x14ac:dyDescent="0.3">
      <c r="A33" s="228" t="s">
        <v>375</v>
      </c>
      <c r="B33" s="228"/>
      <c r="C33" s="228"/>
      <c r="D33" s="228"/>
      <c r="E33" s="228"/>
      <c r="F33" s="228"/>
      <c r="G33" s="228" t="s">
        <v>405</v>
      </c>
      <c r="H33" s="228"/>
      <c r="I33" s="228"/>
      <c r="J33" s="228"/>
      <c r="K33" s="228" t="s">
        <v>430</v>
      </c>
      <c r="L33" s="228"/>
      <c r="M33" s="228"/>
      <c r="N33" s="228"/>
    </row>
    <row r="34" spans="1:14" s="62" customFormat="1" ht="24.9" customHeight="1" x14ac:dyDescent="0.3">
      <c r="A34" s="228"/>
      <c r="B34" s="228"/>
      <c r="C34" s="228"/>
      <c r="D34" s="228"/>
      <c r="E34" s="228"/>
      <c r="F34" s="228"/>
      <c r="G34" s="228" t="s">
        <v>1251</v>
      </c>
      <c r="H34" s="228"/>
      <c r="I34" s="228"/>
      <c r="J34" s="228"/>
      <c r="K34" s="228" t="s">
        <v>1251</v>
      </c>
      <c r="L34" s="228"/>
      <c r="M34" s="228"/>
      <c r="N34" s="228"/>
    </row>
    <row r="35" spans="1:14" ht="24.9" customHeight="1" x14ac:dyDescent="0.3">
      <c r="A35" s="228"/>
      <c r="B35" s="228"/>
      <c r="C35" s="228"/>
      <c r="D35" s="228"/>
      <c r="E35" s="228"/>
      <c r="F35" s="228"/>
      <c r="G35" s="228" t="s">
        <v>1107</v>
      </c>
      <c r="H35" s="228"/>
      <c r="I35" s="228" t="s">
        <v>1199</v>
      </c>
      <c r="J35" s="228"/>
      <c r="K35" s="228" t="s">
        <v>1107</v>
      </c>
      <c r="L35" s="228"/>
      <c r="M35" s="228" t="s">
        <v>1199</v>
      </c>
      <c r="N35" s="228"/>
    </row>
    <row r="36" spans="1:14" x14ac:dyDescent="0.3">
      <c r="A36" s="339" t="s">
        <v>1001</v>
      </c>
      <c r="B36" s="339"/>
      <c r="C36" s="339"/>
      <c r="D36" s="339"/>
      <c r="E36" s="339"/>
      <c r="F36" s="339"/>
      <c r="G36" s="339" t="s">
        <v>28</v>
      </c>
      <c r="H36" s="339"/>
      <c r="I36" s="339" t="s">
        <v>788</v>
      </c>
      <c r="J36" s="339"/>
      <c r="K36" s="339" t="s">
        <v>296</v>
      </c>
      <c r="L36" s="339"/>
      <c r="M36" s="339" t="s">
        <v>889</v>
      </c>
      <c r="N36" s="339"/>
    </row>
    <row r="37" spans="1:14" ht="15" customHeight="1" x14ac:dyDescent="0.3">
      <c r="A37" s="427" t="s">
        <v>1241</v>
      </c>
      <c r="B37" s="427"/>
      <c r="C37" s="427"/>
      <c r="D37" s="427"/>
      <c r="E37" s="427"/>
      <c r="F37" s="427"/>
      <c r="G37" s="427"/>
      <c r="H37" s="427"/>
      <c r="I37" s="427"/>
      <c r="J37" s="427"/>
      <c r="K37" s="427"/>
      <c r="L37" s="427"/>
      <c r="M37" s="427"/>
      <c r="N37" s="427"/>
    </row>
    <row r="38" spans="1:14" x14ac:dyDescent="0.3">
      <c r="A38" s="404"/>
      <c r="B38" s="404"/>
      <c r="C38" s="404"/>
      <c r="D38" s="404"/>
      <c r="E38" s="404"/>
      <c r="F38" s="404"/>
      <c r="G38" s="404"/>
      <c r="H38" s="404"/>
      <c r="I38" s="404"/>
      <c r="J38" s="404"/>
      <c r="K38" s="404"/>
      <c r="L38" s="404"/>
      <c r="M38" s="404"/>
      <c r="N38" s="404"/>
    </row>
    <row r="39" spans="1:14" x14ac:dyDescent="0.3">
      <c r="A39" s="404"/>
      <c r="B39" s="404"/>
      <c r="C39" s="404"/>
      <c r="D39" s="404"/>
      <c r="E39" s="404"/>
      <c r="F39" s="404"/>
      <c r="G39" s="404"/>
      <c r="H39" s="404"/>
      <c r="I39" s="404"/>
      <c r="J39" s="404"/>
      <c r="K39" s="404"/>
      <c r="L39" s="404"/>
      <c r="M39" s="404"/>
      <c r="N39" s="404"/>
    </row>
    <row r="40" spans="1:14" x14ac:dyDescent="0.3">
      <c r="A40" s="404"/>
      <c r="B40" s="404"/>
      <c r="C40" s="404"/>
      <c r="D40" s="404"/>
      <c r="E40" s="404"/>
      <c r="F40" s="404"/>
      <c r="G40" s="404"/>
      <c r="H40" s="404"/>
      <c r="I40" s="404"/>
      <c r="J40" s="404"/>
      <c r="K40" s="231"/>
      <c r="L40" s="231"/>
      <c r="M40" s="231"/>
      <c r="N40" s="231"/>
    </row>
    <row r="41" spans="1:14" x14ac:dyDescent="0.3">
      <c r="A41" s="404"/>
      <c r="B41" s="404"/>
      <c r="C41" s="404"/>
      <c r="D41" s="404"/>
      <c r="E41" s="404"/>
      <c r="F41" s="404"/>
      <c r="G41" s="404"/>
      <c r="H41" s="404"/>
      <c r="I41" s="404"/>
      <c r="J41" s="404"/>
      <c r="K41" s="231"/>
      <c r="L41" s="231"/>
      <c r="M41" s="231"/>
      <c r="N41" s="231"/>
    </row>
    <row r="42" spans="1:14" ht="15" customHeight="1" x14ac:dyDescent="0.3">
      <c r="A42" s="404" t="s">
        <v>1219</v>
      </c>
      <c r="B42" s="404"/>
      <c r="C42" s="404"/>
      <c r="D42" s="404"/>
      <c r="E42" s="404"/>
      <c r="F42" s="404"/>
      <c r="G42" s="404"/>
      <c r="H42" s="404"/>
      <c r="I42" s="404"/>
      <c r="J42" s="404"/>
      <c r="K42" s="231"/>
      <c r="L42" s="231"/>
      <c r="M42" s="231"/>
      <c r="N42" s="231"/>
    </row>
    <row r="43" spans="1:14" x14ac:dyDescent="0.3">
      <c r="A43" s="404"/>
      <c r="B43" s="404"/>
      <c r="C43" s="404"/>
      <c r="D43" s="404"/>
      <c r="E43" s="404"/>
      <c r="F43" s="404"/>
      <c r="G43" s="404"/>
      <c r="H43" s="404"/>
      <c r="I43" s="404"/>
      <c r="J43" s="404"/>
      <c r="K43" s="231"/>
      <c r="L43" s="231"/>
      <c r="M43" s="231"/>
      <c r="N43" s="231"/>
    </row>
    <row r="44" spans="1:14" x14ac:dyDescent="0.3">
      <c r="A44" s="404"/>
      <c r="B44" s="404"/>
      <c r="C44" s="404"/>
      <c r="D44" s="404"/>
      <c r="E44" s="404"/>
      <c r="F44" s="404"/>
      <c r="G44" s="404"/>
      <c r="H44" s="404"/>
      <c r="I44" s="404"/>
      <c r="J44" s="404"/>
      <c r="K44" s="231"/>
      <c r="L44" s="231"/>
      <c r="M44" s="231"/>
      <c r="N44" s="231"/>
    </row>
    <row r="45" spans="1:14" x14ac:dyDescent="0.3">
      <c r="A45" s="404"/>
      <c r="B45" s="404"/>
      <c r="C45" s="404"/>
      <c r="D45" s="404"/>
      <c r="E45" s="404"/>
      <c r="F45" s="404"/>
      <c r="G45" s="404"/>
      <c r="H45" s="404"/>
      <c r="I45" s="404"/>
      <c r="J45" s="404"/>
      <c r="K45" s="231"/>
      <c r="L45" s="231"/>
      <c r="M45" s="231"/>
      <c r="N45" s="231"/>
    </row>
    <row r="46" spans="1:14" x14ac:dyDescent="0.3">
      <c r="A46" s="404"/>
      <c r="B46" s="404"/>
      <c r="C46" s="404"/>
      <c r="D46" s="404"/>
      <c r="E46" s="404"/>
      <c r="F46" s="404"/>
      <c r="G46" s="404"/>
      <c r="H46" s="404"/>
      <c r="I46" s="404"/>
      <c r="J46" s="404"/>
      <c r="K46" s="231"/>
      <c r="L46" s="231"/>
      <c r="M46" s="231"/>
      <c r="N46" s="231"/>
    </row>
    <row r="48" spans="1:14" ht="15.6" x14ac:dyDescent="0.3">
      <c r="A48" s="167" t="s">
        <v>652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</row>
    <row r="49" spans="1:14" x14ac:dyDescent="0.3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</row>
    <row r="50" spans="1:14" s="62" customFormat="1" x14ac:dyDescent="0.3">
      <c r="A50" s="255" t="s">
        <v>557</v>
      </c>
      <c r="B50" s="255"/>
      <c r="C50" s="255"/>
      <c r="D50" s="255"/>
      <c r="E50" s="255"/>
      <c r="F50" s="255"/>
      <c r="G50" s="230" t="s">
        <v>1174</v>
      </c>
      <c r="H50" s="230"/>
      <c r="I50" s="230"/>
      <c r="J50" s="230"/>
      <c r="K50" s="230"/>
      <c r="L50" s="230"/>
      <c r="M50" s="230"/>
      <c r="N50" s="230"/>
    </row>
    <row r="51" spans="1:14" ht="24.9" customHeight="1" x14ac:dyDescent="0.3">
      <c r="A51" s="255"/>
      <c r="B51" s="255"/>
      <c r="C51" s="255"/>
      <c r="D51" s="255"/>
      <c r="E51" s="255"/>
      <c r="F51" s="255"/>
      <c r="G51" s="228" t="s">
        <v>405</v>
      </c>
      <c r="H51" s="228"/>
      <c r="I51" s="228"/>
      <c r="J51" s="228"/>
      <c r="K51" s="228" t="s">
        <v>430</v>
      </c>
      <c r="L51" s="228"/>
      <c r="M51" s="228"/>
      <c r="N51" s="228"/>
    </row>
    <row r="52" spans="1:14" x14ac:dyDescent="0.3">
      <c r="A52" s="428" t="s">
        <v>1001</v>
      </c>
      <c r="B52" s="428"/>
      <c r="C52" s="428"/>
      <c r="D52" s="428"/>
      <c r="E52" s="428"/>
      <c r="F52" s="428"/>
      <c r="G52" s="339" t="s">
        <v>28</v>
      </c>
      <c r="H52" s="339"/>
      <c r="I52" s="339"/>
      <c r="J52" s="339"/>
      <c r="K52" s="339" t="s">
        <v>788</v>
      </c>
      <c r="L52" s="339"/>
      <c r="M52" s="339"/>
      <c r="N52" s="339"/>
    </row>
    <row r="53" spans="1:14" x14ac:dyDescent="0.3">
      <c r="A53" s="403" t="s">
        <v>986</v>
      </c>
      <c r="B53" s="403"/>
      <c r="C53" s="403"/>
      <c r="D53" s="403"/>
      <c r="E53" s="403"/>
      <c r="F53" s="403"/>
      <c r="G53" s="407"/>
      <c r="H53" s="407"/>
      <c r="I53" s="407"/>
      <c r="J53" s="407"/>
      <c r="K53" s="234"/>
      <c r="L53" s="234"/>
      <c r="M53" s="234"/>
      <c r="N53" s="234"/>
    </row>
    <row r="54" spans="1:14" x14ac:dyDescent="0.3">
      <c r="A54" s="404" t="s">
        <v>462</v>
      </c>
      <c r="B54" s="404"/>
      <c r="C54" s="404"/>
      <c r="D54" s="404"/>
      <c r="E54" s="404"/>
      <c r="F54" s="404"/>
      <c r="G54" s="404"/>
      <c r="H54" s="404"/>
      <c r="I54" s="404"/>
      <c r="J54" s="404"/>
      <c r="K54" s="231"/>
      <c r="L54" s="231"/>
      <c r="M54" s="231"/>
      <c r="N54" s="231"/>
    </row>
    <row r="55" spans="1:14" ht="24.9" customHeight="1" x14ac:dyDescent="0.3">
      <c r="A55" s="404" t="s">
        <v>1028</v>
      </c>
      <c r="B55" s="404"/>
      <c r="C55" s="404"/>
      <c r="D55" s="404"/>
      <c r="E55" s="404"/>
      <c r="F55" s="404"/>
      <c r="G55" s="405"/>
      <c r="H55" s="405"/>
      <c r="I55" s="405"/>
      <c r="J55" s="405"/>
      <c r="K55" s="405"/>
      <c r="L55" s="405"/>
      <c r="M55" s="405"/>
      <c r="N55" s="405"/>
    </row>
    <row r="56" spans="1:14" ht="24.9" customHeight="1" x14ac:dyDescent="0.3">
      <c r="A56" s="404" t="s">
        <v>29</v>
      </c>
      <c r="B56" s="404"/>
      <c r="C56" s="404"/>
      <c r="D56" s="404"/>
      <c r="E56" s="404"/>
      <c r="F56" s="404"/>
      <c r="G56" s="404"/>
      <c r="H56" s="404"/>
      <c r="I56" s="404"/>
      <c r="J56" s="404"/>
      <c r="K56" s="231"/>
      <c r="L56" s="231"/>
      <c r="M56" s="231"/>
      <c r="N56" s="231"/>
    </row>
    <row r="57" spans="1:14" x14ac:dyDescent="0.3">
      <c r="A57" s="405" t="s">
        <v>518</v>
      </c>
      <c r="B57" s="405"/>
      <c r="C57" s="405"/>
      <c r="D57" s="405"/>
      <c r="E57" s="405"/>
      <c r="F57" s="405"/>
      <c r="G57" s="405">
        <f>SUM(G53:J56)</f>
        <v>0</v>
      </c>
      <c r="H57" s="405"/>
      <c r="I57" s="405"/>
      <c r="J57" s="405"/>
      <c r="K57" s="405">
        <f>SUM(K53:N56)</f>
        <v>0</v>
      </c>
      <c r="L57" s="405"/>
      <c r="M57" s="405"/>
      <c r="N57" s="405"/>
    </row>
    <row r="59" spans="1:14" ht="15.6" x14ac:dyDescent="0.3">
      <c r="A59" s="167" t="s">
        <v>240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</row>
    <row r="61" spans="1:14" x14ac:dyDescent="0.3">
      <c r="A61" s="228" t="s">
        <v>375</v>
      </c>
      <c r="B61" s="228"/>
      <c r="C61" s="228" t="s">
        <v>405</v>
      </c>
      <c r="D61" s="228"/>
      <c r="E61" s="228"/>
      <c r="F61" s="228"/>
      <c r="G61" s="228"/>
      <c r="H61" s="228"/>
      <c r="I61" s="228" t="s">
        <v>430</v>
      </c>
      <c r="J61" s="228"/>
      <c r="K61" s="228"/>
      <c r="L61" s="228"/>
      <c r="M61" s="228"/>
      <c r="N61" s="228"/>
    </row>
    <row r="62" spans="1:14" x14ac:dyDescent="0.3">
      <c r="A62" s="228"/>
      <c r="B62" s="228"/>
      <c r="C62" s="228" t="s">
        <v>287</v>
      </c>
      <c r="D62" s="228"/>
      <c r="E62" s="228"/>
      <c r="F62" s="228"/>
      <c r="G62" s="228"/>
      <c r="H62" s="228"/>
      <c r="I62" s="228" t="s">
        <v>287</v>
      </c>
      <c r="J62" s="228"/>
      <c r="K62" s="228"/>
      <c r="L62" s="228"/>
      <c r="M62" s="228"/>
      <c r="N62" s="228"/>
    </row>
    <row r="63" spans="1:14" ht="39.9" customHeight="1" x14ac:dyDescent="0.3">
      <c r="A63" s="228"/>
      <c r="B63" s="228"/>
      <c r="C63" s="228" t="s">
        <v>868</v>
      </c>
      <c r="D63" s="228"/>
      <c r="E63" s="228" t="s">
        <v>1278</v>
      </c>
      <c r="F63" s="228"/>
      <c r="G63" s="228" t="s">
        <v>340</v>
      </c>
      <c r="H63" s="228"/>
      <c r="I63" s="228" t="s">
        <v>868</v>
      </c>
      <c r="J63" s="228"/>
      <c r="K63" s="228" t="s">
        <v>516</v>
      </c>
      <c r="L63" s="228"/>
      <c r="M63" s="228" t="s">
        <v>340</v>
      </c>
      <c r="N63" s="228"/>
    </row>
    <row r="64" spans="1:14" x14ac:dyDescent="0.3">
      <c r="A64" s="229" t="s">
        <v>1001</v>
      </c>
      <c r="B64" s="229"/>
      <c r="C64" s="229" t="s">
        <v>28</v>
      </c>
      <c r="D64" s="229"/>
      <c r="E64" s="229" t="s">
        <v>788</v>
      </c>
      <c r="F64" s="229"/>
      <c r="G64" s="229" t="s">
        <v>296</v>
      </c>
      <c r="H64" s="229"/>
      <c r="I64" s="229" t="s">
        <v>889</v>
      </c>
      <c r="J64" s="229"/>
      <c r="K64" s="229" t="s">
        <v>191</v>
      </c>
      <c r="L64" s="229"/>
      <c r="M64" s="229" t="s">
        <v>747</v>
      </c>
      <c r="N64" s="229"/>
    </row>
    <row r="65" spans="1:14" x14ac:dyDescent="0.3">
      <c r="A65" s="265" t="s">
        <v>547</v>
      </c>
      <c r="B65" s="265"/>
      <c r="C65" s="426">
        <v>1319</v>
      </c>
      <c r="D65" s="426"/>
      <c r="E65" s="426"/>
      <c r="F65" s="426"/>
      <c r="G65" s="426"/>
      <c r="H65" s="426"/>
      <c r="I65" s="426">
        <v>988</v>
      </c>
      <c r="J65" s="426"/>
      <c r="K65" s="426">
        <v>1319</v>
      </c>
      <c r="L65" s="426"/>
      <c r="M65" s="426"/>
      <c r="N65" s="426"/>
    </row>
    <row r="66" spans="1:14" x14ac:dyDescent="0.3">
      <c r="A66" s="267" t="s">
        <v>572</v>
      </c>
      <c r="B66" s="267"/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</row>
    <row r="67" spans="1:14" x14ac:dyDescent="0.3">
      <c r="A67" s="341" t="s">
        <v>518</v>
      </c>
      <c r="B67" s="341"/>
      <c r="C67" s="230">
        <f>SUM(C65:D66)</f>
        <v>1319</v>
      </c>
      <c r="D67" s="230"/>
      <c r="E67" s="230">
        <f>SUM(E65:F66)</f>
        <v>0</v>
      </c>
      <c r="F67" s="230"/>
      <c r="G67" s="230">
        <f>SUM(G65:H66)</f>
        <v>0</v>
      </c>
      <c r="H67" s="230"/>
      <c r="I67" s="230">
        <f>SUM(I65:J66)</f>
        <v>988</v>
      </c>
      <c r="J67" s="230"/>
      <c r="K67" s="230">
        <f>SUM(K65:L66)</f>
        <v>1319</v>
      </c>
      <c r="L67" s="230"/>
      <c r="M67" s="230">
        <f>SUM(M65:N66)</f>
        <v>0</v>
      </c>
      <c r="N67" s="230"/>
    </row>
  </sheetData>
  <mergeCells count="218">
    <mergeCell ref="A2:N2"/>
    <mergeCell ref="A3:H3"/>
    <mergeCell ref="I3:K3"/>
    <mergeCell ref="L3:N3"/>
    <mergeCell ref="A4:H4"/>
    <mergeCell ref="I4:K4"/>
    <mergeCell ref="L4:N4"/>
    <mergeCell ref="L11:N11"/>
    <mergeCell ref="A12:H12"/>
    <mergeCell ref="I12:K12"/>
    <mergeCell ref="L12:N12"/>
    <mergeCell ref="L9:N9"/>
    <mergeCell ref="A10:H10"/>
    <mergeCell ref="I10:K10"/>
    <mergeCell ref="L10:N10"/>
    <mergeCell ref="A7:H7"/>
    <mergeCell ref="I7:K7"/>
    <mergeCell ref="L7:N7"/>
    <mergeCell ref="A8:H8"/>
    <mergeCell ref="I8:K8"/>
    <mergeCell ref="L8:N8"/>
    <mergeCell ref="L5:N5"/>
    <mergeCell ref="L6:N6"/>
    <mergeCell ref="A17:N17"/>
    <mergeCell ref="L18:N19"/>
    <mergeCell ref="H19:I19"/>
    <mergeCell ref="J19:K19"/>
    <mergeCell ref="H18:K18"/>
    <mergeCell ref="A15:H15"/>
    <mergeCell ref="I15:K15"/>
    <mergeCell ref="L15:N15"/>
    <mergeCell ref="A5:H5"/>
    <mergeCell ref="A6:H6"/>
    <mergeCell ref="I5:K5"/>
    <mergeCell ref="I6:K6"/>
    <mergeCell ref="A13:H13"/>
    <mergeCell ref="I13:K13"/>
    <mergeCell ref="A9:H9"/>
    <mergeCell ref="I9:K9"/>
    <mergeCell ref="L13:N13"/>
    <mergeCell ref="A14:H14"/>
    <mergeCell ref="I14:K14"/>
    <mergeCell ref="L14:N14"/>
    <mergeCell ref="A11:H11"/>
    <mergeCell ref="I11:K11"/>
    <mergeCell ref="A18:G19"/>
    <mergeCell ref="J25:K25"/>
    <mergeCell ref="J26:K26"/>
    <mergeCell ref="L23:N23"/>
    <mergeCell ref="L24:N24"/>
    <mergeCell ref="H23:I23"/>
    <mergeCell ref="H24:I24"/>
    <mergeCell ref="J23:K23"/>
    <mergeCell ref="J24:K24"/>
    <mergeCell ref="L21:N21"/>
    <mergeCell ref="L22:N22"/>
    <mergeCell ref="H21:I21"/>
    <mergeCell ref="H22:I22"/>
    <mergeCell ref="J21:K21"/>
    <mergeCell ref="J22:K22"/>
    <mergeCell ref="A21:G21"/>
    <mergeCell ref="A22:G22"/>
    <mergeCell ref="A23:G23"/>
    <mergeCell ref="A24:G24"/>
    <mergeCell ref="A25:G25"/>
    <mergeCell ref="I42:J42"/>
    <mergeCell ref="L29:N29"/>
    <mergeCell ref="L30:N30"/>
    <mergeCell ref="A29:G29"/>
    <mergeCell ref="A30:G30"/>
    <mergeCell ref="H29:I29"/>
    <mergeCell ref="H30:I30"/>
    <mergeCell ref="J29:K29"/>
    <mergeCell ref="J30:K30"/>
    <mergeCell ref="A40:F40"/>
    <mergeCell ref="L27:N27"/>
    <mergeCell ref="L28:N28"/>
    <mergeCell ref="A27:G27"/>
    <mergeCell ref="A28:G28"/>
    <mergeCell ref="H27:I27"/>
    <mergeCell ref="H28:I28"/>
    <mergeCell ref="J27:K27"/>
    <mergeCell ref="J28:K28"/>
    <mergeCell ref="A36:F36"/>
    <mergeCell ref="J20:K20"/>
    <mergeCell ref="L20:N20"/>
    <mergeCell ref="A32:N32"/>
    <mergeCell ref="A45:F45"/>
    <mergeCell ref="G36:H36"/>
    <mergeCell ref="G37:H37"/>
    <mergeCell ref="G38:H38"/>
    <mergeCell ref="G39:H39"/>
    <mergeCell ref="A33:F35"/>
    <mergeCell ref="I36:J36"/>
    <mergeCell ref="G40:H40"/>
    <mergeCell ref="G41:H41"/>
    <mergeCell ref="G42:H42"/>
    <mergeCell ref="G43:H43"/>
    <mergeCell ref="A20:G20"/>
    <mergeCell ref="H20:I20"/>
    <mergeCell ref="A37:F37"/>
    <mergeCell ref="A38:F38"/>
    <mergeCell ref="A39:F39"/>
    <mergeCell ref="L25:N25"/>
    <mergeCell ref="L26:N26"/>
    <mergeCell ref="A26:G26"/>
    <mergeCell ref="H25:I25"/>
    <mergeCell ref="H26:I26"/>
    <mergeCell ref="C62:H62"/>
    <mergeCell ref="I62:N62"/>
    <mergeCell ref="C63:D63"/>
    <mergeCell ref="E63:F63"/>
    <mergeCell ref="A41:F41"/>
    <mergeCell ref="A42:F42"/>
    <mergeCell ref="A56:F56"/>
    <mergeCell ref="G56:J56"/>
    <mergeCell ref="K56:N56"/>
    <mergeCell ref="A57:F57"/>
    <mergeCell ref="K63:L63"/>
    <mergeCell ref="M63:N63"/>
    <mergeCell ref="A59:N59"/>
    <mergeCell ref="A61:B63"/>
    <mergeCell ref="C61:H61"/>
    <mergeCell ref="I61:N61"/>
    <mergeCell ref="G44:H44"/>
    <mergeCell ref="G45:H45"/>
    <mergeCell ref="G46:H46"/>
    <mergeCell ref="G63:H63"/>
    <mergeCell ref="I63:J63"/>
    <mergeCell ref="A46:F46"/>
    <mergeCell ref="G57:J57"/>
    <mergeCell ref="K57:N57"/>
    <mergeCell ref="K52:N52"/>
    <mergeCell ref="I41:J41"/>
    <mergeCell ref="A43:F43"/>
    <mergeCell ref="A44:F44"/>
    <mergeCell ref="A54:F54"/>
    <mergeCell ref="G54:J54"/>
    <mergeCell ref="K54:N54"/>
    <mergeCell ref="A55:F55"/>
    <mergeCell ref="G55:J55"/>
    <mergeCell ref="K55:N55"/>
    <mergeCell ref="A52:F52"/>
    <mergeCell ref="G52:J52"/>
    <mergeCell ref="K41:L41"/>
    <mergeCell ref="A48:N48"/>
    <mergeCell ref="G51:J51"/>
    <mergeCell ref="K51:N51"/>
    <mergeCell ref="A53:F53"/>
    <mergeCell ref="G53:J53"/>
    <mergeCell ref="K53:N53"/>
    <mergeCell ref="A50:F51"/>
    <mergeCell ref="G50:N50"/>
    <mergeCell ref="M46:N46"/>
    <mergeCell ref="K42:L42"/>
    <mergeCell ref="K43:L43"/>
    <mergeCell ref="K44:L44"/>
    <mergeCell ref="K45:L45"/>
    <mergeCell ref="I43:J43"/>
    <mergeCell ref="I44:J44"/>
    <mergeCell ref="I45:J45"/>
    <mergeCell ref="I46:J46"/>
    <mergeCell ref="K46:L46"/>
    <mergeCell ref="M42:N42"/>
    <mergeCell ref="M43:N43"/>
    <mergeCell ref="M44:N44"/>
    <mergeCell ref="M45:N45"/>
    <mergeCell ref="G33:J33"/>
    <mergeCell ref="K33:N33"/>
    <mergeCell ref="G34:J34"/>
    <mergeCell ref="K34:N34"/>
    <mergeCell ref="G35:H35"/>
    <mergeCell ref="I35:J35"/>
    <mergeCell ref="K35:L35"/>
    <mergeCell ref="M35:N35"/>
    <mergeCell ref="M41:N41"/>
    <mergeCell ref="M36:N36"/>
    <mergeCell ref="M37:N37"/>
    <mergeCell ref="M38:N38"/>
    <mergeCell ref="M39:N39"/>
    <mergeCell ref="K36:L36"/>
    <mergeCell ref="K37:L37"/>
    <mergeCell ref="K38:L38"/>
    <mergeCell ref="K39:L39"/>
    <mergeCell ref="K40:L40"/>
    <mergeCell ref="M40:N40"/>
    <mergeCell ref="I37:J37"/>
    <mergeCell ref="I38:J38"/>
    <mergeCell ref="I39:J39"/>
    <mergeCell ref="I40:J40"/>
    <mergeCell ref="M64:N64"/>
    <mergeCell ref="A64:B64"/>
    <mergeCell ref="A65:B65"/>
    <mergeCell ref="C65:D65"/>
    <mergeCell ref="E65:F65"/>
    <mergeCell ref="G65:H65"/>
    <mergeCell ref="I65:J65"/>
    <mergeCell ref="K65:L65"/>
    <mergeCell ref="M65:N65"/>
    <mergeCell ref="C64:D64"/>
    <mergeCell ref="E64:F64"/>
    <mergeCell ref="G64:H64"/>
    <mergeCell ref="I64:J64"/>
    <mergeCell ref="K64:L64"/>
    <mergeCell ref="M66:N66"/>
    <mergeCell ref="A67:B67"/>
    <mergeCell ref="C67:D67"/>
    <mergeCell ref="E67:F67"/>
    <mergeCell ref="G67:H67"/>
    <mergeCell ref="I67:J67"/>
    <mergeCell ref="K67:L67"/>
    <mergeCell ref="M67:N67"/>
    <mergeCell ref="A66:B66"/>
    <mergeCell ref="C66:D66"/>
    <mergeCell ref="E66:F66"/>
    <mergeCell ref="G66:H66"/>
    <mergeCell ref="I66:J66"/>
    <mergeCell ref="K66:L6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86"/>
  <sheetViews>
    <sheetView topLeftCell="A16" zoomScaleNormal="100" workbookViewId="0">
      <selection activeCell="P13" sqref="P13"/>
    </sheetView>
  </sheetViews>
  <sheetFormatPr defaultRowHeight="14.4" x14ac:dyDescent="0.3"/>
  <cols>
    <col min="1" max="14" width="6" customWidth="1"/>
  </cols>
  <sheetData>
    <row r="1" spans="1:14" s="66" customFormat="1" x14ac:dyDescent="0.3"/>
    <row r="2" spans="1:14" s="66" customFormat="1" ht="18" x14ac:dyDescent="0.35">
      <c r="A2" s="400" t="s">
        <v>1245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</row>
    <row r="3" spans="1:14" s="66" customFormat="1" x14ac:dyDescent="0.3"/>
    <row r="4" spans="1:14" ht="15.6" x14ac:dyDescent="0.3">
      <c r="A4" s="167" t="s">
        <v>953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6" spans="1:14" ht="24.9" customHeight="1" x14ac:dyDescent="0.3">
      <c r="A6" s="228" t="s">
        <v>883</v>
      </c>
      <c r="B6" s="228"/>
      <c r="C6" s="228" t="s">
        <v>1430</v>
      </c>
      <c r="D6" s="228"/>
      <c r="E6" s="228"/>
      <c r="F6" s="228"/>
      <c r="G6" s="228" t="s">
        <v>1432</v>
      </c>
      <c r="H6" s="228"/>
      <c r="I6" s="228"/>
      <c r="J6" s="228"/>
      <c r="K6" s="228" t="s">
        <v>1431</v>
      </c>
      <c r="L6" s="228"/>
      <c r="M6" s="228"/>
      <c r="N6" s="228"/>
    </row>
    <row r="7" spans="1:14" ht="50.1" customHeight="1" x14ac:dyDescent="0.3">
      <c r="A7" s="228"/>
      <c r="B7" s="228"/>
      <c r="C7" s="228" t="s">
        <v>405</v>
      </c>
      <c r="D7" s="228"/>
      <c r="E7" s="228" t="s">
        <v>430</v>
      </c>
      <c r="F7" s="228"/>
      <c r="G7" s="228" t="s">
        <v>405</v>
      </c>
      <c r="H7" s="228"/>
      <c r="I7" s="228" t="s">
        <v>430</v>
      </c>
      <c r="J7" s="228"/>
      <c r="K7" s="228" t="s">
        <v>405</v>
      </c>
      <c r="L7" s="228"/>
      <c r="M7" s="228" t="s">
        <v>430</v>
      </c>
      <c r="N7" s="228"/>
    </row>
    <row r="8" spans="1:14" x14ac:dyDescent="0.3">
      <c r="A8" s="229" t="s">
        <v>1001</v>
      </c>
      <c r="B8" s="229"/>
      <c r="C8" s="229" t="s">
        <v>28</v>
      </c>
      <c r="D8" s="229"/>
      <c r="E8" s="229" t="s">
        <v>788</v>
      </c>
      <c r="F8" s="229"/>
      <c r="G8" s="229" t="s">
        <v>296</v>
      </c>
      <c r="H8" s="229"/>
      <c r="I8" s="229" t="s">
        <v>889</v>
      </c>
      <c r="J8" s="229"/>
      <c r="K8" s="229" t="s">
        <v>191</v>
      </c>
      <c r="L8" s="229"/>
      <c r="M8" s="229" t="s">
        <v>747</v>
      </c>
      <c r="N8" s="229"/>
    </row>
    <row r="9" spans="1:14" x14ac:dyDescent="0.3">
      <c r="A9" s="265" t="s">
        <v>1379</v>
      </c>
      <c r="B9" s="265"/>
      <c r="C9" s="266"/>
      <c r="D9" s="266"/>
      <c r="E9" s="266">
        <v>7559</v>
      </c>
      <c r="F9" s="266"/>
      <c r="G9" s="266">
        <v>8167</v>
      </c>
      <c r="H9" s="266"/>
      <c r="I9" s="266"/>
      <c r="J9" s="266"/>
      <c r="K9" s="266">
        <v>4503996</v>
      </c>
      <c r="L9" s="266"/>
      <c r="M9" s="266">
        <v>3732265</v>
      </c>
      <c r="N9" s="266"/>
    </row>
    <row r="10" spans="1:14" s="66" customFormat="1" x14ac:dyDescent="0.3">
      <c r="A10" s="267" t="s">
        <v>1380</v>
      </c>
      <c r="B10" s="267"/>
      <c r="C10" s="268"/>
      <c r="D10" s="268"/>
      <c r="E10" s="268">
        <v>31046</v>
      </c>
      <c r="F10" s="268"/>
      <c r="G10" s="268"/>
      <c r="H10" s="268"/>
      <c r="I10" s="268"/>
      <c r="J10" s="268"/>
      <c r="K10" s="268">
        <f>8208742+3218</f>
        <v>8211960</v>
      </c>
      <c r="L10" s="268"/>
      <c r="M10" s="268">
        <v>10886128</v>
      </c>
      <c r="N10" s="268"/>
    </row>
    <row r="11" spans="1:14" s="66" customFormat="1" x14ac:dyDescent="0.3">
      <c r="A11" s="267"/>
      <c r="B11" s="267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</row>
    <row r="12" spans="1:14" s="66" customFormat="1" x14ac:dyDescent="0.3">
      <c r="A12" s="267"/>
      <c r="B12" s="267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</row>
    <row r="13" spans="1:14" x14ac:dyDescent="0.3">
      <c r="A13" s="341" t="s">
        <v>518</v>
      </c>
      <c r="B13" s="341"/>
      <c r="C13" s="358">
        <f>SUM(C9:D12)</f>
        <v>0</v>
      </c>
      <c r="D13" s="358"/>
      <c r="E13" s="358">
        <f>SUM(E9:F12)</f>
        <v>38605</v>
      </c>
      <c r="F13" s="358"/>
      <c r="G13" s="358">
        <f>SUM(G9:H12)</f>
        <v>8167</v>
      </c>
      <c r="H13" s="358"/>
      <c r="I13" s="358">
        <f>SUM(I9:J12)</f>
        <v>0</v>
      </c>
      <c r="J13" s="358"/>
      <c r="K13" s="358">
        <f>SUM(K9:L12)</f>
        <v>12715956</v>
      </c>
      <c r="L13" s="358"/>
      <c r="M13" s="358">
        <f>SUM(M9:N12)</f>
        <v>14618393</v>
      </c>
      <c r="N13" s="358"/>
    </row>
    <row r="15" spans="1:14" ht="15.6" x14ac:dyDescent="0.3">
      <c r="A15" s="167" t="s">
        <v>99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  <row r="16" spans="1:14" x14ac:dyDescent="0.3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</row>
    <row r="17" spans="1:14" ht="24.9" customHeight="1" x14ac:dyDescent="0.3">
      <c r="A17" s="283" t="s">
        <v>375</v>
      </c>
      <c r="B17" s="284"/>
      <c r="C17" s="284"/>
      <c r="D17" s="284"/>
      <c r="E17" s="235" t="s">
        <v>405</v>
      </c>
      <c r="F17" s="273"/>
      <c r="G17" s="228" t="s">
        <v>430</v>
      </c>
      <c r="H17" s="228"/>
      <c r="I17" s="228"/>
      <c r="J17" s="228"/>
      <c r="K17" s="228" t="s">
        <v>994</v>
      </c>
      <c r="L17" s="228"/>
      <c r="M17" s="228"/>
      <c r="N17" s="228"/>
    </row>
    <row r="18" spans="1:14" ht="45" customHeight="1" x14ac:dyDescent="0.3">
      <c r="A18" s="286"/>
      <c r="B18" s="287"/>
      <c r="C18" s="287"/>
      <c r="D18" s="287"/>
      <c r="E18" s="228" t="s">
        <v>260</v>
      </c>
      <c r="F18" s="228"/>
      <c r="G18" s="228" t="s">
        <v>96</v>
      </c>
      <c r="H18" s="228"/>
      <c r="I18" s="228" t="s">
        <v>513</v>
      </c>
      <c r="J18" s="228"/>
      <c r="K18" s="228" t="s">
        <v>405</v>
      </c>
      <c r="L18" s="228"/>
      <c r="M18" s="228" t="s">
        <v>430</v>
      </c>
      <c r="N18" s="228"/>
    </row>
    <row r="19" spans="1:14" x14ac:dyDescent="0.3">
      <c r="A19" s="237" t="s">
        <v>1001</v>
      </c>
      <c r="B19" s="447"/>
      <c r="C19" s="447"/>
      <c r="D19" s="448"/>
      <c r="E19" s="237" t="s">
        <v>28</v>
      </c>
      <c r="F19" s="448"/>
      <c r="G19" s="237" t="s">
        <v>788</v>
      </c>
      <c r="H19" s="448"/>
      <c r="I19" s="237" t="s">
        <v>296</v>
      </c>
      <c r="J19" s="448"/>
      <c r="K19" s="237" t="s">
        <v>889</v>
      </c>
      <c r="L19" s="448"/>
      <c r="M19" s="237" t="s">
        <v>191</v>
      </c>
      <c r="N19" s="448"/>
    </row>
    <row r="20" spans="1:14" ht="24.9" customHeight="1" x14ac:dyDescent="0.3">
      <c r="A20" s="449" t="s">
        <v>902</v>
      </c>
      <c r="B20" s="450"/>
      <c r="C20" s="450"/>
      <c r="D20" s="451"/>
      <c r="E20" s="445">
        <f>157862+46013</f>
        <v>203875</v>
      </c>
      <c r="F20" s="446"/>
      <c r="G20" s="445">
        <f>50220+19996</f>
        <v>70216</v>
      </c>
      <c r="H20" s="446"/>
      <c r="I20" s="445"/>
      <c r="J20" s="446"/>
      <c r="K20" s="445">
        <v>137570</v>
      </c>
      <c r="L20" s="446"/>
      <c r="M20" s="445">
        <v>70216</v>
      </c>
      <c r="N20" s="446"/>
    </row>
    <row r="21" spans="1:14" x14ac:dyDescent="0.3">
      <c r="A21" s="442" t="s">
        <v>761</v>
      </c>
      <c r="B21" s="443"/>
      <c r="C21" s="443"/>
      <c r="D21" s="444"/>
      <c r="E21" s="429">
        <f>305937+89928</f>
        <v>395865</v>
      </c>
      <c r="F21" s="431"/>
      <c r="G21" s="429">
        <v>381664</v>
      </c>
      <c r="H21" s="431"/>
      <c r="I21" s="429">
        <v>64979</v>
      </c>
      <c r="J21" s="431"/>
      <c r="K21" s="429">
        <f>5518+49432</f>
        <v>54950</v>
      </c>
      <c r="L21" s="431"/>
      <c r="M21" s="429">
        <v>316685</v>
      </c>
      <c r="N21" s="431"/>
    </row>
    <row r="22" spans="1:14" x14ac:dyDescent="0.3">
      <c r="A22" s="442" t="s">
        <v>326</v>
      </c>
      <c r="B22" s="443"/>
      <c r="C22" s="443"/>
      <c r="D22" s="444"/>
      <c r="E22" s="429"/>
      <c r="F22" s="431"/>
      <c r="G22" s="429"/>
      <c r="H22" s="431"/>
      <c r="I22" s="429"/>
      <c r="J22" s="431"/>
      <c r="K22" s="429"/>
      <c r="L22" s="431"/>
      <c r="M22" s="429"/>
      <c r="N22" s="431"/>
    </row>
    <row r="23" spans="1:14" x14ac:dyDescent="0.3">
      <c r="A23" s="308" t="s">
        <v>518</v>
      </c>
      <c r="B23" s="422"/>
      <c r="C23" s="422"/>
      <c r="D23" s="423"/>
      <c r="E23" s="452">
        <f>SUM(E20:F22)</f>
        <v>599740</v>
      </c>
      <c r="F23" s="453"/>
      <c r="G23" s="452">
        <f>SUM(G20:H22)</f>
        <v>451880</v>
      </c>
      <c r="H23" s="453"/>
      <c r="I23" s="452">
        <f>SUM(I20:J22)</f>
        <v>64979</v>
      </c>
      <c r="J23" s="453"/>
      <c r="K23" s="452">
        <f>SUM(K20:L22)</f>
        <v>192520</v>
      </c>
      <c r="L23" s="453"/>
      <c r="M23" s="452">
        <f>SUM(M20:N22)</f>
        <v>386901</v>
      </c>
      <c r="N23" s="453"/>
    </row>
    <row r="24" spans="1:14" s="66" customFormat="1" x14ac:dyDescent="0.3">
      <c r="A24" s="442" t="s">
        <v>677</v>
      </c>
      <c r="B24" s="443"/>
      <c r="C24" s="443"/>
      <c r="D24" s="444"/>
      <c r="E24" s="440" t="s">
        <v>676</v>
      </c>
      <c r="F24" s="441"/>
      <c r="G24" s="440" t="s">
        <v>676</v>
      </c>
      <c r="H24" s="441"/>
      <c r="I24" s="440" t="s">
        <v>676</v>
      </c>
      <c r="J24" s="441"/>
      <c r="K24" s="429"/>
      <c r="L24" s="431"/>
      <c r="M24" s="429"/>
      <c r="N24" s="431"/>
    </row>
    <row r="25" spans="1:14" s="66" customFormat="1" x14ac:dyDescent="0.3">
      <c r="A25" s="442" t="s">
        <v>467</v>
      </c>
      <c r="B25" s="443"/>
      <c r="C25" s="443"/>
      <c r="D25" s="444"/>
      <c r="E25" s="440" t="s">
        <v>676</v>
      </c>
      <c r="F25" s="441"/>
      <c r="G25" s="440" t="s">
        <v>676</v>
      </c>
      <c r="H25" s="441"/>
      <c r="I25" s="440" t="s">
        <v>676</v>
      </c>
      <c r="J25" s="441"/>
      <c r="K25" s="429"/>
      <c r="L25" s="431"/>
      <c r="M25" s="429"/>
      <c r="N25" s="431"/>
    </row>
    <row r="26" spans="1:14" s="66" customFormat="1" x14ac:dyDescent="0.3">
      <c r="A26" s="442" t="s">
        <v>620</v>
      </c>
      <c r="B26" s="443"/>
      <c r="C26" s="443"/>
      <c r="D26" s="444"/>
      <c r="E26" s="440" t="s">
        <v>676</v>
      </c>
      <c r="F26" s="441"/>
      <c r="G26" s="440" t="s">
        <v>676</v>
      </c>
      <c r="H26" s="441"/>
      <c r="I26" s="440" t="s">
        <v>676</v>
      </c>
      <c r="J26" s="441"/>
      <c r="K26" s="429"/>
      <c r="L26" s="431"/>
      <c r="M26" s="429"/>
      <c r="N26" s="431"/>
    </row>
    <row r="27" spans="1:14" s="66" customFormat="1" x14ac:dyDescent="0.3">
      <c r="A27" s="442" t="s">
        <v>489</v>
      </c>
      <c r="B27" s="443"/>
      <c r="C27" s="443"/>
      <c r="D27" s="444"/>
      <c r="E27" s="440" t="s">
        <v>676</v>
      </c>
      <c r="F27" s="441"/>
      <c r="G27" s="440" t="s">
        <v>676</v>
      </c>
      <c r="H27" s="441"/>
      <c r="I27" s="440" t="s">
        <v>676</v>
      </c>
      <c r="J27" s="441"/>
      <c r="K27" s="429"/>
      <c r="L27" s="431"/>
      <c r="M27" s="429"/>
      <c r="N27" s="431"/>
    </row>
    <row r="28" spans="1:14" ht="39.9" customHeight="1" x14ac:dyDescent="0.3">
      <c r="A28" s="454" t="s">
        <v>961</v>
      </c>
      <c r="B28" s="455"/>
      <c r="C28" s="455"/>
      <c r="D28" s="456"/>
      <c r="E28" s="230" t="s">
        <v>676</v>
      </c>
      <c r="F28" s="230"/>
      <c r="G28" s="230" t="s">
        <v>676</v>
      </c>
      <c r="H28" s="230"/>
      <c r="I28" s="230" t="s">
        <v>676</v>
      </c>
      <c r="J28" s="230"/>
      <c r="K28" s="358">
        <f>SUM(K23:L24)</f>
        <v>192520</v>
      </c>
      <c r="L28" s="358"/>
      <c r="M28" s="358">
        <f>SUM(M23:N24)</f>
        <v>386901</v>
      </c>
      <c r="N28" s="358"/>
    </row>
    <row r="30" spans="1:14" s="66" customFormat="1" x14ac:dyDescent="0.3">
      <c r="A30" s="66" t="s">
        <v>1381</v>
      </c>
    </row>
    <row r="31" spans="1:14" s="66" customFormat="1" x14ac:dyDescent="0.3">
      <c r="A31" s="66" t="s">
        <v>1382</v>
      </c>
    </row>
    <row r="32" spans="1:14" s="66" customFormat="1" x14ac:dyDescent="0.3"/>
    <row r="33" spans="1:14" s="66" customFormat="1" x14ac:dyDescent="0.3"/>
    <row r="34" spans="1:14" s="66" customFormat="1" x14ac:dyDescent="0.3"/>
    <row r="35" spans="1:14" s="66" customFormat="1" x14ac:dyDescent="0.3"/>
    <row r="36" spans="1:14" s="66" customFormat="1" x14ac:dyDescent="0.3"/>
    <row r="37" spans="1:14" s="66" customFormat="1" x14ac:dyDescent="0.3"/>
    <row r="38" spans="1:14" s="66" customFormat="1" x14ac:dyDescent="0.3"/>
    <row r="39" spans="1:14" s="66" customFormat="1" x14ac:dyDescent="0.3"/>
    <row r="40" spans="1:14" s="66" customFormat="1" x14ac:dyDescent="0.3"/>
    <row r="41" spans="1:14" s="66" customFormat="1" x14ac:dyDescent="0.3"/>
    <row r="42" spans="1:14" s="66" customFormat="1" x14ac:dyDescent="0.3"/>
    <row r="43" spans="1:14" ht="15.75" customHeight="1" x14ac:dyDescent="0.3">
      <c r="A43" s="355" t="s">
        <v>585</v>
      </c>
      <c r="B43" s="355"/>
      <c r="C43" s="355"/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5"/>
    </row>
    <row r="44" spans="1:14" x14ac:dyDescent="0.3">
      <c r="A44" s="355"/>
      <c r="B44" s="355"/>
      <c r="C44" s="355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</row>
    <row r="46" spans="1:14" ht="24.9" customHeight="1" x14ac:dyDescent="0.3">
      <c r="A46" s="367" t="s">
        <v>375</v>
      </c>
      <c r="B46" s="368"/>
      <c r="C46" s="368"/>
      <c r="D46" s="368"/>
      <c r="E46" s="368"/>
      <c r="F46" s="369"/>
      <c r="G46" s="247" t="s">
        <v>405</v>
      </c>
      <c r="H46" s="247"/>
      <c r="I46" s="247"/>
      <c r="J46" s="247"/>
      <c r="K46" s="247" t="s">
        <v>430</v>
      </c>
      <c r="L46" s="247"/>
      <c r="M46" s="247"/>
      <c r="N46" s="247"/>
    </row>
    <row r="47" spans="1:14" ht="15" customHeight="1" x14ac:dyDescent="0.3">
      <c r="A47" s="407" t="s">
        <v>885</v>
      </c>
      <c r="B47" s="407"/>
      <c r="C47" s="407"/>
      <c r="D47" s="407"/>
      <c r="E47" s="407"/>
      <c r="F47" s="407"/>
      <c r="G47" s="407"/>
      <c r="H47" s="407"/>
      <c r="I47" s="407"/>
      <c r="J47" s="407"/>
      <c r="K47" s="234"/>
      <c r="L47" s="234"/>
      <c r="M47" s="234"/>
      <c r="N47" s="234"/>
    </row>
    <row r="48" spans="1:14" s="66" customFormat="1" x14ac:dyDescent="0.3">
      <c r="A48" s="404"/>
      <c r="B48" s="404"/>
      <c r="C48" s="404"/>
      <c r="D48" s="404"/>
      <c r="E48" s="404"/>
      <c r="F48" s="404"/>
      <c r="G48" s="405"/>
      <c r="H48" s="405"/>
      <c r="I48" s="405"/>
      <c r="J48" s="405"/>
      <c r="K48" s="405"/>
      <c r="L48" s="405"/>
      <c r="M48" s="405"/>
      <c r="N48" s="405"/>
    </row>
    <row r="49" spans="1:14" s="66" customFormat="1" x14ac:dyDescent="0.3">
      <c r="A49" s="404"/>
      <c r="B49" s="404"/>
      <c r="C49" s="404"/>
      <c r="D49" s="404"/>
      <c r="E49" s="404"/>
      <c r="F49" s="404"/>
      <c r="G49" s="405"/>
      <c r="H49" s="405"/>
      <c r="I49" s="405"/>
      <c r="J49" s="405"/>
      <c r="K49" s="405"/>
      <c r="L49" s="405"/>
      <c r="M49" s="405"/>
      <c r="N49" s="405"/>
    </row>
    <row r="50" spans="1:14" ht="24.9" customHeight="1" x14ac:dyDescent="0.3">
      <c r="A50" s="405" t="s">
        <v>46</v>
      </c>
      <c r="B50" s="405"/>
      <c r="C50" s="405"/>
      <c r="D50" s="405"/>
      <c r="E50" s="405"/>
      <c r="F50" s="405"/>
      <c r="G50" s="404">
        <f>SUM(G51:J52)</f>
        <v>436500</v>
      </c>
      <c r="H50" s="404"/>
      <c r="I50" s="404"/>
      <c r="J50" s="404"/>
      <c r="K50" s="404">
        <f>347655+3300</f>
        <v>350955</v>
      </c>
      <c r="L50" s="404"/>
      <c r="M50" s="404"/>
      <c r="N50" s="404"/>
    </row>
    <row r="51" spans="1:14" s="66" customFormat="1" ht="15" customHeight="1" x14ac:dyDescent="0.3">
      <c r="A51" s="404" t="s">
        <v>1383</v>
      </c>
      <c r="B51" s="404"/>
      <c r="C51" s="404"/>
      <c r="D51" s="404"/>
      <c r="E51" s="404"/>
      <c r="F51" s="404"/>
      <c r="G51" s="405">
        <f>27271+51+29783+12335</f>
        <v>69440</v>
      </c>
      <c r="H51" s="405"/>
      <c r="I51" s="405"/>
      <c r="J51" s="405"/>
      <c r="K51" s="405">
        <f>90565+3300</f>
        <v>93865</v>
      </c>
      <c r="L51" s="405"/>
      <c r="M51" s="405"/>
      <c r="N51" s="405"/>
    </row>
    <row r="52" spans="1:14" s="66" customFormat="1" ht="15" customHeight="1" x14ac:dyDescent="0.3">
      <c r="A52" s="404" t="s">
        <v>1384</v>
      </c>
      <c r="B52" s="404"/>
      <c r="C52" s="404"/>
      <c r="D52" s="404"/>
      <c r="E52" s="404"/>
      <c r="F52" s="404"/>
      <c r="G52" s="405">
        <v>367060</v>
      </c>
      <c r="H52" s="405"/>
      <c r="I52" s="405"/>
      <c r="J52" s="405"/>
      <c r="K52" s="405">
        <v>257090</v>
      </c>
      <c r="L52" s="405"/>
      <c r="M52" s="405"/>
      <c r="N52" s="405"/>
    </row>
    <row r="53" spans="1:14" x14ac:dyDescent="0.3">
      <c r="A53" s="404"/>
      <c r="B53" s="404"/>
      <c r="C53" s="404"/>
      <c r="D53" s="404"/>
      <c r="E53" s="404"/>
      <c r="F53" s="404"/>
      <c r="G53" s="405"/>
      <c r="H53" s="405"/>
      <c r="I53" s="405"/>
      <c r="J53" s="405"/>
      <c r="K53" s="405"/>
      <c r="L53" s="405"/>
      <c r="M53" s="405"/>
      <c r="N53" s="405"/>
    </row>
    <row r="54" spans="1:14" ht="15" customHeight="1" x14ac:dyDescent="0.3">
      <c r="A54" s="405" t="s">
        <v>701</v>
      </c>
      <c r="B54" s="405"/>
      <c r="C54" s="405"/>
      <c r="D54" s="405"/>
      <c r="E54" s="405"/>
      <c r="F54" s="405"/>
      <c r="G54" s="404">
        <f>SUM(G55:J61)</f>
        <v>133</v>
      </c>
      <c r="H54" s="404"/>
      <c r="I54" s="404"/>
      <c r="J54" s="404"/>
      <c r="K54" s="404">
        <v>63</v>
      </c>
      <c r="L54" s="404"/>
      <c r="M54" s="404"/>
      <c r="N54" s="404"/>
    </row>
    <row r="55" spans="1:14" s="66" customFormat="1" ht="15" customHeight="1" x14ac:dyDescent="0.3">
      <c r="A55" s="404" t="s">
        <v>122</v>
      </c>
      <c r="B55" s="404"/>
      <c r="C55" s="404"/>
      <c r="D55" s="404"/>
      <c r="E55" s="404"/>
      <c r="F55" s="404"/>
      <c r="G55" s="405">
        <v>94</v>
      </c>
      <c r="H55" s="405"/>
      <c r="I55" s="405"/>
      <c r="J55" s="405"/>
      <c r="K55" s="405"/>
      <c r="L55" s="405"/>
      <c r="M55" s="405"/>
      <c r="N55" s="405"/>
    </row>
    <row r="56" spans="1:14" s="66" customFormat="1" ht="24.9" customHeight="1" x14ac:dyDescent="0.3">
      <c r="A56" s="404" t="s">
        <v>211</v>
      </c>
      <c r="B56" s="404"/>
      <c r="C56" s="404"/>
      <c r="D56" s="404"/>
      <c r="E56" s="404"/>
      <c r="F56" s="404"/>
      <c r="G56" s="405"/>
      <c r="H56" s="405"/>
      <c r="I56" s="405"/>
      <c r="J56" s="405"/>
      <c r="K56" s="405"/>
      <c r="L56" s="405"/>
      <c r="M56" s="405"/>
      <c r="N56" s="405"/>
    </row>
    <row r="57" spans="1:14" s="66" customFormat="1" ht="24.9" customHeight="1" x14ac:dyDescent="0.3">
      <c r="A57" s="404" t="s">
        <v>985</v>
      </c>
      <c r="B57" s="404"/>
      <c r="C57" s="404"/>
      <c r="D57" s="404"/>
      <c r="E57" s="404"/>
      <c r="F57" s="404"/>
      <c r="G57" s="405"/>
      <c r="H57" s="405"/>
      <c r="I57" s="405"/>
      <c r="J57" s="405"/>
      <c r="K57" s="405"/>
      <c r="L57" s="405"/>
      <c r="M57" s="405"/>
      <c r="N57" s="405"/>
    </row>
    <row r="58" spans="1:14" s="66" customFormat="1" ht="15" customHeight="1" x14ac:dyDescent="0.3">
      <c r="A58" s="404" t="s">
        <v>1385</v>
      </c>
      <c r="B58" s="404"/>
      <c r="C58" s="404"/>
      <c r="D58" s="404"/>
      <c r="E58" s="404"/>
      <c r="F58" s="404"/>
      <c r="G58" s="405">
        <v>0</v>
      </c>
      <c r="H58" s="405"/>
      <c r="I58" s="405"/>
      <c r="J58" s="405"/>
      <c r="K58" s="405">
        <v>34</v>
      </c>
      <c r="L58" s="405"/>
      <c r="M58" s="405"/>
      <c r="N58" s="405"/>
    </row>
    <row r="59" spans="1:14" s="66" customFormat="1" ht="15" customHeight="1" x14ac:dyDescent="0.3">
      <c r="A59" s="404" t="s">
        <v>1386</v>
      </c>
      <c r="B59" s="404"/>
      <c r="C59" s="404"/>
      <c r="D59" s="404"/>
      <c r="E59" s="404"/>
      <c r="F59" s="404"/>
      <c r="G59" s="405">
        <v>39</v>
      </c>
      <c r="H59" s="405"/>
      <c r="I59" s="405"/>
      <c r="J59" s="405"/>
      <c r="K59" s="405">
        <v>29</v>
      </c>
      <c r="L59" s="405"/>
      <c r="M59" s="405"/>
      <c r="N59" s="405"/>
    </row>
    <row r="60" spans="1:14" s="66" customFormat="1" x14ac:dyDescent="0.3">
      <c r="A60" s="404"/>
      <c r="B60" s="404"/>
      <c r="C60" s="404"/>
      <c r="D60" s="404"/>
      <c r="E60" s="404"/>
      <c r="F60" s="404"/>
      <c r="G60" s="405"/>
      <c r="H60" s="405"/>
      <c r="I60" s="405"/>
      <c r="J60" s="405"/>
      <c r="K60" s="405"/>
      <c r="L60" s="405"/>
      <c r="M60" s="405"/>
      <c r="N60" s="405"/>
    </row>
    <row r="61" spans="1:14" ht="15" customHeight="1" x14ac:dyDescent="0.3">
      <c r="A61" s="405" t="s">
        <v>310</v>
      </c>
      <c r="B61" s="405"/>
      <c r="C61" s="405"/>
      <c r="D61" s="405"/>
      <c r="E61" s="405"/>
      <c r="F61" s="405"/>
      <c r="G61" s="405"/>
      <c r="H61" s="405"/>
      <c r="I61" s="405"/>
      <c r="J61" s="405"/>
      <c r="K61" s="405"/>
      <c r="L61" s="405"/>
      <c r="M61" s="405"/>
      <c r="N61" s="405"/>
    </row>
    <row r="62" spans="1:14" s="66" customFormat="1" x14ac:dyDescent="0.3">
      <c r="A62" s="404"/>
      <c r="B62" s="404"/>
      <c r="C62" s="404"/>
      <c r="D62" s="404"/>
      <c r="E62" s="404"/>
      <c r="F62" s="404"/>
      <c r="G62" s="405"/>
      <c r="H62" s="405"/>
      <c r="I62" s="405"/>
      <c r="J62" s="405"/>
      <c r="K62" s="405"/>
      <c r="L62" s="405"/>
      <c r="M62" s="405"/>
      <c r="N62" s="405"/>
    </row>
    <row r="63" spans="1:14" s="66" customFormat="1" x14ac:dyDescent="0.3">
      <c r="A63" s="404"/>
      <c r="B63" s="404"/>
      <c r="C63" s="404"/>
      <c r="D63" s="404"/>
      <c r="E63" s="404"/>
      <c r="F63" s="404"/>
      <c r="G63" s="405"/>
      <c r="H63" s="405"/>
      <c r="I63" s="405"/>
      <c r="J63" s="405"/>
      <c r="K63" s="405"/>
      <c r="L63" s="405"/>
      <c r="M63" s="405"/>
      <c r="N63" s="405"/>
    </row>
    <row r="65" spans="1:14" s="66" customFormat="1" ht="15.75" customHeight="1" x14ac:dyDescent="0.3">
      <c r="A65" s="167" t="s">
        <v>17</v>
      </c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</row>
    <row r="66" spans="1:14" s="66" customFormat="1" ht="15.75" customHeight="1" x14ac:dyDescent="0.3">
      <c r="A66" s="167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</row>
    <row r="67" spans="1:14" s="66" customFormat="1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4" ht="35.1" customHeight="1" x14ac:dyDescent="0.3">
      <c r="A68" s="202" t="s">
        <v>1169</v>
      </c>
      <c r="B68" s="202"/>
      <c r="C68" s="202"/>
      <c r="D68" s="202"/>
      <c r="E68" s="202"/>
      <c r="F68" s="202" t="s">
        <v>1086</v>
      </c>
      <c r="G68" s="202"/>
      <c r="H68" s="202"/>
      <c r="I68" s="202" t="s">
        <v>405</v>
      </c>
      <c r="J68" s="202"/>
      <c r="K68" s="202"/>
      <c r="L68" s="202" t="s">
        <v>430</v>
      </c>
      <c r="M68" s="202"/>
      <c r="N68" s="202"/>
    </row>
    <row r="69" spans="1:14" s="66" customFormat="1" ht="15.75" customHeight="1" x14ac:dyDescent="0.3">
      <c r="A69" s="461"/>
      <c r="B69" s="461"/>
      <c r="C69" s="461"/>
      <c r="D69" s="461"/>
      <c r="E69" s="461"/>
      <c r="F69" s="460"/>
      <c r="G69" s="460"/>
      <c r="H69" s="460"/>
      <c r="I69" s="457"/>
      <c r="J69" s="457"/>
      <c r="K69" s="457"/>
      <c r="L69" s="457"/>
      <c r="M69" s="457"/>
      <c r="N69" s="457"/>
    </row>
    <row r="70" spans="1:14" s="66" customFormat="1" ht="15.75" customHeight="1" x14ac:dyDescent="0.3">
      <c r="A70" s="458"/>
      <c r="B70" s="458"/>
      <c r="C70" s="458"/>
      <c r="D70" s="458"/>
      <c r="E70" s="458"/>
      <c r="F70" s="162"/>
      <c r="G70" s="162"/>
      <c r="H70" s="162"/>
      <c r="I70" s="459"/>
      <c r="J70" s="459"/>
      <c r="K70" s="459"/>
      <c r="L70" s="459"/>
      <c r="M70" s="459"/>
      <c r="N70" s="459"/>
    </row>
    <row r="71" spans="1:14" s="66" customFormat="1" ht="15.75" customHeight="1" x14ac:dyDescent="0.3">
      <c r="A71" s="458"/>
      <c r="B71" s="458"/>
      <c r="C71" s="458"/>
      <c r="D71" s="458"/>
      <c r="E71" s="458"/>
      <c r="F71" s="162"/>
      <c r="G71" s="162"/>
      <c r="H71" s="162"/>
      <c r="I71" s="459"/>
      <c r="J71" s="459"/>
      <c r="K71" s="459"/>
      <c r="L71" s="459"/>
      <c r="M71" s="459"/>
      <c r="N71" s="459"/>
    </row>
    <row r="72" spans="1:14" s="66" customFormat="1" ht="15.75" customHeight="1" x14ac:dyDescent="0.3">
      <c r="A72" s="458"/>
      <c r="B72" s="458"/>
      <c r="C72" s="458"/>
      <c r="D72" s="458"/>
      <c r="E72" s="458"/>
      <c r="F72" s="162"/>
      <c r="G72" s="162"/>
      <c r="H72" s="162"/>
      <c r="I72" s="459"/>
      <c r="J72" s="459"/>
      <c r="K72" s="459"/>
      <c r="L72" s="459"/>
      <c r="M72" s="459"/>
      <c r="N72" s="459"/>
    </row>
    <row r="73" spans="1:14" s="66" customFormat="1" ht="15.75" customHeight="1" x14ac:dyDescent="0.3">
      <c r="A73" s="458"/>
      <c r="B73" s="458"/>
      <c r="C73" s="458"/>
      <c r="D73" s="458"/>
      <c r="E73" s="458"/>
      <c r="F73" s="162"/>
      <c r="G73" s="162"/>
      <c r="H73" s="162"/>
      <c r="I73" s="459"/>
      <c r="J73" s="459"/>
      <c r="K73" s="459"/>
      <c r="L73" s="459"/>
      <c r="M73" s="459"/>
      <c r="N73" s="459"/>
    </row>
    <row r="74" spans="1:14" s="66" customFormat="1" ht="15.75" customHeight="1" x14ac:dyDescent="0.3">
      <c r="A74" s="458"/>
      <c r="B74" s="458"/>
      <c r="C74" s="458"/>
      <c r="D74" s="458"/>
      <c r="E74" s="458"/>
      <c r="F74" s="162"/>
      <c r="G74" s="162"/>
      <c r="H74" s="162"/>
      <c r="I74" s="459"/>
      <c r="J74" s="459"/>
      <c r="K74" s="459"/>
      <c r="L74" s="459"/>
      <c r="M74" s="459"/>
      <c r="N74" s="459"/>
    </row>
    <row r="75" spans="1:14" s="66" customFormat="1" ht="15.75" customHeight="1" x14ac:dyDescent="0.3">
      <c r="A75" s="458" t="s">
        <v>518</v>
      </c>
      <c r="B75" s="458"/>
      <c r="C75" s="458"/>
      <c r="D75" s="458"/>
      <c r="E75" s="458"/>
      <c r="F75" s="162"/>
      <c r="G75" s="162"/>
      <c r="H75" s="162"/>
      <c r="I75" s="459">
        <f>SUM(I69:K74)</f>
        <v>0</v>
      </c>
      <c r="J75" s="459"/>
      <c r="K75" s="459"/>
      <c r="L75" s="459">
        <f>SUM(L69:N74)</f>
        <v>0</v>
      </c>
      <c r="M75" s="459"/>
      <c r="N75" s="459"/>
    </row>
    <row r="77" spans="1:14" ht="15" customHeight="1" x14ac:dyDescent="0.3">
      <c r="A77" s="167" t="s">
        <v>1208</v>
      </c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</row>
    <row r="78" spans="1:14" x14ac:dyDescent="0.3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</row>
    <row r="79" spans="1:14" ht="24.9" customHeight="1" x14ac:dyDescent="0.3">
      <c r="A79" s="367" t="s">
        <v>375</v>
      </c>
      <c r="B79" s="368"/>
      <c r="C79" s="368"/>
      <c r="D79" s="368"/>
      <c r="E79" s="368"/>
      <c r="F79" s="369"/>
      <c r="G79" s="247" t="s">
        <v>405</v>
      </c>
      <c r="H79" s="247"/>
      <c r="I79" s="247"/>
      <c r="J79" s="247"/>
      <c r="K79" s="247" t="s">
        <v>430</v>
      </c>
      <c r="L79" s="247"/>
      <c r="M79" s="247"/>
      <c r="N79" s="247"/>
    </row>
    <row r="80" spans="1:14" x14ac:dyDescent="0.3">
      <c r="A80" s="403" t="s">
        <v>859</v>
      </c>
      <c r="B80" s="403"/>
      <c r="C80" s="403"/>
      <c r="D80" s="403"/>
      <c r="E80" s="403"/>
      <c r="F80" s="403"/>
      <c r="G80" s="407">
        <f>8208742+4507214</f>
        <v>12715956</v>
      </c>
      <c r="H80" s="407"/>
      <c r="I80" s="407"/>
      <c r="J80" s="407"/>
      <c r="K80" s="407">
        <v>14618393</v>
      </c>
      <c r="L80" s="407"/>
      <c r="M80" s="407"/>
      <c r="N80" s="407"/>
    </row>
    <row r="81" spans="1:14" x14ac:dyDescent="0.3">
      <c r="A81" s="404" t="s">
        <v>311</v>
      </c>
      <c r="B81" s="404"/>
      <c r="C81" s="404"/>
      <c r="D81" s="404"/>
      <c r="E81" s="404"/>
      <c r="F81" s="404"/>
      <c r="G81" s="405"/>
      <c r="H81" s="405"/>
      <c r="I81" s="405"/>
      <c r="J81" s="405"/>
      <c r="K81" s="405"/>
      <c r="L81" s="405"/>
      <c r="M81" s="405"/>
      <c r="N81" s="405"/>
    </row>
    <row r="82" spans="1:14" x14ac:dyDescent="0.3">
      <c r="A82" s="404" t="s">
        <v>599</v>
      </c>
      <c r="B82" s="404"/>
      <c r="C82" s="404"/>
      <c r="D82" s="404"/>
      <c r="E82" s="404"/>
      <c r="F82" s="404"/>
      <c r="G82" s="405">
        <f>3219+3948</f>
        <v>7167</v>
      </c>
      <c r="H82" s="405"/>
      <c r="I82" s="405"/>
      <c r="J82" s="405"/>
      <c r="K82" s="405"/>
      <c r="L82" s="405"/>
      <c r="M82" s="405"/>
      <c r="N82" s="405"/>
    </row>
    <row r="83" spans="1:14" x14ac:dyDescent="0.3">
      <c r="A83" s="404" t="s">
        <v>1017</v>
      </c>
      <c r="B83" s="404"/>
      <c r="C83" s="404"/>
      <c r="D83" s="404"/>
      <c r="E83" s="404"/>
      <c r="F83" s="404"/>
      <c r="G83" s="404"/>
      <c r="H83" s="404"/>
      <c r="I83" s="404"/>
      <c r="J83" s="404"/>
      <c r="K83" s="404"/>
      <c r="L83" s="404"/>
      <c r="M83" s="404"/>
      <c r="N83" s="404"/>
    </row>
    <row r="84" spans="1:14" x14ac:dyDescent="0.3">
      <c r="A84" s="404" t="s">
        <v>1209</v>
      </c>
      <c r="B84" s="404"/>
      <c r="C84" s="404"/>
      <c r="D84" s="404"/>
      <c r="E84" s="404"/>
      <c r="F84" s="404"/>
      <c r="G84" s="405"/>
      <c r="H84" s="405"/>
      <c r="I84" s="405"/>
      <c r="J84" s="405"/>
      <c r="K84" s="405"/>
      <c r="L84" s="405"/>
      <c r="M84" s="405"/>
      <c r="N84" s="405"/>
    </row>
    <row r="85" spans="1:14" x14ac:dyDescent="0.3">
      <c r="A85" s="404" t="s">
        <v>1255</v>
      </c>
      <c r="B85" s="404"/>
      <c r="C85" s="404"/>
      <c r="D85" s="404"/>
      <c r="E85" s="404"/>
      <c r="F85" s="404"/>
      <c r="G85" s="405"/>
      <c r="H85" s="405"/>
      <c r="I85" s="405"/>
      <c r="J85" s="405"/>
      <c r="K85" s="405"/>
      <c r="L85" s="405"/>
      <c r="M85" s="405"/>
      <c r="N85" s="405"/>
    </row>
    <row r="86" spans="1:14" x14ac:dyDescent="0.3">
      <c r="A86" s="405" t="s">
        <v>393</v>
      </c>
      <c r="B86" s="405"/>
      <c r="C86" s="405"/>
      <c r="D86" s="405"/>
      <c r="E86" s="405"/>
      <c r="F86" s="405"/>
      <c r="G86" s="405">
        <f>SUM(G80:J85)</f>
        <v>12723123</v>
      </c>
      <c r="H86" s="405"/>
      <c r="I86" s="405"/>
      <c r="J86" s="405"/>
      <c r="K86" s="405">
        <f>SUM(K80:N85)</f>
        <v>14618393</v>
      </c>
      <c r="L86" s="405"/>
      <c r="M86" s="405"/>
      <c r="N86" s="405"/>
    </row>
  </sheetData>
  <mergeCells count="237">
    <mergeCell ref="A86:F86"/>
    <mergeCell ref="G86:J86"/>
    <mergeCell ref="K86:N86"/>
    <mergeCell ref="A77:N77"/>
    <mergeCell ref="A65:N66"/>
    <mergeCell ref="L68:N68"/>
    <mergeCell ref="I68:K68"/>
    <mergeCell ref="F68:H68"/>
    <mergeCell ref="A68:E68"/>
    <mergeCell ref="A85:F85"/>
    <mergeCell ref="I70:K70"/>
    <mergeCell ref="L70:N70"/>
    <mergeCell ref="A71:E71"/>
    <mergeCell ref="F71:H71"/>
    <mergeCell ref="I71:K71"/>
    <mergeCell ref="L71:N71"/>
    <mergeCell ref="A69:E69"/>
    <mergeCell ref="A72:E72"/>
    <mergeCell ref="F72:H72"/>
    <mergeCell ref="I72:K72"/>
    <mergeCell ref="L72:N72"/>
    <mergeCell ref="A73:E73"/>
    <mergeCell ref="F73:H73"/>
    <mergeCell ref="I73:K73"/>
    <mergeCell ref="A82:F82"/>
    <mergeCell ref="G82:J82"/>
    <mergeCell ref="K82:N82"/>
    <mergeCell ref="G85:J85"/>
    <mergeCell ref="K85:N85"/>
    <mergeCell ref="A83:F83"/>
    <mergeCell ref="G83:J83"/>
    <mergeCell ref="K83:N83"/>
    <mergeCell ref="A84:F84"/>
    <mergeCell ref="G84:J84"/>
    <mergeCell ref="K84:N84"/>
    <mergeCell ref="A79:F79"/>
    <mergeCell ref="G79:J79"/>
    <mergeCell ref="K79:N79"/>
    <mergeCell ref="A80:F80"/>
    <mergeCell ref="G80:J80"/>
    <mergeCell ref="K80:N80"/>
    <mergeCell ref="L69:N69"/>
    <mergeCell ref="A70:E70"/>
    <mergeCell ref="A81:F81"/>
    <mergeCell ref="G81:J81"/>
    <mergeCell ref="K81:N81"/>
    <mergeCell ref="L73:N73"/>
    <mergeCell ref="F70:H70"/>
    <mergeCell ref="A74:E74"/>
    <mergeCell ref="F74:H74"/>
    <mergeCell ref="I74:K74"/>
    <mergeCell ref="L74:N74"/>
    <mergeCell ref="A75:E75"/>
    <mergeCell ref="F75:H75"/>
    <mergeCell ref="I75:K75"/>
    <mergeCell ref="L75:N75"/>
    <mergeCell ref="F69:H69"/>
    <mergeCell ref="I69:K69"/>
    <mergeCell ref="G59:J59"/>
    <mergeCell ref="K59:N59"/>
    <mergeCell ref="A62:F62"/>
    <mergeCell ref="G62:J62"/>
    <mergeCell ref="K62:N62"/>
    <mergeCell ref="A63:F63"/>
    <mergeCell ref="G63:J63"/>
    <mergeCell ref="K63:N63"/>
    <mergeCell ref="A61:F61"/>
    <mergeCell ref="G61:J61"/>
    <mergeCell ref="K61:N61"/>
    <mergeCell ref="A60:F60"/>
    <mergeCell ref="G60:J60"/>
    <mergeCell ref="K60:N60"/>
    <mergeCell ref="A55:F55"/>
    <mergeCell ref="G55:J55"/>
    <mergeCell ref="K55:N55"/>
    <mergeCell ref="A56:F56"/>
    <mergeCell ref="A51:F51"/>
    <mergeCell ref="G51:J51"/>
    <mergeCell ref="K51:N51"/>
    <mergeCell ref="A52:F52"/>
    <mergeCell ref="G52:J52"/>
    <mergeCell ref="K52:N52"/>
    <mergeCell ref="A57:F57"/>
    <mergeCell ref="G57:J57"/>
    <mergeCell ref="K57:N57"/>
    <mergeCell ref="A58:F58"/>
    <mergeCell ref="G58:J58"/>
    <mergeCell ref="K58:N58"/>
    <mergeCell ref="A59:F59"/>
    <mergeCell ref="A23:D23"/>
    <mergeCell ref="A28:D28"/>
    <mergeCell ref="A24:D24"/>
    <mergeCell ref="A48:F48"/>
    <mergeCell ref="M27:N27"/>
    <mergeCell ref="A43:N44"/>
    <mergeCell ref="G46:J46"/>
    <mergeCell ref="K46:N46"/>
    <mergeCell ref="A46:F46"/>
    <mergeCell ref="G48:J48"/>
    <mergeCell ref="K48:N48"/>
    <mergeCell ref="A27:D27"/>
    <mergeCell ref="G27:H27"/>
    <mergeCell ref="A47:F47"/>
    <mergeCell ref="G47:J47"/>
    <mergeCell ref="K47:N47"/>
    <mergeCell ref="E28:F28"/>
    <mergeCell ref="G28:H28"/>
    <mergeCell ref="I28:J28"/>
    <mergeCell ref="K28:L28"/>
    <mergeCell ref="I24:J24"/>
    <mergeCell ref="K24:L24"/>
    <mergeCell ref="K26:L26"/>
    <mergeCell ref="E27:F27"/>
    <mergeCell ref="G56:J56"/>
    <mergeCell ref="K56:N56"/>
    <mergeCell ref="M28:N28"/>
    <mergeCell ref="K50:N50"/>
    <mergeCell ref="A53:F53"/>
    <mergeCell ref="G53:J53"/>
    <mergeCell ref="K53:N53"/>
    <mergeCell ref="A49:F49"/>
    <mergeCell ref="G49:J49"/>
    <mergeCell ref="K49:N49"/>
    <mergeCell ref="A54:F54"/>
    <mergeCell ref="G54:J54"/>
    <mergeCell ref="K54:N54"/>
    <mergeCell ref="A50:F50"/>
    <mergeCell ref="G50:J50"/>
    <mergeCell ref="M24:N24"/>
    <mergeCell ref="G25:H25"/>
    <mergeCell ref="I25:J25"/>
    <mergeCell ref="K25:L25"/>
    <mergeCell ref="M25:N25"/>
    <mergeCell ref="I22:J22"/>
    <mergeCell ref="K22:L22"/>
    <mergeCell ref="E17:F17"/>
    <mergeCell ref="M20:N20"/>
    <mergeCell ref="E21:F21"/>
    <mergeCell ref="G21:H21"/>
    <mergeCell ref="I21:J21"/>
    <mergeCell ref="K21:L21"/>
    <mergeCell ref="M21:N21"/>
    <mergeCell ref="E20:F20"/>
    <mergeCell ref="G20:H20"/>
    <mergeCell ref="I20:J20"/>
    <mergeCell ref="E25:F25"/>
    <mergeCell ref="M22:N22"/>
    <mergeCell ref="E23:F23"/>
    <mergeCell ref="G23:H23"/>
    <mergeCell ref="I23:J23"/>
    <mergeCell ref="K23:L23"/>
    <mergeCell ref="M23:N23"/>
    <mergeCell ref="M18:N18"/>
    <mergeCell ref="E19:F19"/>
    <mergeCell ref="G19:H19"/>
    <mergeCell ref="I19:J19"/>
    <mergeCell ref="K19:L19"/>
    <mergeCell ref="M19:N19"/>
    <mergeCell ref="E18:F18"/>
    <mergeCell ref="G18:H18"/>
    <mergeCell ref="I18:J18"/>
    <mergeCell ref="A4:N4"/>
    <mergeCell ref="A2:N2"/>
    <mergeCell ref="C6:F6"/>
    <mergeCell ref="G6:J6"/>
    <mergeCell ref="K6:N6"/>
    <mergeCell ref="A6:B7"/>
    <mergeCell ref="I7:J7"/>
    <mergeCell ref="K7:L7"/>
    <mergeCell ref="I10:J10"/>
    <mergeCell ref="K10:L10"/>
    <mergeCell ref="A8:B8"/>
    <mergeCell ref="C8:D8"/>
    <mergeCell ref="E8:F8"/>
    <mergeCell ref="G9:H9"/>
    <mergeCell ref="I9:J9"/>
    <mergeCell ref="M8:N8"/>
    <mergeCell ref="A9:B9"/>
    <mergeCell ref="M26:N26"/>
    <mergeCell ref="A13:B13"/>
    <mergeCell ref="C13:D13"/>
    <mergeCell ref="E13:F13"/>
    <mergeCell ref="G13:H13"/>
    <mergeCell ref="K12:L12"/>
    <mergeCell ref="C10:D10"/>
    <mergeCell ref="E10:F10"/>
    <mergeCell ref="G10:H10"/>
    <mergeCell ref="M10:N10"/>
    <mergeCell ref="G11:H11"/>
    <mergeCell ref="I11:J11"/>
    <mergeCell ref="K11:L11"/>
    <mergeCell ref="M12:N12"/>
    <mergeCell ref="M11:N11"/>
    <mergeCell ref="A15:N15"/>
    <mergeCell ref="G17:J17"/>
    <mergeCell ref="K17:N17"/>
    <mergeCell ref="A11:B11"/>
    <mergeCell ref="C11:D11"/>
    <mergeCell ref="E11:F11"/>
    <mergeCell ref="M13:N13"/>
    <mergeCell ref="A17:D18"/>
    <mergeCell ref="K18:L18"/>
    <mergeCell ref="K9:L9"/>
    <mergeCell ref="C7:D7"/>
    <mergeCell ref="E7:F7"/>
    <mergeCell ref="G7:H7"/>
    <mergeCell ref="M9:N9"/>
    <mergeCell ref="G8:H8"/>
    <mergeCell ref="I8:J8"/>
    <mergeCell ref="K8:L8"/>
    <mergeCell ref="C9:D9"/>
    <mergeCell ref="E9:F9"/>
    <mergeCell ref="M7:N7"/>
    <mergeCell ref="I27:J27"/>
    <mergeCell ref="K27:L27"/>
    <mergeCell ref="I13:J13"/>
    <mergeCell ref="K13:L13"/>
    <mergeCell ref="A10:B10"/>
    <mergeCell ref="E12:F12"/>
    <mergeCell ref="G12:H12"/>
    <mergeCell ref="A26:D26"/>
    <mergeCell ref="E26:F26"/>
    <mergeCell ref="G26:H26"/>
    <mergeCell ref="I26:J26"/>
    <mergeCell ref="I12:J12"/>
    <mergeCell ref="A12:B12"/>
    <mergeCell ref="C12:D12"/>
    <mergeCell ref="K20:L20"/>
    <mergeCell ref="A25:D25"/>
    <mergeCell ref="E22:F22"/>
    <mergeCell ref="G22:H22"/>
    <mergeCell ref="E24:F24"/>
    <mergeCell ref="G24:H24"/>
    <mergeCell ref="A19:D19"/>
    <mergeCell ref="A20:D20"/>
    <mergeCell ref="A21:D21"/>
    <mergeCell ref="A22:D2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33"/>
  <sheetViews>
    <sheetView topLeftCell="A2" zoomScaleNormal="100" workbookViewId="0">
      <selection activeCell="K16" sqref="K16:N16"/>
    </sheetView>
  </sheetViews>
  <sheetFormatPr defaultRowHeight="14.4" x14ac:dyDescent="0.3"/>
  <cols>
    <col min="1" max="14" width="6" customWidth="1"/>
  </cols>
  <sheetData>
    <row r="1" spans="1:14" s="66" customFormat="1" x14ac:dyDescent="0.3"/>
    <row r="2" spans="1:14" s="66" customFormat="1" ht="18" x14ac:dyDescent="0.35">
      <c r="A2" s="400" t="s">
        <v>807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</row>
    <row r="3" spans="1:14" s="66" customFormat="1" x14ac:dyDescent="0.3"/>
    <row r="4" spans="1:14" s="66" customFormat="1" ht="15.6" x14ac:dyDescent="0.3">
      <c r="A4" s="167" t="s">
        <v>1283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6" spans="1:14" ht="24.9" customHeight="1" x14ac:dyDescent="0.3">
      <c r="A6" s="367" t="s">
        <v>375</v>
      </c>
      <c r="B6" s="368"/>
      <c r="C6" s="368"/>
      <c r="D6" s="368"/>
      <c r="E6" s="368"/>
      <c r="F6" s="369"/>
      <c r="G6" s="247" t="s">
        <v>405</v>
      </c>
      <c r="H6" s="247"/>
      <c r="I6" s="247"/>
      <c r="J6" s="247"/>
      <c r="K6" s="247" t="s">
        <v>430</v>
      </c>
      <c r="L6" s="247"/>
      <c r="M6" s="247"/>
      <c r="N6" s="247"/>
    </row>
    <row r="7" spans="1:14" ht="15" customHeight="1" x14ac:dyDescent="0.3">
      <c r="A7" s="407" t="s">
        <v>1142</v>
      </c>
      <c r="B7" s="407"/>
      <c r="C7" s="407"/>
      <c r="D7" s="407"/>
      <c r="E7" s="407"/>
      <c r="F7" s="407"/>
      <c r="G7" s="463">
        <v>818656</v>
      </c>
      <c r="H7" s="463"/>
      <c r="I7" s="463"/>
      <c r="J7" s="463"/>
      <c r="K7" s="463">
        <v>923776</v>
      </c>
      <c r="L7" s="463"/>
      <c r="M7" s="463"/>
      <c r="N7" s="463"/>
    </row>
    <row r="8" spans="1:14" ht="24.9" customHeight="1" x14ac:dyDescent="0.3">
      <c r="A8" s="404" t="s">
        <v>565</v>
      </c>
      <c r="B8" s="404"/>
      <c r="C8" s="404"/>
      <c r="D8" s="404"/>
      <c r="E8" s="404"/>
      <c r="F8" s="404"/>
      <c r="G8" s="462">
        <v>9484</v>
      </c>
      <c r="H8" s="462"/>
      <c r="I8" s="462"/>
      <c r="J8" s="462"/>
      <c r="K8" s="462">
        <v>6900</v>
      </c>
      <c r="L8" s="462"/>
      <c r="M8" s="462"/>
      <c r="N8" s="462"/>
    </row>
    <row r="9" spans="1:14" ht="24.9" customHeight="1" x14ac:dyDescent="0.3">
      <c r="A9" s="404" t="s">
        <v>1334</v>
      </c>
      <c r="B9" s="404"/>
      <c r="C9" s="404"/>
      <c r="D9" s="404"/>
      <c r="E9" s="404"/>
      <c r="F9" s="404"/>
      <c r="G9" s="462">
        <v>200</v>
      </c>
      <c r="H9" s="462"/>
      <c r="I9" s="462"/>
      <c r="J9" s="462"/>
      <c r="K9" s="462">
        <v>200</v>
      </c>
      <c r="L9" s="462"/>
      <c r="M9" s="462"/>
      <c r="N9" s="462"/>
    </row>
    <row r="10" spans="1:14" ht="15" customHeight="1" x14ac:dyDescent="0.3">
      <c r="A10" s="404" t="s">
        <v>583</v>
      </c>
      <c r="B10" s="404"/>
      <c r="C10" s="404"/>
      <c r="D10" s="404"/>
      <c r="E10" s="404"/>
      <c r="F10" s="404"/>
      <c r="G10" s="432"/>
      <c r="H10" s="432"/>
      <c r="I10" s="432"/>
      <c r="J10" s="432"/>
      <c r="K10" s="432"/>
      <c r="L10" s="432"/>
      <c r="M10" s="432"/>
      <c r="N10" s="432"/>
    </row>
    <row r="11" spans="1:14" ht="15" customHeight="1" x14ac:dyDescent="0.3">
      <c r="A11" s="404" t="s">
        <v>261</v>
      </c>
      <c r="B11" s="404"/>
      <c r="C11" s="404"/>
      <c r="D11" s="404"/>
      <c r="E11" s="404"/>
      <c r="F11" s="404"/>
      <c r="G11" s="462"/>
      <c r="H11" s="462"/>
      <c r="I11" s="462"/>
      <c r="J11" s="462"/>
      <c r="K11" s="462"/>
      <c r="L11" s="462"/>
      <c r="M11" s="462"/>
      <c r="N11" s="462"/>
    </row>
    <row r="12" spans="1:14" ht="15" customHeight="1" x14ac:dyDescent="0.3">
      <c r="A12" s="404" t="s">
        <v>855</v>
      </c>
      <c r="B12" s="404"/>
      <c r="C12" s="404"/>
      <c r="D12" s="404"/>
      <c r="E12" s="404"/>
      <c r="F12" s="404"/>
      <c r="G12" s="462">
        <v>4160</v>
      </c>
      <c r="H12" s="462"/>
      <c r="I12" s="462"/>
      <c r="J12" s="462"/>
      <c r="K12" s="462">
        <v>3700</v>
      </c>
      <c r="L12" s="462"/>
      <c r="M12" s="462"/>
      <c r="N12" s="462"/>
    </row>
    <row r="13" spans="1:14" s="66" customFormat="1" ht="15" customHeight="1" x14ac:dyDescent="0.3">
      <c r="A13" s="404" t="s">
        <v>758</v>
      </c>
      <c r="B13" s="404"/>
      <c r="C13" s="404"/>
      <c r="D13" s="404"/>
      <c r="E13" s="404"/>
      <c r="F13" s="404"/>
      <c r="G13" s="432"/>
      <c r="H13" s="432"/>
      <c r="I13" s="432"/>
      <c r="J13" s="432"/>
      <c r="K13" s="432"/>
      <c r="L13" s="432"/>
      <c r="M13" s="432"/>
      <c r="N13" s="432"/>
    </row>
    <row r="14" spans="1:14" s="66" customFormat="1" ht="24.9" customHeight="1" x14ac:dyDescent="0.3">
      <c r="A14" s="404" t="s">
        <v>392</v>
      </c>
      <c r="B14" s="404"/>
      <c r="C14" s="404"/>
      <c r="D14" s="404"/>
      <c r="E14" s="404"/>
      <c r="F14" s="404"/>
      <c r="G14" s="462"/>
      <c r="H14" s="462"/>
      <c r="I14" s="462"/>
      <c r="J14" s="462"/>
      <c r="K14" s="462"/>
      <c r="L14" s="462"/>
      <c r="M14" s="462"/>
      <c r="N14" s="462"/>
    </row>
    <row r="15" spans="1:14" s="66" customFormat="1" x14ac:dyDescent="0.3">
      <c r="A15" s="404" t="s">
        <v>1387</v>
      </c>
      <c r="B15" s="404"/>
      <c r="C15" s="404"/>
      <c r="D15" s="404"/>
      <c r="E15" s="404"/>
      <c r="F15" s="404"/>
      <c r="G15" s="462">
        <v>36700</v>
      </c>
      <c r="H15" s="462"/>
      <c r="I15" s="462"/>
      <c r="J15" s="462"/>
      <c r="K15" s="462">
        <v>37266</v>
      </c>
      <c r="L15" s="462"/>
      <c r="M15" s="462"/>
      <c r="N15" s="462"/>
    </row>
    <row r="16" spans="1:14" s="66" customFormat="1" x14ac:dyDescent="0.3">
      <c r="A16" s="464" t="s">
        <v>1388</v>
      </c>
      <c r="B16" s="465"/>
      <c r="C16" s="465"/>
      <c r="D16" s="465"/>
      <c r="E16" s="465"/>
      <c r="F16" s="466"/>
      <c r="G16" s="467">
        <v>17336</v>
      </c>
      <c r="H16" s="468"/>
      <c r="I16" s="468"/>
      <c r="J16" s="469"/>
      <c r="K16" s="467">
        <v>23881</v>
      </c>
      <c r="L16" s="468"/>
      <c r="M16" s="468"/>
      <c r="N16" s="469"/>
    </row>
    <row r="17" spans="1:14" s="66" customFormat="1" x14ac:dyDescent="0.3">
      <c r="A17" s="464" t="s">
        <v>1389</v>
      </c>
      <c r="B17" s="465"/>
      <c r="C17" s="465"/>
      <c r="D17" s="465"/>
      <c r="E17" s="465"/>
      <c r="F17" s="466"/>
      <c r="G17" s="467">
        <v>18615</v>
      </c>
      <c r="H17" s="468"/>
      <c r="I17" s="468"/>
      <c r="J17" s="469"/>
      <c r="K17" s="467">
        <v>16662</v>
      </c>
      <c r="L17" s="468"/>
      <c r="M17" s="468"/>
      <c r="N17" s="469"/>
    </row>
    <row r="18" spans="1:14" ht="24.9" customHeight="1" x14ac:dyDescent="0.3">
      <c r="A18" s="464" t="s">
        <v>1390</v>
      </c>
      <c r="B18" s="465"/>
      <c r="C18" s="465"/>
      <c r="D18" s="465"/>
      <c r="E18" s="465"/>
      <c r="F18" s="466"/>
      <c r="G18" s="467">
        <f>50606+3835</f>
        <v>54441</v>
      </c>
      <c r="H18" s="468"/>
      <c r="I18" s="468"/>
      <c r="J18" s="469"/>
      <c r="K18" s="467">
        <v>35023</v>
      </c>
      <c r="L18" s="468"/>
      <c r="M18" s="468"/>
      <c r="N18" s="469"/>
    </row>
    <row r="19" spans="1:14" s="66" customFormat="1" x14ac:dyDescent="0.3">
      <c r="A19" s="464" t="s">
        <v>1391</v>
      </c>
      <c r="B19" s="465"/>
      <c r="C19" s="465"/>
      <c r="D19" s="465"/>
      <c r="E19" s="465"/>
      <c r="F19" s="466"/>
      <c r="G19" s="467">
        <v>119749</v>
      </c>
      <c r="H19" s="468"/>
      <c r="I19" s="468"/>
      <c r="J19" s="469"/>
      <c r="K19" s="467">
        <v>79226</v>
      </c>
      <c r="L19" s="468"/>
      <c r="M19" s="468"/>
      <c r="N19" s="469"/>
    </row>
    <row r="20" spans="1:14" s="66" customFormat="1" x14ac:dyDescent="0.3">
      <c r="A20" s="464" t="s">
        <v>1392</v>
      </c>
      <c r="B20" s="465"/>
      <c r="C20" s="465"/>
      <c r="D20" s="465"/>
      <c r="E20" s="465"/>
      <c r="F20" s="466"/>
      <c r="G20" s="467">
        <v>314157</v>
      </c>
      <c r="H20" s="468"/>
      <c r="I20" s="468"/>
      <c r="J20" s="469"/>
      <c r="K20" s="467">
        <v>405565</v>
      </c>
      <c r="L20" s="468"/>
      <c r="M20" s="468"/>
      <c r="N20" s="469"/>
    </row>
    <row r="21" spans="1:14" s="66" customFormat="1" x14ac:dyDescent="0.3">
      <c r="A21" s="404" t="s">
        <v>1393</v>
      </c>
      <c r="B21" s="404"/>
      <c r="C21" s="404"/>
      <c r="D21" s="404"/>
      <c r="E21" s="404"/>
      <c r="F21" s="404"/>
      <c r="G21" s="462">
        <v>244278</v>
      </c>
      <c r="H21" s="462"/>
      <c r="I21" s="462"/>
      <c r="J21" s="462"/>
      <c r="K21" s="462">
        <v>315353</v>
      </c>
      <c r="L21" s="462"/>
      <c r="M21" s="462"/>
      <c r="N21" s="462"/>
    </row>
    <row r="22" spans="1:14" s="66" customFormat="1" x14ac:dyDescent="0.3">
      <c r="A22" s="404"/>
      <c r="B22" s="404"/>
      <c r="C22" s="404"/>
      <c r="D22" s="404"/>
      <c r="E22" s="404"/>
      <c r="F22" s="404"/>
      <c r="G22" s="462"/>
      <c r="H22" s="462"/>
      <c r="I22" s="462"/>
      <c r="J22" s="462"/>
      <c r="K22" s="462"/>
      <c r="L22" s="462"/>
      <c r="M22" s="462"/>
      <c r="N22" s="462"/>
    </row>
    <row r="23" spans="1:14" s="66" customFormat="1" ht="15" customHeight="1" x14ac:dyDescent="0.3">
      <c r="A23" s="405" t="s">
        <v>783</v>
      </c>
      <c r="B23" s="405"/>
      <c r="C23" s="405"/>
      <c r="D23" s="405"/>
      <c r="E23" s="405"/>
      <c r="F23" s="405"/>
      <c r="G23" s="462">
        <f>SUM(G24:J27)</f>
        <v>992192</v>
      </c>
      <c r="H23" s="462"/>
      <c r="I23" s="462"/>
      <c r="J23" s="462"/>
      <c r="K23" s="462">
        <f>SUM(K24:N26)</f>
        <v>1314661</v>
      </c>
      <c r="L23" s="462"/>
      <c r="M23" s="462"/>
      <c r="N23" s="462"/>
    </row>
    <row r="24" spans="1:14" s="66" customFormat="1" ht="15" customHeight="1" x14ac:dyDescent="0.3">
      <c r="A24" s="404" t="s">
        <v>1394</v>
      </c>
      <c r="B24" s="404"/>
      <c r="C24" s="404"/>
      <c r="D24" s="404"/>
      <c r="E24" s="404"/>
      <c r="F24" s="404"/>
      <c r="G24" s="462">
        <f>983+1315+938+2139</f>
        <v>5375</v>
      </c>
      <c r="H24" s="462"/>
      <c r="I24" s="462"/>
      <c r="J24" s="462"/>
      <c r="K24" s="462">
        <f>1032+964+1223+3244</f>
        <v>6463</v>
      </c>
      <c r="L24" s="462"/>
      <c r="M24" s="462"/>
      <c r="N24" s="462"/>
    </row>
    <row r="25" spans="1:14" s="66" customFormat="1" ht="24.9" customHeight="1" x14ac:dyDescent="0.3">
      <c r="A25" s="404" t="s">
        <v>1395</v>
      </c>
      <c r="B25" s="404"/>
      <c r="C25" s="404"/>
      <c r="D25" s="404"/>
      <c r="E25" s="404"/>
      <c r="F25" s="404"/>
      <c r="G25" s="462">
        <v>944351</v>
      </c>
      <c r="H25" s="462"/>
      <c r="I25" s="462"/>
      <c r="J25" s="462"/>
      <c r="K25" s="462">
        <v>1287876</v>
      </c>
      <c r="L25" s="462"/>
      <c r="M25" s="462"/>
      <c r="N25" s="462"/>
    </row>
    <row r="26" spans="1:14" s="66" customFormat="1" ht="24.9" customHeight="1" x14ac:dyDescent="0.3">
      <c r="A26" s="404" t="s">
        <v>1396</v>
      </c>
      <c r="B26" s="404"/>
      <c r="C26" s="404"/>
      <c r="D26" s="404"/>
      <c r="E26" s="404"/>
      <c r="F26" s="404"/>
      <c r="G26" s="462">
        <v>42160</v>
      </c>
      <c r="H26" s="462"/>
      <c r="I26" s="462"/>
      <c r="J26" s="462"/>
      <c r="K26" s="462">
        <v>20322</v>
      </c>
      <c r="L26" s="462"/>
      <c r="M26" s="462"/>
      <c r="N26" s="462"/>
    </row>
    <row r="27" spans="1:14" s="66" customFormat="1" x14ac:dyDescent="0.3">
      <c r="A27" s="404" t="s">
        <v>1399</v>
      </c>
      <c r="B27" s="404"/>
      <c r="C27" s="404"/>
      <c r="D27" s="404"/>
      <c r="E27" s="404"/>
      <c r="F27" s="404"/>
      <c r="G27" s="462">
        <f>212+94</f>
        <v>306</v>
      </c>
      <c r="H27" s="462"/>
      <c r="I27" s="462"/>
      <c r="J27" s="462"/>
      <c r="K27" s="462"/>
      <c r="L27" s="462"/>
      <c r="M27" s="462"/>
      <c r="N27" s="462"/>
    </row>
    <row r="28" spans="1:14" s="66" customFormat="1" x14ac:dyDescent="0.3">
      <c r="A28" s="405" t="s">
        <v>731</v>
      </c>
      <c r="B28" s="405"/>
      <c r="C28" s="405"/>
      <c r="D28" s="405"/>
      <c r="E28" s="405"/>
      <c r="F28" s="405"/>
      <c r="G28" s="462">
        <f>SUM(G29:J33)</f>
        <v>119344</v>
      </c>
      <c r="H28" s="462"/>
      <c r="I28" s="462"/>
      <c r="J28" s="462"/>
      <c r="K28" s="462">
        <f>SUM(K29:N33)</f>
        <v>131372</v>
      </c>
      <c r="L28" s="462"/>
      <c r="M28" s="462"/>
      <c r="N28" s="462"/>
    </row>
    <row r="29" spans="1:14" s="66" customFormat="1" ht="15" customHeight="1" x14ac:dyDescent="0.3">
      <c r="A29" s="404" t="s">
        <v>651</v>
      </c>
      <c r="B29" s="404"/>
      <c r="C29" s="404"/>
      <c r="D29" s="404"/>
      <c r="E29" s="404"/>
      <c r="F29" s="404"/>
      <c r="G29" s="462"/>
      <c r="H29" s="462"/>
      <c r="I29" s="462"/>
      <c r="J29" s="462"/>
      <c r="K29" s="462"/>
      <c r="L29" s="462"/>
      <c r="M29" s="462"/>
      <c r="N29" s="462"/>
    </row>
    <row r="30" spans="1:14" s="66" customFormat="1" x14ac:dyDescent="0.3">
      <c r="A30" s="404" t="s">
        <v>413</v>
      </c>
      <c r="B30" s="404"/>
      <c r="C30" s="404"/>
      <c r="D30" s="404"/>
      <c r="E30" s="404"/>
      <c r="F30" s="404"/>
      <c r="G30" s="462"/>
      <c r="H30" s="462"/>
      <c r="I30" s="462"/>
      <c r="J30" s="462"/>
      <c r="K30" s="462">
        <v>22</v>
      </c>
      <c r="L30" s="462"/>
      <c r="M30" s="462"/>
      <c r="N30" s="462"/>
    </row>
    <row r="31" spans="1:14" s="66" customFormat="1" x14ac:dyDescent="0.3">
      <c r="A31" s="405" t="s">
        <v>458</v>
      </c>
      <c r="B31" s="405"/>
      <c r="C31" s="405"/>
      <c r="D31" s="405"/>
      <c r="E31" s="405"/>
      <c r="F31" s="405"/>
      <c r="G31" s="462"/>
      <c r="H31" s="462"/>
      <c r="I31" s="462"/>
      <c r="J31" s="462"/>
      <c r="K31" s="462"/>
      <c r="L31" s="462"/>
      <c r="M31" s="462"/>
      <c r="N31" s="462"/>
    </row>
    <row r="32" spans="1:14" x14ac:dyDescent="0.3">
      <c r="A32" s="404" t="s">
        <v>1397</v>
      </c>
      <c r="B32" s="404"/>
      <c r="C32" s="404"/>
      <c r="D32" s="404"/>
      <c r="E32" s="404"/>
      <c r="F32" s="404"/>
      <c r="G32" s="462">
        <v>116764</v>
      </c>
      <c r="H32" s="462"/>
      <c r="I32" s="462"/>
      <c r="J32" s="462"/>
      <c r="K32" s="462">
        <v>126610</v>
      </c>
      <c r="L32" s="462"/>
      <c r="M32" s="462"/>
      <c r="N32" s="462"/>
    </row>
    <row r="33" spans="1:14" x14ac:dyDescent="0.3">
      <c r="A33" s="404" t="s">
        <v>1398</v>
      </c>
      <c r="B33" s="404"/>
      <c r="C33" s="404"/>
      <c r="D33" s="404"/>
      <c r="E33" s="404"/>
      <c r="F33" s="404"/>
      <c r="G33" s="462">
        <f>2556+24</f>
        <v>2580</v>
      </c>
      <c r="H33" s="462"/>
      <c r="I33" s="462"/>
      <c r="J33" s="462"/>
      <c r="K33" s="462">
        <v>4740</v>
      </c>
      <c r="L33" s="462"/>
      <c r="M33" s="462"/>
      <c r="N33" s="462"/>
    </row>
  </sheetData>
  <mergeCells count="86">
    <mergeCell ref="A28:F28"/>
    <mergeCell ref="G28:J28"/>
    <mergeCell ref="K28:N28"/>
    <mergeCell ref="A31:F31"/>
    <mergeCell ref="G31:J31"/>
    <mergeCell ref="K31:N31"/>
    <mergeCell ref="A29:F29"/>
    <mergeCell ref="G29:J29"/>
    <mergeCell ref="K29:N29"/>
    <mergeCell ref="A30:F30"/>
    <mergeCell ref="G30:J30"/>
    <mergeCell ref="K30:N30"/>
    <mergeCell ref="A26:F26"/>
    <mergeCell ref="G26:J26"/>
    <mergeCell ref="K26:N26"/>
    <mergeCell ref="A27:F27"/>
    <mergeCell ref="G27:J27"/>
    <mergeCell ref="K27:N27"/>
    <mergeCell ref="A24:F24"/>
    <mergeCell ref="G24:J24"/>
    <mergeCell ref="K24:N24"/>
    <mergeCell ref="A25:F25"/>
    <mergeCell ref="G25:J25"/>
    <mergeCell ref="K25:N25"/>
    <mergeCell ref="A20:F20"/>
    <mergeCell ref="G20:J20"/>
    <mergeCell ref="K20:N20"/>
    <mergeCell ref="A23:F23"/>
    <mergeCell ref="G23:J23"/>
    <mergeCell ref="K23:N23"/>
    <mergeCell ref="A21:F21"/>
    <mergeCell ref="G21:J21"/>
    <mergeCell ref="K21:N21"/>
    <mergeCell ref="A22:F22"/>
    <mergeCell ref="G22:J22"/>
    <mergeCell ref="K22:N22"/>
    <mergeCell ref="G16:J16"/>
    <mergeCell ref="K16:N16"/>
    <mergeCell ref="A19:F19"/>
    <mergeCell ref="G19:J19"/>
    <mergeCell ref="K19:N19"/>
    <mergeCell ref="A18:F18"/>
    <mergeCell ref="G18:J18"/>
    <mergeCell ref="K18:N18"/>
    <mergeCell ref="A17:F17"/>
    <mergeCell ref="G17:J17"/>
    <mergeCell ref="K17:N17"/>
    <mergeCell ref="A15:F15"/>
    <mergeCell ref="G15:J15"/>
    <mergeCell ref="K15:N15"/>
    <mergeCell ref="A16:F16"/>
    <mergeCell ref="A11:F11"/>
    <mergeCell ref="G11:J11"/>
    <mergeCell ref="K11:N11"/>
    <mergeCell ref="A12:F12"/>
    <mergeCell ref="G12:J12"/>
    <mergeCell ref="K12:N12"/>
    <mergeCell ref="A13:F13"/>
    <mergeCell ref="G13:J13"/>
    <mergeCell ref="K13:N13"/>
    <mergeCell ref="A14:F14"/>
    <mergeCell ref="G14:J14"/>
    <mergeCell ref="K14:N14"/>
    <mergeCell ref="A9:F9"/>
    <mergeCell ref="G9:J9"/>
    <mergeCell ref="K9:N9"/>
    <mergeCell ref="A10:F10"/>
    <mergeCell ref="G10:J10"/>
    <mergeCell ref="K10:N10"/>
    <mergeCell ref="A7:F7"/>
    <mergeCell ref="G7:J7"/>
    <mergeCell ref="K7:N7"/>
    <mergeCell ref="A8:F8"/>
    <mergeCell ref="G8:J8"/>
    <mergeCell ref="K8:N8"/>
    <mergeCell ref="A2:N2"/>
    <mergeCell ref="A4:N4"/>
    <mergeCell ref="A6:F6"/>
    <mergeCell ref="G6:J6"/>
    <mergeCell ref="K6:N6"/>
    <mergeCell ref="K32:N32"/>
    <mergeCell ref="K33:N33"/>
    <mergeCell ref="A32:F32"/>
    <mergeCell ref="G32:J32"/>
    <mergeCell ref="A33:F33"/>
    <mergeCell ref="G33:J3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28"/>
  <sheetViews>
    <sheetView topLeftCell="A4" zoomScaleNormal="100" workbookViewId="0">
      <selection activeCell="A4" sqref="A4:N4"/>
    </sheetView>
  </sheetViews>
  <sheetFormatPr defaultRowHeight="14.4" x14ac:dyDescent="0.3"/>
  <cols>
    <col min="1" max="14" width="6" customWidth="1"/>
  </cols>
  <sheetData>
    <row r="1" spans="1:14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8" x14ac:dyDescent="0.35">
      <c r="A2" s="400" t="s">
        <v>215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</row>
    <row r="3" spans="1:14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15.6" x14ac:dyDescent="0.3">
      <c r="A4" s="167" t="s">
        <v>1429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6" spans="1:14" ht="24.9" customHeight="1" x14ac:dyDescent="0.3">
      <c r="A6" s="367" t="s">
        <v>375</v>
      </c>
      <c r="B6" s="368"/>
      <c r="C6" s="368"/>
      <c r="D6" s="368"/>
      <c r="E6" s="368"/>
      <c r="F6" s="369"/>
      <c r="G6" s="247" t="s">
        <v>405</v>
      </c>
      <c r="H6" s="247"/>
      <c r="I6" s="247"/>
      <c r="J6" s="247"/>
      <c r="K6" s="247" t="s">
        <v>430</v>
      </c>
      <c r="L6" s="247"/>
      <c r="M6" s="247"/>
      <c r="N6" s="247"/>
    </row>
    <row r="7" spans="1:14" ht="39.9" customHeight="1" x14ac:dyDescent="0.3">
      <c r="A7" s="403" t="s">
        <v>1148</v>
      </c>
      <c r="B7" s="403"/>
      <c r="C7" s="403"/>
      <c r="D7" s="403"/>
      <c r="E7" s="403"/>
      <c r="F7" s="403"/>
      <c r="G7" s="407"/>
      <c r="H7" s="407"/>
      <c r="I7" s="407"/>
      <c r="J7" s="407"/>
      <c r="K7" s="234"/>
      <c r="L7" s="234"/>
      <c r="M7" s="234"/>
      <c r="N7" s="234"/>
    </row>
    <row r="8" spans="1:14" ht="39.9" customHeight="1" x14ac:dyDescent="0.3">
      <c r="A8" s="404" t="s">
        <v>976</v>
      </c>
      <c r="B8" s="404"/>
      <c r="C8" s="404"/>
      <c r="D8" s="404"/>
      <c r="E8" s="404"/>
      <c r="F8" s="404"/>
      <c r="G8" s="405"/>
      <c r="H8" s="405"/>
      <c r="I8" s="405"/>
      <c r="J8" s="405"/>
      <c r="K8" s="405"/>
      <c r="L8" s="405"/>
      <c r="M8" s="405"/>
      <c r="N8" s="405"/>
    </row>
    <row r="9" spans="1:14" ht="84.9" customHeight="1" x14ac:dyDescent="0.3">
      <c r="A9" s="404" t="s">
        <v>173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</row>
    <row r="10" spans="1:14" ht="60" customHeight="1" x14ac:dyDescent="0.3">
      <c r="A10" s="404" t="s">
        <v>900</v>
      </c>
      <c r="B10" s="404"/>
      <c r="C10" s="404"/>
      <c r="D10" s="404"/>
      <c r="E10" s="404"/>
      <c r="F10" s="404"/>
      <c r="G10" s="404"/>
      <c r="H10" s="404"/>
      <c r="I10" s="404"/>
      <c r="J10" s="404"/>
      <c r="K10" s="231"/>
      <c r="L10" s="231"/>
      <c r="M10" s="231"/>
      <c r="N10" s="231"/>
    </row>
    <row r="11" spans="1:14" ht="60" customHeight="1" x14ac:dyDescent="0.3">
      <c r="A11" s="404" t="s">
        <v>1048</v>
      </c>
      <c r="B11" s="404"/>
      <c r="C11" s="404"/>
      <c r="D11" s="404"/>
      <c r="E11" s="404"/>
      <c r="F11" s="404"/>
      <c r="G11" s="405"/>
      <c r="H11" s="405"/>
      <c r="I11" s="405"/>
      <c r="J11" s="405"/>
      <c r="K11" s="405"/>
      <c r="L11" s="405"/>
      <c r="M11" s="405"/>
      <c r="N11" s="405"/>
    </row>
    <row r="12" spans="1:14" ht="50.1" customHeight="1" x14ac:dyDescent="0.3">
      <c r="A12" s="404" t="s">
        <v>98</v>
      </c>
      <c r="B12" s="404"/>
      <c r="C12" s="404"/>
      <c r="D12" s="404"/>
      <c r="E12" s="404"/>
      <c r="F12" s="404"/>
      <c r="G12" s="405"/>
      <c r="H12" s="405"/>
      <c r="I12" s="405"/>
      <c r="J12" s="405"/>
      <c r="K12" s="405"/>
      <c r="L12" s="405"/>
      <c r="M12" s="405"/>
      <c r="N12" s="405"/>
    </row>
    <row r="14" spans="1:14" ht="15.75" customHeight="1" x14ac:dyDescent="0.3">
      <c r="A14" s="167" t="s">
        <v>478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</row>
    <row r="15" spans="1:14" x14ac:dyDescent="0.3">
      <c r="A15" s="167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  <row r="17" spans="1:14" ht="24.9" customHeight="1" x14ac:dyDescent="0.3">
      <c r="A17" s="228" t="s">
        <v>375</v>
      </c>
      <c r="B17" s="228"/>
      <c r="C17" s="228"/>
      <c r="D17" s="228"/>
      <c r="E17" s="228" t="s">
        <v>405</v>
      </c>
      <c r="F17" s="228"/>
      <c r="G17" s="228"/>
      <c r="H17" s="228"/>
      <c r="I17" s="228"/>
      <c r="J17" s="228" t="s">
        <v>430</v>
      </c>
      <c r="K17" s="228"/>
      <c r="L17" s="228"/>
      <c r="M17" s="228"/>
      <c r="N17" s="228"/>
    </row>
    <row r="18" spans="1:14" ht="24" x14ac:dyDescent="0.3">
      <c r="A18" s="228"/>
      <c r="B18" s="228"/>
      <c r="C18" s="228"/>
      <c r="D18" s="228"/>
      <c r="E18" s="228" t="s">
        <v>1126</v>
      </c>
      <c r="F18" s="228"/>
      <c r="G18" s="228" t="s">
        <v>1160</v>
      </c>
      <c r="H18" s="228"/>
      <c r="I18" s="70" t="s">
        <v>1273</v>
      </c>
      <c r="J18" s="228" t="s">
        <v>1126</v>
      </c>
      <c r="K18" s="228"/>
      <c r="L18" s="228" t="s">
        <v>1160</v>
      </c>
      <c r="M18" s="228"/>
      <c r="N18" s="70" t="s">
        <v>1273</v>
      </c>
    </row>
    <row r="19" spans="1:14" x14ac:dyDescent="0.3">
      <c r="A19" s="428" t="s">
        <v>1001</v>
      </c>
      <c r="B19" s="428"/>
      <c r="C19" s="428"/>
      <c r="D19" s="428"/>
      <c r="E19" s="428" t="s">
        <v>28</v>
      </c>
      <c r="F19" s="428"/>
      <c r="G19" s="428" t="s">
        <v>788</v>
      </c>
      <c r="H19" s="428"/>
      <c r="I19" s="71" t="s">
        <v>296</v>
      </c>
      <c r="J19" s="428" t="s">
        <v>889</v>
      </c>
      <c r="K19" s="428"/>
      <c r="L19" s="428" t="s">
        <v>191</v>
      </c>
      <c r="M19" s="428"/>
      <c r="N19" s="71" t="s">
        <v>747</v>
      </c>
    </row>
    <row r="20" spans="1:14" ht="24.9" customHeight="1" x14ac:dyDescent="0.3">
      <c r="A20" s="449" t="s">
        <v>195</v>
      </c>
      <c r="B20" s="450"/>
      <c r="C20" s="450"/>
      <c r="D20" s="451"/>
      <c r="E20" s="297">
        <v>-1624497</v>
      </c>
      <c r="F20" s="297"/>
      <c r="G20" s="470" t="s">
        <v>676</v>
      </c>
      <c r="H20" s="470"/>
      <c r="I20" s="73" t="s">
        <v>676</v>
      </c>
      <c r="J20" s="297">
        <v>-2464184</v>
      </c>
      <c r="K20" s="297"/>
      <c r="L20" s="470" t="s">
        <v>676</v>
      </c>
      <c r="M20" s="470"/>
      <c r="N20" s="87" t="s">
        <v>676</v>
      </c>
    </row>
    <row r="21" spans="1:14" x14ac:dyDescent="0.3">
      <c r="A21" s="343" t="s">
        <v>881</v>
      </c>
      <c r="B21" s="343"/>
      <c r="C21" s="343"/>
      <c r="D21" s="343"/>
      <c r="E21" s="440" t="s">
        <v>676</v>
      </c>
      <c r="F21" s="441"/>
      <c r="G21" s="268">
        <v>-341144</v>
      </c>
      <c r="H21" s="268"/>
      <c r="I21" s="72">
        <v>21</v>
      </c>
      <c r="J21" s="440" t="s">
        <v>676</v>
      </c>
      <c r="K21" s="441"/>
      <c r="L21" s="268">
        <f>(J20*0.22)+0.48</f>
        <v>-542120</v>
      </c>
      <c r="M21" s="268"/>
      <c r="N21" s="83">
        <v>22</v>
      </c>
    </row>
    <row r="22" spans="1:14" x14ac:dyDescent="0.3">
      <c r="A22" s="343" t="s">
        <v>1239</v>
      </c>
      <c r="B22" s="343"/>
      <c r="C22" s="343"/>
      <c r="D22" s="343"/>
      <c r="E22" s="268">
        <v>1614131</v>
      </c>
      <c r="F22" s="268"/>
      <c r="G22" s="268">
        <v>338968</v>
      </c>
      <c r="H22" s="268"/>
      <c r="I22" s="72">
        <f>(G22/E22)*100</f>
        <v>21.000030356891727</v>
      </c>
      <c r="J22" s="268">
        <v>1910445</v>
      </c>
      <c r="K22" s="268"/>
      <c r="L22" s="268">
        <f>(J22*0.22)+0.1</f>
        <v>420298</v>
      </c>
      <c r="M22" s="268"/>
      <c r="N22" s="83">
        <v>16.73</v>
      </c>
    </row>
    <row r="23" spans="1:14" x14ac:dyDescent="0.3">
      <c r="A23" s="343" t="s">
        <v>1090</v>
      </c>
      <c r="B23" s="343"/>
      <c r="C23" s="343"/>
      <c r="D23" s="343"/>
      <c r="E23" s="268">
        <v>-385933</v>
      </c>
      <c r="F23" s="268"/>
      <c r="G23" s="268">
        <v>-81046</v>
      </c>
      <c r="H23" s="268"/>
      <c r="I23" s="72">
        <v>21</v>
      </c>
      <c r="J23" s="268">
        <v>-1172</v>
      </c>
      <c r="K23" s="268"/>
      <c r="L23" s="268">
        <f>(J23*0.22)-0.16</f>
        <v>-258</v>
      </c>
      <c r="M23" s="268"/>
      <c r="N23" s="83">
        <v>0</v>
      </c>
    </row>
    <row r="24" spans="1:14" x14ac:dyDescent="0.3">
      <c r="A24" s="343" t="s">
        <v>623</v>
      </c>
      <c r="B24" s="343"/>
      <c r="C24" s="343"/>
      <c r="D24" s="343"/>
      <c r="E24" s="268"/>
      <c r="F24" s="268"/>
      <c r="G24" s="268"/>
      <c r="H24" s="268"/>
      <c r="I24" s="72"/>
      <c r="J24" s="268"/>
      <c r="K24" s="268"/>
      <c r="L24" s="268"/>
      <c r="M24" s="268"/>
      <c r="N24" s="83"/>
    </row>
    <row r="25" spans="1:14" x14ac:dyDescent="0.3">
      <c r="A25" s="343" t="s">
        <v>518</v>
      </c>
      <c r="B25" s="343"/>
      <c r="C25" s="343"/>
      <c r="D25" s="343"/>
      <c r="E25" s="268">
        <f>E20+E22+E23</f>
        <v>-396299</v>
      </c>
      <c r="F25" s="268"/>
      <c r="G25" s="268">
        <f>G21+G22+G23</f>
        <v>-83222</v>
      </c>
      <c r="H25" s="268"/>
      <c r="I25" s="72"/>
      <c r="J25" s="268">
        <f>J20+J22+J23</f>
        <v>-554911</v>
      </c>
      <c r="K25" s="268"/>
      <c r="L25" s="268">
        <f>SUM(L21:M24)</f>
        <v>-122080</v>
      </c>
      <c r="M25" s="268"/>
      <c r="N25" s="83"/>
    </row>
    <row r="26" spans="1:14" x14ac:dyDescent="0.3">
      <c r="A26" s="343" t="s">
        <v>854</v>
      </c>
      <c r="B26" s="343"/>
      <c r="C26" s="343"/>
      <c r="D26" s="343"/>
      <c r="E26" s="233" t="s">
        <v>676</v>
      </c>
      <c r="F26" s="233"/>
      <c r="G26" s="268">
        <v>2880</v>
      </c>
      <c r="H26" s="268"/>
      <c r="I26" s="72"/>
      <c r="J26" s="233" t="s">
        <v>676</v>
      </c>
      <c r="K26" s="233"/>
      <c r="L26" s="268">
        <v>2887</v>
      </c>
      <c r="M26" s="268"/>
      <c r="N26" s="83"/>
    </row>
    <row r="27" spans="1:14" x14ac:dyDescent="0.3">
      <c r="A27" s="343" t="s">
        <v>438</v>
      </c>
      <c r="B27" s="343"/>
      <c r="C27" s="343"/>
      <c r="D27" s="343"/>
      <c r="E27" s="233" t="s">
        <v>676</v>
      </c>
      <c r="F27" s="233"/>
      <c r="G27" s="268"/>
      <c r="H27" s="268"/>
      <c r="I27" s="72"/>
      <c r="J27" s="233" t="s">
        <v>676</v>
      </c>
      <c r="K27" s="233"/>
      <c r="L27" s="268"/>
      <c r="M27" s="268"/>
      <c r="N27" s="83"/>
    </row>
    <row r="28" spans="1:14" x14ac:dyDescent="0.3">
      <c r="A28" s="343" t="s">
        <v>558</v>
      </c>
      <c r="B28" s="343"/>
      <c r="C28" s="343"/>
      <c r="D28" s="343"/>
      <c r="E28" s="233" t="s">
        <v>676</v>
      </c>
      <c r="F28" s="233"/>
      <c r="G28" s="268">
        <v>2880</v>
      </c>
      <c r="H28" s="268"/>
      <c r="I28" s="72"/>
      <c r="J28" s="233" t="s">
        <v>676</v>
      </c>
      <c r="K28" s="233"/>
      <c r="L28" s="268">
        <v>2887</v>
      </c>
      <c r="M28" s="268"/>
      <c r="N28" s="83"/>
    </row>
  </sheetData>
  <mergeCells count="81">
    <mergeCell ref="A9:F9"/>
    <mergeCell ref="G9:J9"/>
    <mergeCell ref="K9:N9"/>
    <mergeCell ref="A14:N15"/>
    <mergeCell ref="A12:F12"/>
    <mergeCell ref="G12:J12"/>
    <mergeCell ref="K12:N12"/>
    <mergeCell ref="A10:F10"/>
    <mergeCell ref="G10:J10"/>
    <mergeCell ref="K10:N10"/>
    <mergeCell ref="A11:F11"/>
    <mergeCell ref="G11:J11"/>
    <mergeCell ref="K11:N11"/>
    <mergeCell ref="A7:F7"/>
    <mergeCell ref="G7:J7"/>
    <mergeCell ref="K7:N7"/>
    <mergeCell ref="A8:F8"/>
    <mergeCell ref="G8:J8"/>
    <mergeCell ref="K8:N8"/>
    <mergeCell ref="A2:N2"/>
    <mergeCell ref="A4:N4"/>
    <mergeCell ref="A6:F6"/>
    <mergeCell ref="G6:J6"/>
    <mergeCell ref="K6:N6"/>
    <mergeCell ref="J18:K18"/>
    <mergeCell ref="L18:M18"/>
    <mergeCell ref="A20:D20"/>
    <mergeCell ref="A17:D18"/>
    <mergeCell ref="E17:I17"/>
    <mergeCell ref="J17:N17"/>
    <mergeCell ref="A19:D19"/>
    <mergeCell ref="G18:H18"/>
    <mergeCell ref="E18:F18"/>
    <mergeCell ref="E19:F19"/>
    <mergeCell ref="G19:H19"/>
    <mergeCell ref="J19:K19"/>
    <mergeCell ref="L19:M19"/>
    <mergeCell ref="A23:D23"/>
    <mergeCell ref="E21:F21"/>
    <mergeCell ref="L20:M20"/>
    <mergeCell ref="L21:M21"/>
    <mergeCell ref="L22:M22"/>
    <mergeCell ref="A21:D21"/>
    <mergeCell ref="A22:D22"/>
    <mergeCell ref="J20:K20"/>
    <mergeCell ref="J21:K21"/>
    <mergeCell ref="J22:K22"/>
    <mergeCell ref="J23:K23"/>
    <mergeCell ref="L23:M23"/>
    <mergeCell ref="A24:D24"/>
    <mergeCell ref="A25:D25"/>
    <mergeCell ref="A26:D26"/>
    <mergeCell ref="A27:D27"/>
    <mergeCell ref="A28:D28"/>
    <mergeCell ref="G25:H25"/>
    <mergeCell ref="G26:H26"/>
    <mergeCell ref="E20:F20"/>
    <mergeCell ref="E22:F22"/>
    <mergeCell ref="E23:F23"/>
    <mergeCell ref="E24:F24"/>
    <mergeCell ref="E25:F25"/>
    <mergeCell ref="E26:F26"/>
    <mergeCell ref="G20:H20"/>
    <mergeCell ref="G21:H21"/>
    <mergeCell ref="G22:H22"/>
    <mergeCell ref="G23:H23"/>
    <mergeCell ref="G24:H24"/>
    <mergeCell ref="L27:M27"/>
    <mergeCell ref="E27:F27"/>
    <mergeCell ref="L28:M28"/>
    <mergeCell ref="J26:K26"/>
    <mergeCell ref="J27:K27"/>
    <mergeCell ref="J28:K28"/>
    <mergeCell ref="E28:F28"/>
    <mergeCell ref="G28:H28"/>
    <mergeCell ref="G27:H27"/>
    <mergeCell ref="L24:M24"/>
    <mergeCell ref="J25:K25"/>
    <mergeCell ref="J24:K24"/>
    <mergeCell ref="L25:M25"/>
    <mergeCell ref="L26:M2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46"/>
  <sheetViews>
    <sheetView workbookViewId="0"/>
  </sheetViews>
  <sheetFormatPr defaultRowHeight="14.4" x14ac:dyDescent="0.3"/>
  <cols>
    <col min="1" max="14" width="6" customWidth="1"/>
  </cols>
  <sheetData>
    <row r="1" spans="1:14" x14ac:dyDescent="0.3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18" x14ac:dyDescent="0.35">
      <c r="A2" s="400" t="s">
        <v>374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</row>
    <row r="3" spans="1:14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5.6" x14ac:dyDescent="0.3">
      <c r="A4" s="167" t="s">
        <v>768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6" spans="1:14" ht="24.9" customHeight="1" x14ac:dyDescent="0.3">
      <c r="A6" s="367" t="s">
        <v>375</v>
      </c>
      <c r="B6" s="368"/>
      <c r="C6" s="368"/>
      <c r="D6" s="368"/>
      <c r="E6" s="368"/>
      <c r="F6" s="369"/>
      <c r="G6" s="247" t="s">
        <v>405</v>
      </c>
      <c r="H6" s="247"/>
      <c r="I6" s="247"/>
      <c r="J6" s="247"/>
      <c r="K6" s="247" t="s">
        <v>430</v>
      </c>
      <c r="L6" s="247"/>
      <c r="M6" s="247"/>
      <c r="N6" s="247"/>
    </row>
    <row r="7" spans="1:14" ht="15" customHeight="1" x14ac:dyDescent="0.3">
      <c r="A7" s="403" t="s">
        <v>610</v>
      </c>
      <c r="B7" s="403"/>
      <c r="C7" s="403"/>
      <c r="D7" s="403"/>
      <c r="E7" s="403"/>
      <c r="F7" s="403"/>
      <c r="G7" s="407"/>
      <c r="H7" s="407"/>
      <c r="I7" s="407"/>
      <c r="J7" s="407"/>
      <c r="K7" s="234"/>
      <c r="L7" s="234"/>
      <c r="M7" s="234"/>
      <c r="N7" s="234"/>
    </row>
    <row r="8" spans="1:14" ht="15" customHeight="1" x14ac:dyDescent="0.3">
      <c r="A8" s="404" t="s">
        <v>1194</v>
      </c>
      <c r="B8" s="404"/>
      <c r="C8" s="404"/>
      <c r="D8" s="404"/>
      <c r="E8" s="404"/>
      <c r="F8" s="404"/>
      <c r="G8" s="405"/>
      <c r="H8" s="405"/>
      <c r="I8" s="405"/>
      <c r="J8" s="405"/>
      <c r="K8" s="405"/>
      <c r="L8" s="405"/>
      <c r="M8" s="405"/>
      <c r="N8" s="405"/>
    </row>
    <row r="9" spans="1:14" ht="15" customHeight="1" x14ac:dyDescent="0.3">
      <c r="A9" s="404" t="s">
        <v>1295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</row>
    <row r="10" spans="1:14" ht="15" customHeight="1" x14ac:dyDescent="0.3">
      <c r="A10" s="404" t="s">
        <v>26</v>
      </c>
      <c r="B10" s="404"/>
      <c r="C10" s="404"/>
      <c r="D10" s="404"/>
      <c r="E10" s="404"/>
      <c r="F10" s="404"/>
      <c r="G10" s="404"/>
      <c r="H10" s="404"/>
      <c r="I10" s="404"/>
      <c r="J10" s="404"/>
      <c r="K10" s="231"/>
      <c r="L10" s="231"/>
      <c r="M10" s="231"/>
      <c r="N10" s="231"/>
    </row>
    <row r="11" spans="1:14" ht="15" customHeight="1" x14ac:dyDescent="0.3">
      <c r="A11" s="404" t="s">
        <v>742</v>
      </c>
      <c r="B11" s="404"/>
      <c r="C11" s="404"/>
      <c r="D11" s="404"/>
      <c r="E11" s="404"/>
      <c r="F11" s="404"/>
      <c r="G11" s="405"/>
      <c r="H11" s="405"/>
      <c r="I11" s="405"/>
      <c r="J11" s="405"/>
      <c r="K11" s="405"/>
      <c r="L11" s="405"/>
      <c r="M11" s="405"/>
      <c r="N11" s="405"/>
    </row>
    <row r="12" spans="1:14" ht="15" customHeight="1" x14ac:dyDescent="0.3">
      <c r="A12" s="404" t="s">
        <v>1175</v>
      </c>
      <c r="B12" s="404"/>
      <c r="C12" s="404"/>
      <c r="D12" s="404"/>
      <c r="E12" s="404"/>
      <c r="F12" s="404"/>
      <c r="G12" s="405"/>
      <c r="H12" s="405"/>
      <c r="I12" s="405"/>
      <c r="J12" s="405"/>
      <c r="K12" s="405"/>
      <c r="L12" s="405"/>
      <c r="M12" s="405"/>
      <c r="N12" s="405"/>
    </row>
    <row r="13" spans="1:14" x14ac:dyDescent="0.3">
      <c r="A13" s="404" t="s">
        <v>687</v>
      </c>
      <c r="B13" s="404"/>
      <c r="C13" s="404"/>
      <c r="D13" s="404"/>
      <c r="E13" s="404"/>
      <c r="F13" s="404"/>
      <c r="G13" s="404"/>
      <c r="H13" s="404"/>
      <c r="I13" s="404"/>
      <c r="J13" s="404"/>
      <c r="K13" s="231"/>
      <c r="L13" s="231"/>
      <c r="M13" s="231"/>
      <c r="N13" s="231"/>
    </row>
    <row r="14" spans="1:14" x14ac:dyDescent="0.3">
      <c r="A14" s="404" t="s">
        <v>543</v>
      </c>
      <c r="B14" s="404"/>
      <c r="C14" s="404"/>
      <c r="D14" s="404"/>
      <c r="E14" s="404"/>
      <c r="F14" s="404"/>
      <c r="G14" s="405"/>
      <c r="H14" s="405"/>
      <c r="I14" s="405"/>
      <c r="J14" s="405"/>
      <c r="K14" s="405"/>
      <c r="L14" s="405"/>
      <c r="M14" s="405"/>
      <c r="N14" s="405"/>
    </row>
    <row r="15" spans="1:14" x14ac:dyDescent="0.3">
      <c r="A15" s="404" t="s">
        <v>420</v>
      </c>
      <c r="B15" s="404"/>
      <c r="C15" s="404"/>
      <c r="D15" s="404"/>
      <c r="E15" s="404"/>
      <c r="F15" s="404"/>
      <c r="G15" s="405"/>
      <c r="H15" s="405"/>
      <c r="I15" s="405"/>
      <c r="J15" s="405"/>
      <c r="K15" s="405"/>
      <c r="L15" s="405"/>
      <c r="M15" s="405"/>
      <c r="N15" s="405"/>
    </row>
    <row r="16" spans="1:14" s="67" customFormat="1" x14ac:dyDescent="0.3">
      <c r="A16" s="74"/>
      <c r="B16" s="74"/>
      <c r="C16" s="74"/>
      <c r="D16" s="74"/>
      <c r="E16" s="74"/>
      <c r="F16" s="74"/>
      <c r="G16" s="75"/>
      <c r="H16" s="75"/>
      <c r="I16" s="75"/>
      <c r="J16" s="75"/>
      <c r="K16" s="75"/>
      <c r="L16" s="75"/>
      <c r="M16" s="75"/>
      <c r="N16" s="75"/>
    </row>
    <row r="19" spans="1:14" ht="15.75" customHeight="1" x14ac:dyDescent="0.3"/>
    <row r="20" spans="1:14" s="67" customFormat="1" ht="15" customHeigh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ht="15.75" customHeight="1" x14ac:dyDescent="0.3"/>
    <row r="22" spans="1:14" ht="15" customHeight="1" x14ac:dyDescent="0.3"/>
    <row r="23" spans="1:14" ht="15" customHeight="1" x14ac:dyDescent="0.3"/>
    <row r="24" spans="1:14" ht="15" customHeight="1" x14ac:dyDescent="0.3"/>
    <row r="25" spans="1:14" ht="15" customHeight="1" x14ac:dyDescent="0.3"/>
    <row r="26" spans="1:14" ht="15" customHeight="1" x14ac:dyDescent="0.3"/>
    <row r="27" spans="1:14" ht="15" customHeight="1" x14ac:dyDescent="0.3"/>
    <row r="29" spans="1:14" ht="15.75" customHeight="1" x14ac:dyDescent="0.3"/>
    <row r="31" spans="1:14" ht="15.75" customHeight="1" x14ac:dyDescent="0.3"/>
    <row r="32" spans="1:14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9" ht="15.7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</sheetData>
  <mergeCells count="32">
    <mergeCell ref="A7:F7"/>
    <mergeCell ref="G7:J7"/>
    <mergeCell ref="K7:N7"/>
    <mergeCell ref="A2:N2"/>
    <mergeCell ref="A4:N4"/>
    <mergeCell ref="A6:F6"/>
    <mergeCell ref="G6:J6"/>
    <mergeCell ref="K6:N6"/>
    <mergeCell ref="A8:F8"/>
    <mergeCell ref="G8:J8"/>
    <mergeCell ref="K8:N8"/>
    <mergeCell ref="A9:F9"/>
    <mergeCell ref="G9:J9"/>
    <mergeCell ref="K9:N9"/>
    <mergeCell ref="A10:F10"/>
    <mergeCell ref="G10:J10"/>
    <mergeCell ref="K10:N10"/>
    <mergeCell ref="A11:F11"/>
    <mergeCell ref="G11:J11"/>
    <mergeCell ref="K11:N11"/>
    <mergeCell ref="A12:F12"/>
    <mergeCell ref="G12:J12"/>
    <mergeCell ref="K12:N12"/>
    <mergeCell ref="A13:F13"/>
    <mergeCell ref="G13:J13"/>
    <mergeCell ref="K13:N13"/>
    <mergeCell ref="A14:F14"/>
    <mergeCell ref="G14:J14"/>
    <mergeCell ref="K14:N14"/>
    <mergeCell ref="A15:F15"/>
    <mergeCell ref="G15:J15"/>
    <mergeCell ref="K15:N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8"/>
  <sheetViews>
    <sheetView topLeftCell="A67" workbookViewId="0">
      <selection sqref="A1:IV65536"/>
    </sheetView>
  </sheetViews>
  <sheetFormatPr defaultRowHeight="14.4" x14ac:dyDescent="0.3"/>
  <cols>
    <col min="1" max="1" width="5.33203125" customWidth="1"/>
    <col min="2" max="2" width="108" customWidth="1"/>
    <col min="3" max="3" width="52.109375" customWidth="1"/>
    <col min="4" max="4" width="9" customWidth="1"/>
    <col min="5" max="6" width="9.33203125" customWidth="1"/>
  </cols>
  <sheetData>
    <row r="1" spans="1:6" x14ac:dyDescent="0.3">
      <c r="A1" t="s">
        <v>1056</v>
      </c>
      <c r="B1" t="s">
        <v>611</v>
      </c>
      <c r="C1" t="s">
        <v>33</v>
      </c>
      <c r="D1" t="s">
        <v>155</v>
      </c>
      <c r="E1" t="s">
        <v>537</v>
      </c>
      <c r="F1" t="s">
        <v>1274</v>
      </c>
    </row>
    <row r="2" spans="1:6" x14ac:dyDescent="0.3">
      <c r="A2">
        <v>41</v>
      </c>
      <c r="B2" t="s">
        <v>1087</v>
      </c>
      <c r="C2" t="s">
        <v>1022</v>
      </c>
      <c r="D2">
        <v>0</v>
      </c>
      <c r="E2">
        <v>0</v>
      </c>
      <c r="F2">
        <v>0</v>
      </c>
    </row>
    <row r="3" spans="1:6" x14ac:dyDescent="0.3">
      <c r="A3">
        <v>42</v>
      </c>
      <c r="B3" t="s">
        <v>1087</v>
      </c>
      <c r="C3" t="s">
        <v>316</v>
      </c>
      <c r="D3">
        <v>0</v>
      </c>
      <c r="E3">
        <v>0</v>
      </c>
      <c r="F3">
        <v>0</v>
      </c>
    </row>
    <row r="4" spans="1:6" x14ac:dyDescent="0.3">
      <c r="A4">
        <v>43</v>
      </c>
      <c r="B4" t="s">
        <v>1087</v>
      </c>
      <c r="C4" t="s">
        <v>73</v>
      </c>
      <c r="D4">
        <v>0</v>
      </c>
      <c r="E4">
        <v>0</v>
      </c>
      <c r="F4">
        <v>0</v>
      </c>
    </row>
    <row r="5" spans="1:6" x14ac:dyDescent="0.3">
      <c r="A5">
        <v>51</v>
      </c>
      <c r="B5" t="s">
        <v>848</v>
      </c>
      <c r="C5" t="s">
        <v>505</v>
      </c>
      <c r="D5">
        <v>3035</v>
      </c>
      <c r="E5">
        <v>0</v>
      </c>
      <c r="F5">
        <v>0</v>
      </c>
    </row>
    <row r="6" spans="1:6" x14ac:dyDescent="0.3">
      <c r="A6">
        <v>52</v>
      </c>
      <c r="B6" t="s">
        <v>848</v>
      </c>
      <c r="C6" t="s">
        <v>1116</v>
      </c>
      <c r="D6">
        <v>1369</v>
      </c>
      <c r="E6">
        <v>0</v>
      </c>
      <c r="F6">
        <v>760</v>
      </c>
    </row>
    <row r="7" spans="1:6" x14ac:dyDescent="0.3">
      <c r="A7">
        <v>53</v>
      </c>
      <c r="B7" t="s">
        <v>848</v>
      </c>
      <c r="C7" t="s">
        <v>73</v>
      </c>
      <c r="D7">
        <v>0</v>
      </c>
      <c r="E7">
        <v>0</v>
      </c>
      <c r="F7">
        <v>0</v>
      </c>
    </row>
    <row r="8" spans="1:6" x14ac:dyDescent="0.3">
      <c r="A8">
        <v>61</v>
      </c>
      <c r="B8" t="s">
        <v>439</v>
      </c>
      <c r="C8" t="s">
        <v>218</v>
      </c>
      <c r="D8">
        <v>0</v>
      </c>
      <c r="E8">
        <v>0</v>
      </c>
      <c r="F8">
        <v>0</v>
      </c>
    </row>
    <row r="9" spans="1:6" x14ac:dyDescent="0.3">
      <c r="A9">
        <v>62</v>
      </c>
      <c r="B9" t="s">
        <v>439</v>
      </c>
      <c r="C9" t="s">
        <v>925</v>
      </c>
      <c r="D9">
        <v>0</v>
      </c>
      <c r="E9">
        <v>0</v>
      </c>
      <c r="F9">
        <v>0</v>
      </c>
    </row>
    <row r="10" spans="1:6" x14ac:dyDescent="0.3">
      <c r="A10">
        <v>63</v>
      </c>
      <c r="B10" t="s">
        <v>439</v>
      </c>
      <c r="C10" t="s">
        <v>73</v>
      </c>
      <c r="D10">
        <v>0</v>
      </c>
      <c r="E10">
        <v>0</v>
      </c>
      <c r="F10">
        <v>0</v>
      </c>
    </row>
    <row r="11" spans="1:6" x14ac:dyDescent="0.3">
      <c r="A11">
        <v>71</v>
      </c>
      <c r="B11" t="s">
        <v>551</v>
      </c>
      <c r="C11" t="s">
        <v>1029</v>
      </c>
      <c r="D11">
        <v>0</v>
      </c>
      <c r="E11">
        <v>0</v>
      </c>
      <c r="F11">
        <v>0</v>
      </c>
    </row>
    <row r="12" spans="1:6" x14ac:dyDescent="0.3">
      <c r="A12">
        <v>72</v>
      </c>
      <c r="B12" t="s">
        <v>551</v>
      </c>
      <c r="C12" t="s">
        <v>409</v>
      </c>
      <c r="D12">
        <v>0</v>
      </c>
      <c r="E12">
        <v>0</v>
      </c>
      <c r="F12">
        <v>0</v>
      </c>
    </row>
    <row r="13" spans="1:6" x14ac:dyDescent="0.3">
      <c r="A13">
        <v>73</v>
      </c>
      <c r="B13" t="s">
        <v>551</v>
      </c>
      <c r="C13" t="s">
        <v>73</v>
      </c>
      <c r="D13">
        <v>0</v>
      </c>
      <c r="E13">
        <v>0</v>
      </c>
      <c r="F13">
        <v>0</v>
      </c>
    </row>
    <row r="14" spans="1:6" x14ac:dyDescent="0.3">
      <c r="A14">
        <v>81</v>
      </c>
      <c r="B14" t="s">
        <v>656</v>
      </c>
      <c r="C14" t="s">
        <v>1128</v>
      </c>
      <c r="D14">
        <v>0</v>
      </c>
      <c r="E14">
        <v>0</v>
      </c>
      <c r="F14">
        <v>0</v>
      </c>
    </row>
    <row r="15" spans="1:6" x14ac:dyDescent="0.3">
      <c r="A15">
        <v>82</v>
      </c>
      <c r="B15" t="s">
        <v>656</v>
      </c>
      <c r="C15" t="s">
        <v>359</v>
      </c>
      <c r="D15">
        <v>0</v>
      </c>
      <c r="E15">
        <v>0</v>
      </c>
      <c r="F15">
        <v>0</v>
      </c>
    </row>
    <row r="16" spans="1:6" x14ac:dyDescent="0.3">
      <c r="A16">
        <v>83</v>
      </c>
      <c r="B16" t="s">
        <v>656</v>
      </c>
      <c r="C16" t="s">
        <v>73</v>
      </c>
      <c r="D16">
        <v>0</v>
      </c>
      <c r="E16">
        <v>0</v>
      </c>
      <c r="F16">
        <v>0</v>
      </c>
    </row>
    <row r="17" spans="1:6" x14ac:dyDescent="0.3">
      <c r="A17">
        <v>91</v>
      </c>
      <c r="B17" t="s">
        <v>1204</v>
      </c>
      <c r="C17" t="s">
        <v>858</v>
      </c>
      <c r="D17">
        <v>0</v>
      </c>
      <c r="E17">
        <v>0</v>
      </c>
      <c r="F17">
        <v>0</v>
      </c>
    </row>
    <row r="18" spans="1:6" x14ac:dyDescent="0.3">
      <c r="A18">
        <v>92</v>
      </c>
      <c r="B18" t="s">
        <v>1204</v>
      </c>
      <c r="C18" t="s">
        <v>724</v>
      </c>
      <c r="D18">
        <v>0</v>
      </c>
      <c r="E18">
        <v>0</v>
      </c>
      <c r="F18">
        <v>0</v>
      </c>
    </row>
    <row r="19" spans="1:6" x14ac:dyDescent="0.3">
      <c r="A19">
        <v>101</v>
      </c>
      <c r="B19" t="s">
        <v>143</v>
      </c>
      <c r="C19" t="s">
        <v>174</v>
      </c>
      <c r="D19">
        <v>0</v>
      </c>
      <c r="E19">
        <v>0</v>
      </c>
      <c r="F19">
        <v>0</v>
      </c>
    </row>
    <row r="20" spans="1:6" x14ac:dyDescent="0.3">
      <c r="A20">
        <v>102</v>
      </c>
      <c r="B20" t="s">
        <v>143</v>
      </c>
      <c r="C20" t="s">
        <v>188</v>
      </c>
      <c r="D20">
        <v>0</v>
      </c>
      <c r="E20">
        <v>0</v>
      </c>
      <c r="F20">
        <v>0</v>
      </c>
    </row>
    <row r="21" spans="1:6" x14ac:dyDescent="0.3">
      <c r="A21">
        <v>121</v>
      </c>
      <c r="B21" t="s">
        <v>952</v>
      </c>
      <c r="C21" t="s">
        <v>813</v>
      </c>
      <c r="D21">
        <v>764000</v>
      </c>
      <c r="E21">
        <v>0</v>
      </c>
      <c r="F21">
        <v>0</v>
      </c>
    </row>
    <row r="22" spans="1:6" x14ac:dyDescent="0.3">
      <c r="A22">
        <v>122</v>
      </c>
      <c r="B22" t="s">
        <v>952</v>
      </c>
      <c r="C22" t="s">
        <v>521</v>
      </c>
      <c r="D22">
        <v>0</v>
      </c>
      <c r="E22">
        <v>0</v>
      </c>
      <c r="F22">
        <v>0</v>
      </c>
    </row>
    <row r="23" spans="1:6" x14ac:dyDescent="0.3">
      <c r="A23">
        <v>131</v>
      </c>
      <c r="B23" t="s">
        <v>426</v>
      </c>
      <c r="C23" t="s">
        <v>127</v>
      </c>
      <c r="D23">
        <v>1306466</v>
      </c>
      <c r="E23">
        <v>39829</v>
      </c>
      <c r="F23">
        <v>0</v>
      </c>
    </row>
    <row r="24" spans="1:6" x14ac:dyDescent="0.3">
      <c r="A24">
        <v>132</v>
      </c>
      <c r="B24" t="s">
        <v>426</v>
      </c>
      <c r="C24" t="s">
        <v>779</v>
      </c>
      <c r="D24">
        <v>146042</v>
      </c>
      <c r="E24">
        <v>0</v>
      </c>
      <c r="F24">
        <v>67140</v>
      </c>
    </row>
    <row r="25" spans="1:6" x14ac:dyDescent="0.3">
      <c r="A25">
        <v>141</v>
      </c>
      <c r="B25" t="s">
        <v>796</v>
      </c>
      <c r="C25" t="s">
        <v>675</v>
      </c>
      <c r="D25">
        <v>1551646</v>
      </c>
      <c r="E25">
        <v>1525389</v>
      </c>
      <c r="F25">
        <v>0</v>
      </c>
    </row>
    <row r="26" spans="1:6" x14ac:dyDescent="0.3">
      <c r="A26">
        <v>142</v>
      </c>
      <c r="B26" t="s">
        <v>796</v>
      </c>
      <c r="C26" t="s">
        <v>1205</v>
      </c>
      <c r="D26">
        <v>285421</v>
      </c>
      <c r="E26">
        <v>0</v>
      </c>
      <c r="F26">
        <v>320381</v>
      </c>
    </row>
    <row r="27" spans="1:6" x14ac:dyDescent="0.3">
      <c r="A27">
        <v>151</v>
      </c>
      <c r="B27" t="s">
        <v>19</v>
      </c>
      <c r="C27" t="s">
        <v>24</v>
      </c>
      <c r="D27">
        <v>0</v>
      </c>
      <c r="E27">
        <v>0</v>
      </c>
      <c r="F27">
        <v>0</v>
      </c>
    </row>
    <row r="28" spans="1:6" x14ac:dyDescent="0.3">
      <c r="A28">
        <v>152</v>
      </c>
      <c r="B28" t="s">
        <v>19</v>
      </c>
      <c r="C28" t="s">
        <v>849</v>
      </c>
      <c r="D28">
        <v>0</v>
      </c>
      <c r="E28">
        <v>0</v>
      </c>
      <c r="F28">
        <v>0</v>
      </c>
    </row>
    <row r="29" spans="1:6" x14ac:dyDescent="0.3">
      <c r="A29">
        <v>153</v>
      </c>
      <c r="B29" t="s">
        <v>19</v>
      </c>
      <c r="C29" t="s">
        <v>521</v>
      </c>
      <c r="D29">
        <v>0</v>
      </c>
      <c r="E29">
        <v>0</v>
      </c>
      <c r="F29">
        <v>0</v>
      </c>
    </row>
    <row r="30" spans="1:6" x14ac:dyDescent="0.3">
      <c r="A30">
        <v>161</v>
      </c>
      <c r="B30" t="s">
        <v>688</v>
      </c>
      <c r="C30" t="s">
        <v>579</v>
      </c>
      <c r="D30">
        <v>0</v>
      </c>
      <c r="E30">
        <v>0</v>
      </c>
      <c r="F30">
        <v>0</v>
      </c>
    </row>
    <row r="31" spans="1:6" x14ac:dyDescent="0.3">
      <c r="A31">
        <v>162</v>
      </c>
      <c r="B31" t="s">
        <v>688</v>
      </c>
      <c r="C31" t="s">
        <v>1275</v>
      </c>
      <c r="D31">
        <v>0</v>
      </c>
      <c r="E31">
        <v>0</v>
      </c>
      <c r="F31">
        <v>0</v>
      </c>
    </row>
    <row r="32" spans="1:6" x14ac:dyDescent="0.3">
      <c r="A32">
        <v>163</v>
      </c>
      <c r="B32" t="s">
        <v>688</v>
      </c>
      <c r="C32" t="s">
        <v>521</v>
      </c>
      <c r="D32">
        <v>0</v>
      </c>
      <c r="E32">
        <v>0</v>
      </c>
      <c r="F32">
        <v>0</v>
      </c>
    </row>
    <row r="33" spans="1:6" x14ac:dyDescent="0.3">
      <c r="A33">
        <v>171</v>
      </c>
      <c r="B33" t="s">
        <v>713</v>
      </c>
      <c r="C33" t="s">
        <v>633</v>
      </c>
      <c r="D33">
        <v>0</v>
      </c>
      <c r="E33">
        <v>0</v>
      </c>
      <c r="F33">
        <v>0</v>
      </c>
    </row>
    <row r="34" spans="1:6" x14ac:dyDescent="0.3">
      <c r="A34">
        <v>172</v>
      </c>
      <c r="B34" t="s">
        <v>713</v>
      </c>
      <c r="C34" t="s">
        <v>1303</v>
      </c>
      <c r="D34">
        <v>0</v>
      </c>
      <c r="E34">
        <v>0</v>
      </c>
      <c r="F34">
        <v>0</v>
      </c>
    </row>
    <row r="35" spans="1:6" x14ac:dyDescent="0.3">
      <c r="A35">
        <v>173</v>
      </c>
      <c r="B35" t="s">
        <v>713</v>
      </c>
      <c r="C35" t="s">
        <v>1242</v>
      </c>
      <c r="D35">
        <v>0</v>
      </c>
      <c r="E35">
        <v>0</v>
      </c>
      <c r="F35">
        <v>0</v>
      </c>
    </row>
    <row r="36" spans="1:6" x14ac:dyDescent="0.3">
      <c r="A36">
        <v>174</v>
      </c>
      <c r="B36" t="s">
        <v>713</v>
      </c>
      <c r="C36" t="s">
        <v>521</v>
      </c>
      <c r="D36">
        <v>0</v>
      </c>
      <c r="E36">
        <v>0</v>
      </c>
      <c r="F36">
        <v>0</v>
      </c>
    </row>
    <row r="37" spans="1:6" x14ac:dyDescent="0.3">
      <c r="A37">
        <v>181</v>
      </c>
      <c r="B37" t="s">
        <v>725</v>
      </c>
      <c r="C37" t="s">
        <v>1284</v>
      </c>
      <c r="D37">
        <v>326106</v>
      </c>
      <c r="E37">
        <v>1639110</v>
      </c>
      <c r="F37">
        <v>1568339</v>
      </c>
    </row>
    <row r="38" spans="1:6" x14ac:dyDescent="0.3">
      <c r="A38">
        <v>182</v>
      </c>
      <c r="B38" t="s">
        <v>725</v>
      </c>
      <c r="C38" t="s">
        <v>1320</v>
      </c>
      <c r="D38">
        <v>0</v>
      </c>
      <c r="E38">
        <v>0</v>
      </c>
      <c r="F38">
        <v>0</v>
      </c>
    </row>
    <row r="39" spans="1:6" x14ac:dyDescent="0.3">
      <c r="A39">
        <v>191</v>
      </c>
      <c r="B39" t="s">
        <v>132</v>
      </c>
      <c r="C39" t="s">
        <v>614</v>
      </c>
      <c r="D39">
        <v>876473</v>
      </c>
      <c r="E39">
        <v>94381</v>
      </c>
      <c r="F39">
        <v>894321</v>
      </c>
    </row>
    <row r="40" spans="1:6" x14ac:dyDescent="0.3">
      <c r="A40">
        <v>192</v>
      </c>
      <c r="B40" t="s">
        <v>132</v>
      </c>
      <c r="C40" t="s">
        <v>188</v>
      </c>
      <c r="D40">
        <v>0</v>
      </c>
      <c r="E40">
        <v>0</v>
      </c>
      <c r="F40">
        <v>0</v>
      </c>
    </row>
    <row r="41" spans="1:6" x14ac:dyDescent="0.3">
      <c r="A41">
        <v>202</v>
      </c>
      <c r="B41" t="s">
        <v>465</v>
      </c>
      <c r="C41" t="s">
        <v>144</v>
      </c>
      <c r="D41">
        <v>0</v>
      </c>
      <c r="E41">
        <v>0</v>
      </c>
      <c r="F41">
        <v>0</v>
      </c>
    </row>
    <row r="42" spans="1:6" x14ac:dyDescent="0.3">
      <c r="A42">
        <v>221</v>
      </c>
      <c r="B42" t="s">
        <v>442</v>
      </c>
      <c r="C42" t="s">
        <v>1149</v>
      </c>
      <c r="D42">
        <v>0</v>
      </c>
      <c r="E42">
        <v>0</v>
      </c>
      <c r="F42">
        <v>0</v>
      </c>
    </row>
    <row r="43" spans="1:6" x14ac:dyDescent="0.3">
      <c r="A43">
        <v>222</v>
      </c>
      <c r="B43" t="s">
        <v>442</v>
      </c>
      <c r="C43" t="s">
        <v>628</v>
      </c>
      <c r="D43">
        <v>0</v>
      </c>
      <c r="E43">
        <v>0</v>
      </c>
      <c r="F43">
        <v>0</v>
      </c>
    </row>
    <row r="44" spans="1:6" x14ac:dyDescent="0.3">
      <c r="A44">
        <v>231</v>
      </c>
      <c r="B44" t="s">
        <v>377</v>
      </c>
      <c r="C44" t="s">
        <v>967</v>
      </c>
      <c r="D44">
        <v>0</v>
      </c>
      <c r="E44">
        <v>0</v>
      </c>
      <c r="F44">
        <v>0</v>
      </c>
    </row>
    <row r="45" spans="1:6" x14ac:dyDescent="0.3">
      <c r="A45">
        <v>232</v>
      </c>
      <c r="B45" t="s">
        <v>377</v>
      </c>
      <c r="C45" t="s">
        <v>628</v>
      </c>
      <c r="D45">
        <v>0</v>
      </c>
      <c r="E45">
        <v>0</v>
      </c>
      <c r="F45">
        <v>0</v>
      </c>
    </row>
    <row r="46" spans="1:6" x14ac:dyDescent="0.3">
      <c r="A46">
        <v>241</v>
      </c>
      <c r="B46" t="s">
        <v>322</v>
      </c>
      <c r="C46" t="s">
        <v>453</v>
      </c>
      <c r="D46">
        <v>0</v>
      </c>
      <c r="E46">
        <v>0</v>
      </c>
      <c r="F46">
        <v>0</v>
      </c>
    </row>
    <row r="47" spans="1:6" x14ac:dyDescent="0.3">
      <c r="A47">
        <v>242</v>
      </c>
      <c r="B47" t="s">
        <v>322</v>
      </c>
      <c r="C47" t="s">
        <v>628</v>
      </c>
      <c r="D47">
        <v>0</v>
      </c>
      <c r="E47">
        <v>0</v>
      </c>
      <c r="F47">
        <v>0</v>
      </c>
    </row>
    <row r="48" spans="1:6" x14ac:dyDescent="0.3">
      <c r="A48">
        <v>251</v>
      </c>
      <c r="B48" t="s">
        <v>1018</v>
      </c>
      <c r="C48" t="s">
        <v>892</v>
      </c>
      <c r="D48">
        <v>0</v>
      </c>
      <c r="E48">
        <v>0</v>
      </c>
      <c r="F48">
        <v>0</v>
      </c>
    </row>
    <row r="49" spans="1:6" x14ac:dyDescent="0.3">
      <c r="A49">
        <v>252</v>
      </c>
      <c r="B49" t="s">
        <v>1018</v>
      </c>
      <c r="C49" t="s">
        <v>628</v>
      </c>
      <c r="D49">
        <v>0</v>
      </c>
      <c r="E49">
        <v>0</v>
      </c>
      <c r="F49">
        <v>0</v>
      </c>
    </row>
    <row r="50" spans="1:6" x14ac:dyDescent="0.3">
      <c r="A50">
        <v>261</v>
      </c>
      <c r="B50" t="s">
        <v>168</v>
      </c>
      <c r="C50" t="s">
        <v>892</v>
      </c>
      <c r="D50">
        <v>0</v>
      </c>
      <c r="E50">
        <v>0</v>
      </c>
      <c r="F50">
        <v>0</v>
      </c>
    </row>
    <row r="51" spans="1:6" x14ac:dyDescent="0.3">
      <c r="A51">
        <v>262</v>
      </c>
      <c r="B51" t="s">
        <v>168</v>
      </c>
      <c r="C51" t="s">
        <v>628</v>
      </c>
      <c r="D51">
        <v>0</v>
      </c>
      <c r="E51">
        <v>0</v>
      </c>
      <c r="F51">
        <v>0</v>
      </c>
    </row>
    <row r="52" spans="1:6" x14ac:dyDescent="0.3">
      <c r="A52">
        <v>271</v>
      </c>
      <c r="B52" t="s">
        <v>1096</v>
      </c>
      <c r="C52" t="s">
        <v>378</v>
      </c>
      <c r="D52">
        <v>0</v>
      </c>
      <c r="E52">
        <v>0</v>
      </c>
      <c r="F52">
        <v>0</v>
      </c>
    </row>
    <row r="53" spans="1:6" x14ac:dyDescent="0.3">
      <c r="A53">
        <v>272</v>
      </c>
      <c r="B53" t="s">
        <v>1096</v>
      </c>
      <c r="C53" t="s">
        <v>628</v>
      </c>
      <c r="D53">
        <v>0</v>
      </c>
      <c r="E53">
        <v>0</v>
      </c>
      <c r="F53">
        <v>0</v>
      </c>
    </row>
    <row r="54" spans="1:6" x14ac:dyDescent="0.3">
      <c r="A54">
        <v>281</v>
      </c>
      <c r="B54" t="s">
        <v>1049</v>
      </c>
      <c r="C54" t="s">
        <v>307</v>
      </c>
      <c r="D54">
        <v>0</v>
      </c>
      <c r="E54">
        <v>0</v>
      </c>
      <c r="F54">
        <v>0</v>
      </c>
    </row>
    <row r="55" spans="1:6" x14ac:dyDescent="0.3">
      <c r="A55">
        <v>282</v>
      </c>
      <c r="B55" t="s">
        <v>1049</v>
      </c>
      <c r="C55" t="s">
        <v>628</v>
      </c>
      <c r="D55">
        <v>0</v>
      </c>
      <c r="E55">
        <v>0</v>
      </c>
      <c r="F55">
        <v>0</v>
      </c>
    </row>
    <row r="56" spans="1:6" x14ac:dyDescent="0.3">
      <c r="A56">
        <v>291</v>
      </c>
      <c r="B56" t="s">
        <v>1062</v>
      </c>
      <c r="C56" t="s">
        <v>991</v>
      </c>
      <c r="D56">
        <v>0</v>
      </c>
      <c r="E56">
        <v>0</v>
      </c>
      <c r="F56">
        <v>0</v>
      </c>
    </row>
    <row r="57" spans="1:6" x14ac:dyDescent="0.3">
      <c r="A57">
        <v>292</v>
      </c>
      <c r="B57" t="s">
        <v>1062</v>
      </c>
      <c r="C57" t="s">
        <v>628</v>
      </c>
      <c r="D57">
        <v>0</v>
      </c>
      <c r="E57">
        <v>0</v>
      </c>
      <c r="F57">
        <v>0</v>
      </c>
    </row>
    <row r="58" spans="1:6" x14ac:dyDescent="0.3">
      <c r="A58">
        <v>311</v>
      </c>
      <c r="B58" t="s">
        <v>1195</v>
      </c>
      <c r="C58" t="s">
        <v>133</v>
      </c>
      <c r="D58">
        <v>0</v>
      </c>
      <c r="E58">
        <v>0</v>
      </c>
      <c r="F58">
        <v>0</v>
      </c>
    </row>
    <row r="59" spans="1:6" x14ac:dyDescent="0.3">
      <c r="A59">
        <v>312</v>
      </c>
      <c r="B59" t="s">
        <v>1195</v>
      </c>
      <c r="C59" t="s">
        <v>628</v>
      </c>
      <c r="D59">
        <v>0</v>
      </c>
      <c r="E59">
        <v>0</v>
      </c>
      <c r="F59">
        <v>0</v>
      </c>
    </row>
    <row r="60" spans="1:6" x14ac:dyDescent="0.3">
      <c r="A60">
        <v>321</v>
      </c>
      <c r="B60" t="s">
        <v>607</v>
      </c>
      <c r="C60" t="s">
        <v>810</v>
      </c>
      <c r="D60">
        <v>0</v>
      </c>
      <c r="E60">
        <v>0</v>
      </c>
      <c r="F60">
        <v>0</v>
      </c>
    </row>
    <row r="61" spans="1:6" x14ac:dyDescent="0.3">
      <c r="A61">
        <v>322</v>
      </c>
      <c r="B61" t="s">
        <v>607</v>
      </c>
      <c r="C61" t="s">
        <v>188</v>
      </c>
      <c r="D61">
        <v>0</v>
      </c>
      <c r="E61">
        <v>0</v>
      </c>
      <c r="F61">
        <v>0</v>
      </c>
    </row>
    <row r="62" spans="1:6" x14ac:dyDescent="0.3">
      <c r="A62">
        <v>351</v>
      </c>
      <c r="B62" t="s">
        <v>427</v>
      </c>
      <c r="C62" t="s">
        <v>1023</v>
      </c>
      <c r="D62">
        <v>2564962</v>
      </c>
      <c r="E62">
        <v>31452272</v>
      </c>
      <c r="F62">
        <v>29854615</v>
      </c>
    </row>
    <row r="63" spans="1:6" x14ac:dyDescent="0.3">
      <c r="A63">
        <v>352</v>
      </c>
      <c r="B63" t="s">
        <v>427</v>
      </c>
      <c r="C63" t="s">
        <v>1291</v>
      </c>
      <c r="D63">
        <v>0</v>
      </c>
      <c r="E63">
        <v>0</v>
      </c>
      <c r="F63">
        <v>10384</v>
      </c>
    </row>
    <row r="64" spans="1:6" x14ac:dyDescent="0.3">
      <c r="A64">
        <v>361</v>
      </c>
      <c r="B64" t="s">
        <v>1009</v>
      </c>
      <c r="C64" t="s">
        <v>277</v>
      </c>
      <c r="D64">
        <v>0</v>
      </c>
      <c r="E64">
        <v>2941287</v>
      </c>
      <c r="F64">
        <v>2871071</v>
      </c>
    </row>
    <row r="65" spans="1:6" x14ac:dyDescent="0.3">
      <c r="A65">
        <v>362</v>
      </c>
      <c r="B65" t="s">
        <v>1009</v>
      </c>
      <c r="C65" t="s">
        <v>1152</v>
      </c>
      <c r="D65">
        <v>0</v>
      </c>
      <c r="E65">
        <v>0</v>
      </c>
      <c r="F65">
        <v>0</v>
      </c>
    </row>
    <row r="66" spans="1:6" x14ac:dyDescent="0.3">
      <c r="A66">
        <v>371</v>
      </c>
      <c r="B66" t="s">
        <v>926</v>
      </c>
      <c r="C66" t="s">
        <v>546</v>
      </c>
      <c r="D66">
        <v>64979</v>
      </c>
      <c r="E66">
        <v>12214913</v>
      </c>
      <c r="F66">
        <v>11886019</v>
      </c>
    </row>
    <row r="67" spans="1:6" x14ac:dyDescent="0.3">
      <c r="A67">
        <v>372</v>
      </c>
      <c r="B67" t="s">
        <v>926</v>
      </c>
      <c r="C67" t="s">
        <v>4</v>
      </c>
      <c r="D67">
        <v>0</v>
      </c>
      <c r="E67">
        <v>0</v>
      </c>
      <c r="F67">
        <v>12208</v>
      </c>
    </row>
    <row r="68" spans="1:6" x14ac:dyDescent="0.3">
      <c r="A68">
        <v>381</v>
      </c>
      <c r="B68" t="s">
        <v>1287</v>
      </c>
      <c r="C68" t="s">
        <v>161</v>
      </c>
      <c r="D68">
        <v>0</v>
      </c>
      <c r="E68">
        <v>0</v>
      </c>
      <c r="F68">
        <v>0</v>
      </c>
    </row>
    <row r="69" spans="1:6" x14ac:dyDescent="0.3">
      <c r="A69">
        <v>382</v>
      </c>
      <c r="B69" t="s">
        <v>1287</v>
      </c>
      <c r="C69" t="s">
        <v>1210</v>
      </c>
      <c r="D69">
        <v>0</v>
      </c>
      <c r="E69">
        <v>0</v>
      </c>
      <c r="F69">
        <v>0</v>
      </c>
    </row>
    <row r="70" spans="1:6" x14ac:dyDescent="0.3">
      <c r="A70">
        <v>391</v>
      </c>
      <c r="B70" t="s">
        <v>450</v>
      </c>
      <c r="C70" t="s">
        <v>893</v>
      </c>
      <c r="D70">
        <v>0</v>
      </c>
      <c r="E70">
        <v>0</v>
      </c>
      <c r="F70">
        <v>0</v>
      </c>
    </row>
    <row r="71" spans="1:6" x14ac:dyDescent="0.3">
      <c r="A71">
        <v>392</v>
      </c>
      <c r="B71" t="s">
        <v>450</v>
      </c>
      <c r="C71" t="s">
        <v>100</v>
      </c>
      <c r="D71">
        <v>0</v>
      </c>
      <c r="E71">
        <v>1697738</v>
      </c>
      <c r="F71">
        <v>1697738</v>
      </c>
    </row>
    <row r="72" spans="1:6" x14ac:dyDescent="0.3">
      <c r="A72">
        <v>393</v>
      </c>
      <c r="B72" t="s">
        <v>450</v>
      </c>
      <c r="C72" t="s">
        <v>749</v>
      </c>
      <c r="D72">
        <v>0</v>
      </c>
      <c r="E72">
        <v>0</v>
      </c>
      <c r="F72">
        <v>0</v>
      </c>
    </row>
    <row r="73" spans="1:6" x14ac:dyDescent="0.3">
      <c r="A73">
        <v>521</v>
      </c>
      <c r="B73" t="s">
        <v>1230</v>
      </c>
      <c r="C73" t="s">
        <v>217</v>
      </c>
      <c r="D73">
        <v>0</v>
      </c>
      <c r="E73">
        <v>0</v>
      </c>
      <c r="F73">
        <v>0</v>
      </c>
    </row>
    <row r="74" spans="1:6" x14ac:dyDescent="0.3">
      <c r="A74">
        <v>571</v>
      </c>
      <c r="B74" t="s">
        <v>134</v>
      </c>
      <c r="C74" t="s">
        <v>1161</v>
      </c>
      <c r="D74">
        <v>758443</v>
      </c>
      <c r="E74">
        <v>16961382</v>
      </c>
      <c r="F74">
        <v>16397516</v>
      </c>
    </row>
    <row r="75" spans="1:6" x14ac:dyDescent="0.3">
      <c r="A75">
        <v>572</v>
      </c>
      <c r="B75" t="s">
        <v>134</v>
      </c>
      <c r="C75" t="s">
        <v>5</v>
      </c>
      <c r="D75">
        <v>0</v>
      </c>
      <c r="E75">
        <v>0</v>
      </c>
      <c r="F75">
        <v>2380</v>
      </c>
    </row>
    <row r="76" spans="1:6" x14ac:dyDescent="0.3">
      <c r="A76">
        <v>581</v>
      </c>
      <c r="B76" t="s">
        <v>491</v>
      </c>
      <c r="C76" t="s">
        <v>865</v>
      </c>
      <c r="D76">
        <v>0</v>
      </c>
      <c r="E76">
        <v>0</v>
      </c>
      <c r="F76">
        <v>0</v>
      </c>
    </row>
    <row r="77" spans="1:6" x14ac:dyDescent="0.3">
      <c r="A77">
        <v>601</v>
      </c>
      <c r="B77" t="s">
        <v>79</v>
      </c>
      <c r="C77" t="s">
        <v>89</v>
      </c>
      <c r="D77">
        <v>0</v>
      </c>
      <c r="E77">
        <v>1000000</v>
      </c>
      <c r="F77">
        <v>1000000</v>
      </c>
    </row>
    <row r="78" spans="1:6" x14ac:dyDescent="0.3">
      <c r="A78">
        <v>611</v>
      </c>
      <c r="B78" t="s">
        <v>192</v>
      </c>
      <c r="C78" t="s">
        <v>669</v>
      </c>
      <c r="D78">
        <v>1425</v>
      </c>
      <c r="E78">
        <v>1900</v>
      </c>
      <c r="F78">
        <v>3325</v>
      </c>
    </row>
    <row r="79" spans="1:6" x14ac:dyDescent="0.3">
      <c r="A79">
        <v>612</v>
      </c>
      <c r="B79" t="s">
        <v>192</v>
      </c>
      <c r="C79" t="s">
        <v>714</v>
      </c>
      <c r="D79">
        <v>0</v>
      </c>
      <c r="E79">
        <v>0</v>
      </c>
      <c r="F79">
        <v>0</v>
      </c>
    </row>
    <row r="80" spans="1:6" x14ac:dyDescent="0.3">
      <c r="A80">
        <v>621</v>
      </c>
      <c r="B80" t="s">
        <v>1237</v>
      </c>
      <c r="C80" t="s">
        <v>1224</v>
      </c>
      <c r="D80">
        <v>-34779</v>
      </c>
      <c r="E80">
        <v>660628</v>
      </c>
      <c r="F80">
        <v>678948</v>
      </c>
    </row>
    <row r="81" spans="1:6" x14ac:dyDescent="0.3">
      <c r="A81">
        <v>631</v>
      </c>
      <c r="B81" t="s">
        <v>1061</v>
      </c>
      <c r="C81" t="s">
        <v>721</v>
      </c>
      <c r="D81">
        <v>-11637</v>
      </c>
      <c r="E81">
        <v>10685477</v>
      </c>
      <c r="F81">
        <v>10832618</v>
      </c>
    </row>
    <row r="82" spans="1:6" x14ac:dyDescent="0.3">
      <c r="A82">
        <v>641</v>
      </c>
      <c r="B82" t="s">
        <v>790</v>
      </c>
      <c r="C82" t="s">
        <v>1151</v>
      </c>
      <c r="D82">
        <v>0</v>
      </c>
      <c r="E82">
        <v>0</v>
      </c>
      <c r="F82">
        <v>0</v>
      </c>
    </row>
    <row r="83" spans="1:6" x14ac:dyDescent="0.3">
      <c r="A83">
        <v>651</v>
      </c>
      <c r="B83" t="s">
        <v>1269</v>
      </c>
      <c r="C83" t="s">
        <v>781</v>
      </c>
      <c r="D83">
        <v>1063</v>
      </c>
      <c r="E83">
        <v>88128</v>
      </c>
      <c r="F83">
        <v>84100</v>
      </c>
    </row>
    <row r="84" spans="1:6" x14ac:dyDescent="0.3">
      <c r="A84">
        <v>652</v>
      </c>
      <c r="B84" t="s">
        <v>1269</v>
      </c>
      <c r="C84" t="s">
        <v>490</v>
      </c>
      <c r="D84">
        <v>0</v>
      </c>
      <c r="E84">
        <v>0</v>
      </c>
      <c r="F84">
        <v>0</v>
      </c>
    </row>
    <row r="85" spans="1:6" x14ac:dyDescent="0.3">
      <c r="A85">
        <v>671</v>
      </c>
      <c r="B85" t="s">
        <v>983</v>
      </c>
      <c r="C85" t="s">
        <v>728</v>
      </c>
      <c r="D85">
        <v>0</v>
      </c>
      <c r="E85">
        <v>0</v>
      </c>
      <c r="F85">
        <v>0</v>
      </c>
    </row>
    <row r="86" spans="1:6" x14ac:dyDescent="0.3">
      <c r="A86">
        <v>691</v>
      </c>
      <c r="B86" t="s">
        <v>532</v>
      </c>
      <c r="C86" t="s">
        <v>734</v>
      </c>
      <c r="D86">
        <v>0</v>
      </c>
      <c r="E86">
        <v>0</v>
      </c>
      <c r="F86">
        <v>0</v>
      </c>
    </row>
    <row r="87" spans="1:6" x14ac:dyDescent="0.3">
      <c r="A87">
        <v>701</v>
      </c>
      <c r="B87" t="s">
        <v>569</v>
      </c>
      <c r="C87" t="s">
        <v>780</v>
      </c>
      <c r="D87">
        <v>0</v>
      </c>
      <c r="E87">
        <v>0</v>
      </c>
      <c r="F87">
        <v>0</v>
      </c>
    </row>
    <row r="88" spans="1:6" x14ac:dyDescent="0.3">
      <c r="A88">
        <v>721</v>
      </c>
      <c r="B88" t="s">
        <v>879</v>
      </c>
      <c r="C88" t="s">
        <v>894</v>
      </c>
      <c r="D88">
        <v>180</v>
      </c>
      <c r="E88">
        <v>146614</v>
      </c>
      <c r="F88">
        <v>146464</v>
      </c>
    </row>
    <row r="89" spans="1:6" x14ac:dyDescent="0.3">
      <c r="A89">
        <v>731</v>
      </c>
      <c r="B89" t="s">
        <v>432</v>
      </c>
      <c r="C89" t="s">
        <v>1183</v>
      </c>
      <c r="D89">
        <v>576700</v>
      </c>
      <c r="E89">
        <v>20492938</v>
      </c>
      <c r="F89">
        <v>20228883</v>
      </c>
    </row>
    <row r="90" spans="1:6" x14ac:dyDescent="0.3">
      <c r="A90">
        <v>732</v>
      </c>
      <c r="B90" t="s">
        <v>432</v>
      </c>
      <c r="C90" t="s">
        <v>282</v>
      </c>
      <c r="D90">
        <v>-192</v>
      </c>
      <c r="E90">
        <v>59253</v>
      </c>
      <c r="F90">
        <v>59061</v>
      </c>
    </row>
    <row r="91" spans="1:6" x14ac:dyDescent="0.3">
      <c r="A91">
        <v>751</v>
      </c>
      <c r="B91" t="s">
        <v>857</v>
      </c>
      <c r="C91" t="s">
        <v>371</v>
      </c>
      <c r="D91">
        <v>17487</v>
      </c>
      <c r="E91">
        <v>3363</v>
      </c>
      <c r="F91">
        <v>17487</v>
      </c>
    </row>
    <row r="92" spans="1:6" x14ac:dyDescent="0.3">
      <c r="A92">
        <v>771</v>
      </c>
      <c r="B92" t="s">
        <v>1052</v>
      </c>
      <c r="C92" t="s">
        <v>797</v>
      </c>
      <c r="D92">
        <v>100</v>
      </c>
      <c r="E92">
        <v>122013</v>
      </c>
      <c r="F92">
        <v>100</v>
      </c>
    </row>
    <row r="93" spans="1:6" x14ac:dyDescent="0.3">
      <c r="A93">
        <v>821</v>
      </c>
      <c r="B93" t="s">
        <v>1092</v>
      </c>
      <c r="C93" t="s">
        <v>699</v>
      </c>
      <c r="D93">
        <v>2300000</v>
      </c>
      <c r="E93">
        <v>0</v>
      </c>
      <c r="F93">
        <v>1500000</v>
      </c>
    </row>
    <row r="94" spans="1:6" x14ac:dyDescent="0.3">
      <c r="A94">
        <v>831</v>
      </c>
      <c r="B94" t="s">
        <v>34</v>
      </c>
      <c r="C94" t="s">
        <v>154</v>
      </c>
      <c r="D94">
        <v>0</v>
      </c>
      <c r="E94">
        <v>1500000</v>
      </c>
      <c r="F94">
        <v>1500000</v>
      </c>
    </row>
    <row r="95" spans="1:6" x14ac:dyDescent="0.3">
      <c r="A95">
        <v>841</v>
      </c>
      <c r="B95" t="s">
        <v>706</v>
      </c>
      <c r="C95" t="s">
        <v>836</v>
      </c>
      <c r="D95">
        <v>0</v>
      </c>
      <c r="E95">
        <v>0</v>
      </c>
      <c r="F95">
        <v>0</v>
      </c>
    </row>
    <row r="96" spans="1:6" x14ac:dyDescent="0.3">
      <c r="A96">
        <v>851</v>
      </c>
      <c r="B96" t="s">
        <v>1069</v>
      </c>
      <c r="C96" t="s">
        <v>101</v>
      </c>
      <c r="D96">
        <v>0</v>
      </c>
      <c r="E96">
        <v>0</v>
      </c>
      <c r="F96">
        <v>0</v>
      </c>
    </row>
    <row r="97" spans="1:6" x14ac:dyDescent="0.3">
      <c r="A97">
        <v>861</v>
      </c>
      <c r="B97" t="s">
        <v>678</v>
      </c>
      <c r="C97" t="s">
        <v>1292</v>
      </c>
      <c r="D97">
        <v>0</v>
      </c>
      <c r="E97">
        <v>0</v>
      </c>
      <c r="F97">
        <v>1000000</v>
      </c>
    </row>
    <row r="98" spans="1:6" x14ac:dyDescent="0.3">
      <c r="A98">
        <v>881</v>
      </c>
      <c r="B98" t="s">
        <v>519</v>
      </c>
      <c r="C98" t="s">
        <v>1163</v>
      </c>
      <c r="D98">
        <v>0</v>
      </c>
      <c r="E98">
        <v>0</v>
      </c>
      <c r="F98">
        <v>0</v>
      </c>
    </row>
    <row r="99" spans="1:6" x14ac:dyDescent="0.3">
      <c r="A99">
        <v>882</v>
      </c>
      <c r="B99" t="s">
        <v>519</v>
      </c>
      <c r="C99" t="s">
        <v>996</v>
      </c>
      <c r="D99">
        <v>0</v>
      </c>
      <c r="E99">
        <v>0</v>
      </c>
      <c r="F99">
        <v>0</v>
      </c>
    </row>
    <row r="100" spans="1:6" x14ac:dyDescent="0.3">
      <c r="A100">
        <v>911</v>
      </c>
      <c r="B100" t="s">
        <v>94</v>
      </c>
      <c r="C100" t="s">
        <v>293</v>
      </c>
      <c r="D100">
        <v>0</v>
      </c>
      <c r="E100">
        <v>0</v>
      </c>
      <c r="F100">
        <v>0</v>
      </c>
    </row>
    <row r="101" spans="1:6" x14ac:dyDescent="0.3">
      <c r="A101">
        <v>921</v>
      </c>
      <c r="B101" t="s">
        <v>163</v>
      </c>
      <c r="C101" t="s">
        <v>194</v>
      </c>
      <c r="D101">
        <v>0</v>
      </c>
      <c r="E101">
        <v>0</v>
      </c>
      <c r="F101">
        <v>0</v>
      </c>
    </row>
    <row r="102" spans="1:6" x14ac:dyDescent="0.3">
      <c r="A102">
        <v>941</v>
      </c>
      <c r="B102" t="s">
        <v>765</v>
      </c>
      <c r="C102" t="s">
        <v>751</v>
      </c>
      <c r="D102">
        <v>0</v>
      </c>
      <c r="E102">
        <v>0</v>
      </c>
      <c r="F102">
        <v>0</v>
      </c>
    </row>
    <row r="103" spans="1:6" x14ac:dyDescent="0.3">
      <c r="A103">
        <v>951</v>
      </c>
      <c r="B103" t="s">
        <v>808</v>
      </c>
      <c r="C103" t="s">
        <v>594</v>
      </c>
      <c r="D103">
        <v>0</v>
      </c>
      <c r="E103">
        <v>0</v>
      </c>
      <c r="F103">
        <v>0</v>
      </c>
    </row>
    <row r="104" spans="1:6" x14ac:dyDescent="0.3">
      <c r="A104">
        <v>961</v>
      </c>
      <c r="B104" t="s">
        <v>40</v>
      </c>
      <c r="C104" t="s">
        <v>6</v>
      </c>
      <c r="D104">
        <v>0</v>
      </c>
      <c r="E104">
        <v>0</v>
      </c>
      <c r="F104">
        <v>0</v>
      </c>
    </row>
    <row r="105" spans="1:6" x14ac:dyDescent="0.3">
      <c r="A105">
        <v>981</v>
      </c>
      <c r="B105" t="s">
        <v>372</v>
      </c>
      <c r="C105" t="s">
        <v>328</v>
      </c>
      <c r="D105">
        <v>0</v>
      </c>
      <c r="E105">
        <v>0</v>
      </c>
      <c r="F105">
        <v>0</v>
      </c>
    </row>
    <row r="106" spans="1:6" x14ac:dyDescent="0.3">
      <c r="A106">
        <v>982</v>
      </c>
      <c r="B106" t="s">
        <v>372</v>
      </c>
      <c r="C106" t="s">
        <v>319</v>
      </c>
      <c r="D106">
        <v>-1118403</v>
      </c>
      <c r="E106">
        <v>0</v>
      </c>
      <c r="F106">
        <v>1118403</v>
      </c>
    </row>
    <row r="107" spans="1:6" x14ac:dyDescent="0.3">
      <c r="A107">
        <v>991</v>
      </c>
      <c r="B107" t="s">
        <v>508</v>
      </c>
      <c r="C107" t="s">
        <v>1176</v>
      </c>
      <c r="D107">
        <v>-1039215</v>
      </c>
      <c r="E107">
        <v>1118403</v>
      </c>
      <c r="F107">
        <v>0</v>
      </c>
    </row>
    <row r="108" spans="1:6" x14ac:dyDescent="0.3">
      <c r="A108">
        <v>992</v>
      </c>
      <c r="B108" t="s">
        <v>508</v>
      </c>
      <c r="C108" t="s">
        <v>319</v>
      </c>
      <c r="D108">
        <v>-1118403</v>
      </c>
      <c r="E108">
        <v>0</v>
      </c>
      <c r="F108">
        <v>1118403</v>
      </c>
    </row>
    <row r="109" spans="1:6" x14ac:dyDescent="0.3">
      <c r="A109">
        <v>1111</v>
      </c>
      <c r="B109" t="s">
        <v>421</v>
      </c>
      <c r="C109" t="s">
        <v>1217</v>
      </c>
      <c r="D109">
        <v>0</v>
      </c>
      <c r="E109">
        <v>0</v>
      </c>
      <c r="F109">
        <v>0</v>
      </c>
    </row>
    <row r="110" spans="1:6" x14ac:dyDescent="0.3">
      <c r="A110">
        <v>1121</v>
      </c>
      <c r="B110" t="s">
        <v>198</v>
      </c>
      <c r="C110" t="s">
        <v>643</v>
      </c>
      <c r="D110">
        <v>0</v>
      </c>
      <c r="E110">
        <v>0</v>
      </c>
      <c r="F110">
        <v>0</v>
      </c>
    </row>
    <row r="111" spans="1:6" x14ac:dyDescent="0.3">
      <c r="A111">
        <v>1131</v>
      </c>
      <c r="B111" t="s">
        <v>574</v>
      </c>
      <c r="C111" t="s">
        <v>1310</v>
      </c>
      <c r="D111">
        <v>0</v>
      </c>
      <c r="E111">
        <v>0</v>
      </c>
      <c r="F111">
        <v>0</v>
      </c>
    </row>
    <row r="112" spans="1:6" x14ac:dyDescent="0.3">
      <c r="A112">
        <v>1132</v>
      </c>
      <c r="B112" t="s">
        <v>574</v>
      </c>
      <c r="C112" t="s">
        <v>693</v>
      </c>
      <c r="D112">
        <v>0</v>
      </c>
      <c r="E112">
        <v>0</v>
      </c>
      <c r="F112">
        <v>0</v>
      </c>
    </row>
    <row r="113" spans="1:6" x14ac:dyDescent="0.3">
      <c r="A113">
        <v>1141</v>
      </c>
      <c r="B113" t="s">
        <v>9</v>
      </c>
      <c r="C113" t="s">
        <v>841</v>
      </c>
      <c r="D113">
        <v>0</v>
      </c>
      <c r="E113">
        <v>8811</v>
      </c>
      <c r="F113">
        <v>8811</v>
      </c>
    </row>
    <row r="114" spans="1:6" x14ac:dyDescent="0.3">
      <c r="A114">
        <v>1171</v>
      </c>
      <c r="B114" t="s">
        <v>1182</v>
      </c>
      <c r="C114" t="s">
        <v>217</v>
      </c>
      <c r="D114">
        <v>0</v>
      </c>
      <c r="E114">
        <v>0</v>
      </c>
      <c r="F114">
        <v>0</v>
      </c>
    </row>
    <row r="115" spans="1:6" x14ac:dyDescent="0.3">
      <c r="A115">
        <v>1191</v>
      </c>
      <c r="B115" t="s">
        <v>695</v>
      </c>
      <c r="C115" t="s">
        <v>946</v>
      </c>
      <c r="D115">
        <v>0</v>
      </c>
      <c r="E115">
        <v>0</v>
      </c>
      <c r="F115">
        <v>0</v>
      </c>
    </row>
    <row r="116" spans="1:6" x14ac:dyDescent="0.3">
      <c r="A116">
        <v>1211</v>
      </c>
      <c r="B116" t="s">
        <v>1258</v>
      </c>
      <c r="C116" t="s">
        <v>638</v>
      </c>
      <c r="D116">
        <v>4375556</v>
      </c>
      <c r="E116">
        <v>1446241</v>
      </c>
      <c r="F116">
        <v>1420685</v>
      </c>
    </row>
    <row r="117" spans="1:6" x14ac:dyDescent="0.3">
      <c r="A117">
        <v>1261</v>
      </c>
      <c r="B117" t="s">
        <v>189</v>
      </c>
      <c r="C117" t="s">
        <v>107</v>
      </c>
      <c r="D117">
        <v>3717730</v>
      </c>
      <c r="E117">
        <v>16702655</v>
      </c>
      <c r="F117">
        <v>18819311</v>
      </c>
    </row>
    <row r="118" spans="1:6" x14ac:dyDescent="0.3">
      <c r="A118">
        <v>1262</v>
      </c>
      <c r="B118" t="s">
        <v>189</v>
      </c>
      <c r="C118" t="s">
        <v>643</v>
      </c>
      <c r="D118">
        <v>0</v>
      </c>
      <c r="E118">
        <v>0</v>
      </c>
      <c r="F118">
        <v>0</v>
      </c>
    </row>
    <row r="119" spans="1:6" x14ac:dyDescent="0.3">
      <c r="A119">
        <v>1271</v>
      </c>
      <c r="B119" t="s">
        <v>1079</v>
      </c>
      <c r="C119" t="s">
        <v>865</v>
      </c>
      <c r="D119">
        <v>0</v>
      </c>
      <c r="E119">
        <v>0</v>
      </c>
      <c r="F119">
        <v>0</v>
      </c>
    </row>
    <row r="120" spans="1:6" x14ac:dyDescent="0.3">
      <c r="A120">
        <v>1281</v>
      </c>
      <c r="B120" t="s">
        <v>766</v>
      </c>
      <c r="C120" t="s">
        <v>1122</v>
      </c>
      <c r="D120">
        <v>0</v>
      </c>
      <c r="E120">
        <v>0</v>
      </c>
      <c r="F120">
        <v>1009731</v>
      </c>
    </row>
    <row r="121" spans="1:6" x14ac:dyDescent="0.3">
      <c r="A121">
        <v>1282</v>
      </c>
      <c r="B121" t="s">
        <v>766</v>
      </c>
      <c r="C121" t="s">
        <v>1299</v>
      </c>
      <c r="D121">
        <v>0</v>
      </c>
      <c r="E121">
        <v>1022098</v>
      </c>
      <c r="F121">
        <v>1022098</v>
      </c>
    </row>
    <row r="122" spans="1:6" x14ac:dyDescent="0.3">
      <c r="A122">
        <v>1301</v>
      </c>
      <c r="B122" t="s">
        <v>41</v>
      </c>
      <c r="C122" t="s">
        <v>276</v>
      </c>
      <c r="D122">
        <v>0</v>
      </c>
      <c r="E122">
        <v>0</v>
      </c>
      <c r="F122">
        <v>0</v>
      </c>
    </row>
    <row r="123" spans="1:6" x14ac:dyDescent="0.3">
      <c r="A123">
        <v>1302</v>
      </c>
      <c r="B123" t="s">
        <v>41</v>
      </c>
      <c r="C123" t="s">
        <v>714</v>
      </c>
      <c r="D123">
        <v>0</v>
      </c>
      <c r="E123">
        <v>0</v>
      </c>
      <c r="F123">
        <v>0</v>
      </c>
    </row>
    <row r="124" spans="1:6" x14ac:dyDescent="0.3">
      <c r="A124">
        <v>1311</v>
      </c>
      <c r="B124" t="s">
        <v>1073</v>
      </c>
      <c r="C124" t="s">
        <v>396</v>
      </c>
      <c r="D124">
        <v>61452</v>
      </c>
      <c r="E124">
        <v>1546280</v>
      </c>
      <c r="F124">
        <v>1578933</v>
      </c>
    </row>
    <row r="125" spans="1:6" x14ac:dyDescent="0.3">
      <c r="A125">
        <v>1321</v>
      </c>
      <c r="B125" t="s">
        <v>346</v>
      </c>
      <c r="C125" t="s">
        <v>1224</v>
      </c>
      <c r="D125">
        <v>34779</v>
      </c>
      <c r="E125">
        <v>660628</v>
      </c>
      <c r="F125">
        <v>678948</v>
      </c>
    </row>
    <row r="126" spans="1:6" x14ac:dyDescent="0.3">
      <c r="A126">
        <v>1331</v>
      </c>
      <c r="B126" t="s">
        <v>694</v>
      </c>
      <c r="C126" t="s">
        <v>721</v>
      </c>
      <c r="D126">
        <v>11637</v>
      </c>
      <c r="E126">
        <v>10685477</v>
      </c>
      <c r="F126">
        <v>10832618</v>
      </c>
    </row>
    <row r="127" spans="1:6" x14ac:dyDescent="0.3">
      <c r="A127">
        <v>1341</v>
      </c>
      <c r="B127" t="s">
        <v>1189</v>
      </c>
      <c r="C127" t="s">
        <v>350</v>
      </c>
      <c r="D127">
        <v>0</v>
      </c>
      <c r="E127">
        <v>0</v>
      </c>
      <c r="F127">
        <v>0</v>
      </c>
    </row>
    <row r="128" spans="1:6" x14ac:dyDescent="0.3">
      <c r="A128">
        <v>1351</v>
      </c>
      <c r="B128" t="s">
        <v>20</v>
      </c>
      <c r="C128" t="s">
        <v>176</v>
      </c>
      <c r="D128">
        <v>4214</v>
      </c>
      <c r="E128">
        <v>70574</v>
      </c>
      <c r="F128">
        <v>71510</v>
      </c>
    </row>
    <row r="129" spans="1:6" x14ac:dyDescent="0.3">
      <c r="A129">
        <v>1352</v>
      </c>
      <c r="B129" t="s">
        <v>20</v>
      </c>
      <c r="C129" t="s">
        <v>10</v>
      </c>
      <c r="D129">
        <v>5125</v>
      </c>
      <c r="E129">
        <v>12021</v>
      </c>
      <c r="F129">
        <v>9203</v>
      </c>
    </row>
    <row r="130" spans="1:6" x14ac:dyDescent="0.3">
      <c r="A130">
        <v>1371</v>
      </c>
      <c r="B130" t="s">
        <v>644</v>
      </c>
      <c r="C130" t="s">
        <v>798</v>
      </c>
      <c r="D130">
        <v>26074</v>
      </c>
      <c r="E130">
        <v>26074</v>
      </c>
      <c r="F130">
        <v>38497</v>
      </c>
    </row>
    <row r="131" spans="1:6" x14ac:dyDescent="0.3">
      <c r="A131">
        <v>1372</v>
      </c>
      <c r="B131" t="s">
        <v>644</v>
      </c>
      <c r="C131" t="s">
        <v>946</v>
      </c>
      <c r="D131">
        <v>0</v>
      </c>
      <c r="E131">
        <v>0</v>
      </c>
      <c r="F131">
        <v>0</v>
      </c>
    </row>
    <row r="132" spans="1:6" x14ac:dyDescent="0.3">
      <c r="A132">
        <v>1381</v>
      </c>
      <c r="B132" t="s">
        <v>70</v>
      </c>
      <c r="C132" t="s">
        <v>1129</v>
      </c>
      <c r="D132">
        <v>0</v>
      </c>
      <c r="E132">
        <v>0</v>
      </c>
      <c r="F132">
        <v>0</v>
      </c>
    </row>
    <row r="133" spans="1:6" x14ac:dyDescent="0.3">
      <c r="A133">
        <v>1391</v>
      </c>
      <c r="B133" t="s">
        <v>1226</v>
      </c>
      <c r="C133" t="s">
        <v>1183</v>
      </c>
      <c r="D133">
        <v>-576700</v>
      </c>
      <c r="E133">
        <v>20492938</v>
      </c>
      <c r="F133">
        <v>20228883</v>
      </c>
    </row>
    <row r="134" spans="1:6" x14ac:dyDescent="0.3">
      <c r="A134">
        <v>1392</v>
      </c>
      <c r="B134" t="s">
        <v>1226</v>
      </c>
      <c r="C134" t="s">
        <v>866</v>
      </c>
      <c r="D134">
        <v>0</v>
      </c>
      <c r="E134">
        <v>0</v>
      </c>
      <c r="F134">
        <v>2179</v>
      </c>
    </row>
    <row r="135" spans="1:6" x14ac:dyDescent="0.3">
      <c r="A135">
        <v>1401</v>
      </c>
      <c r="B135" t="s">
        <v>183</v>
      </c>
      <c r="C135" t="s">
        <v>1177</v>
      </c>
      <c r="D135">
        <v>0</v>
      </c>
      <c r="E135">
        <v>0</v>
      </c>
      <c r="F135">
        <v>0</v>
      </c>
    </row>
    <row r="136" spans="1:6" x14ac:dyDescent="0.3">
      <c r="A136">
        <v>1421</v>
      </c>
      <c r="B136" t="s">
        <v>600</v>
      </c>
      <c r="C136" t="s">
        <v>59</v>
      </c>
      <c r="D136">
        <v>1092</v>
      </c>
      <c r="E136">
        <v>1092</v>
      </c>
      <c r="F136">
        <v>14716</v>
      </c>
    </row>
    <row r="137" spans="1:6" x14ac:dyDescent="0.3">
      <c r="A137">
        <v>1441</v>
      </c>
      <c r="B137" t="s">
        <v>531</v>
      </c>
      <c r="C137" t="s">
        <v>641</v>
      </c>
      <c r="D137">
        <v>0</v>
      </c>
      <c r="E137">
        <v>248874</v>
      </c>
      <c r="F137">
        <v>248874</v>
      </c>
    </row>
    <row r="138" spans="1:6" x14ac:dyDescent="0.3">
      <c r="A138">
        <v>1441</v>
      </c>
      <c r="B138" t="s">
        <v>531</v>
      </c>
      <c r="C138" t="s">
        <v>641</v>
      </c>
      <c r="D138">
        <v>0</v>
      </c>
      <c r="E138">
        <v>24968</v>
      </c>
      <c r="F138">
        <v>24968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48"/>
  <sheetViews>
    <sheetView workbookViewId="0"/>
  </sheetViews>
  <sheetFormatPr defaultColWidth="9.109375" defaultRowHeight="14.4" x14ac:dyDescent="0.3"/>
  <cols>
    <col min="1" max="14" width="6" style="67" customWidth="1"/>
    <col min="15" max="16384" width="9.109375" style="67"/>
  </cols>
  <sheetData>
    <row r="1" spans="1:14" x14ac:dyDescent="0.3">
      <c r="A1" s="74"/>
      <c r="B1" s="74"/>
      <c r="C1" s="74"/>
      <c r="D1" s="74"/>
      <c r="E1" s="74"/>
      <c r="F1" s="74"/>
      <c r="G1" s="75"/>
      <c r="H1" s="75"/>
      <c r="I1" s="75"/>
      <c r="J1" s="75"/>
      <c r="K1" s="75"/>
      <c r="L1" s="75"/>
      <c r="M1" s="75"/>
      <c r="N1" s="75"/>
    </row>
    <row r="2" spans="1:14" ht="18" x14ac:dyDescent="0.35">
      <c r="A2" s="400" t="s">
        <v>1111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</row>
    <row r="4" spans="1:14" ht="15.75" customHeight="1" x14ac:dyDescent="0.3">
      <c r="A4" s="167" t="s">
        <v>1072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6" spans="1:14" ht="15" customHeight="1" x14ac:dyDescent="0.3">
      <c r="A6" s="255" t="s">
        <v>266</v>
      </c>
      <c r="B6" s="255"/>
      <c r="C6" s="255"/>
      <c r="D6" s="255"/>
      <c r="E6" s="255"/>
      <c r="F6" s="255"/>
      <c r="G6" s="230" t="s">
        <v>405</v>
      </c>
      <c r="H6" s="230"/>
      <c r="I6" s="230"/>
      <c r="J6" s="230"/>
      <c r="K6" s="230"/>
      <c r="L6" s="230"/>
      <c r="M6" s="230"/>
      <c r="N6" s="230"/>
    </row>
    <row r="7" spans="1:14" ht="24.9" customHeight="1" x14ac:dyDescent="0.3">
      <c r="A7" s="254"/>
      <c r="B7" s="254"/>
      <c r="C7" s="254"/>
      <c r="D7" s="254"/>
      <c r="E7" s="254"/>
      <c r="F7" s="254"/>
      <c r="G7" s="247" t="s">
        <v>690</v>
      </c>
      <c r="H7" s="247"/>
      <c r="I7" s="247"/>
      <c r="J7" s="247"/>
      <c r="K7" s="247" t="s">
        <v>1316</v>
      </c>
      <c r="L7" s="247"/>
      <c r="M7" s="247"/>
      <c r="N7" s="247"/>
    </row>
    <row r="8" spans="1:14" ht="15" customHeight="1" x14ac:dyDescent="0.3">
      <c r="A8" s="403" t="s">
        <v>301</v>
      </c>
      <c r="B8" s="403"/>
      <c r="C8" s="403"/>
      <c r="D8" s="403"/>
      <c r="E8" s="403"/>
      <c r="F8" s="403"/>
      <c r="G8" s="407"/>
      <c r="H8" s="407"/>
      <c r="I8" s="407"/>
      <c r="J8" s="407"/>
      <c r="K8" s="234"/>
      <c r="L8" s="234"/>
      <c r="M8" s="234"/>
      <c r="N8" s="234"/>
    </row>
    <row r="9" spans="1:14" ht="15" customHeight="1" x14ac:dyDescent="0.3">
      <c r="A9" s="404" t="s">
        <v>105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</row>
    <row r="10" spans="1:14" ht="15" customHeight="1" x14ac:dyDescent="0.3">
      <c r="A10" s="404" t="s">
        <v>1216</v>
      </c>
      <c r="B10" s="404"/>
      <c r="C10" s="404"/>
      <c r="D10" s="404"/>
      <c r="E10" s="404"/>
      <c r="F10" s="404"/>
      <c r="G10" s="405"/>
      <c r="H10" s="405"/>
      <c r="I10" s="405"/>
      <c r="J10" s="405"/>
      <c r="K10" s="405"/>
      <c r="L10" s="405"/>
      <c r="M10" s="405"/>
      <c r="N10" s="405"/>
    </row>
    <row r="11" spans="1:14" ht="15" customHeight="1" x14ac:dyDescent="0.3">
      <c r="A11" s="404" t="s">
        <v>888</v>
      </c>
      <c r="B11" s="404"/>
      <c r="C11" s="404"/>
      <c r="D11" s="404"/>
      <c r="E11" s="404"/>
      <c r="F11" s="404"/>
      <c r="G11" s="404"/>
      <c r="H11" s="404"/>
      <c r="I11" s="404"/>
      <c r="J11" s="404"/>
      <c r="K11" s="231"/>
      <c r="L11" s="231"/>
      <c r="M11" s="231"/>
      <c r="N11" s="231"/>
    </row>
    <row r="12" spans="1:14" ht="15" customHeight="1" x14ac:dyDescent="0.3">
      <c r="A12" s="404" t="s">
        <v>510</v>
      </c>
      <c r="B12" s="404"/>
      <c r="C12" s="404"/>
      <c r="D12" s="404"/>
      <c r="E12" s="404"/>
      <c r="F12" s="404"/>
      <c r="G12" s="405"/>
      <c r="H12" s="405"/>
      <c r="I12" s="405"/>
      <c r="J12" s="405"/>
      <c r="K12" s="405"/>
      <c r="L12" s="405"/>
      <c r="M12" s="405"/>
      <c r="N12" s="405"/>
    </row>
    <row r="13" spans="1:14" ht="15" customHeight="1" x14ac:dyDescent="0.3">
      <c r="A13" s="404" t="s">
        <v>616</v>
      </c>
      <c r="B13" s="404"/>
      <c r="C13" s="404"/>
      <c r="D13" s="404"/>
      <c r="E13" s="404"/>
      <c r="F13" s="404"/>
      <c r="G13" s="405"/>
      <c r="H13" s="405"/>
      <c r="I13" s="405"/>
      <c r="J13" s="405"/>
      <c r="K13" s="405"/>
      <c r="L13" s="405"/>
      <c r="M13" s="405"/>
      <c r="N13" s="405"/>
    </row>
    <row r="14" spans="1:14" ht="15" customHeight="1" x14ac:dyDescent="0.3"/>
    <row r="15" spans="1:14" ht="15" customHeight="1" x14ac:dyDescent="0.3">
      <c r="A15" s="167" t="s">
        <v>1200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  <row r="17" spans="1:14" x14ac:dyDescent="0.3">
      <c r="A17" s="255" t="s">
        <v>266</v>
      </c>
      <c r="B17" s="255"/>
      <c r="C17" s="255"/>
      <c r="D17" s="255"/>
      <c r="E17" s="255"/>
      <c r="F17" s="255"/>
      <c r="G17" s="230" t="s">
        <v>430</v>
      </c>
      <c r="H17" s="230"/>
      <c r="I17" s="230"/>
      <c r="J17" s="230"/>
      <c r="K17" s="230"/>
      <c r="L17" s="230"/>
      <c r="M17" s="230"/>
      <c r="N17" s="230"/>
    </row>
    <row r="18" spans="1:14" ht="24.9" customHeight="1" x14ac:dyDescent="0.3">
      <c r="A18" s="254"/>
      <c r="B18" s="254"/>
      <c r="C18" s="254"/>
      <c r="D18" s="254"/>
      <c r="E18" s="254"/>
      <c r="F18" s="254"/>
      <c r="G18" s="247" t="s">
        <v>690</v>
      </c>
      <c r="H18" s="247"/>
      <c r="I18" s="247"/>
      <c r="J18" s="247"/>
      <c r="K18" s="247" t="s">
        <v>1316</v>
      </c>
      <c r="L18" s="247"/>
      <c r="M18" s="247"/>
      <c r="N18" s="247"/>
    </row>
    <row r="19" spans="1:14" ht="15" customHeight="1" x14ac:dyDescent="0.3">
      <c r="A19" s="403" t="s">
        <v>301</v>
      </c>
      <c r="B19" s="403"/>
      <c r="C19" s="403"/>
      <c r="D19" s="403"/>
      <c r="E19" s="403"/>
      <c r="F19" s="403"/>
      <c r="G19" s="407"/>
      <c r="H19" s="407"/>
      <c r="I19" s="407"/>
      <c r="J19" s="407"/>
      <c r="K19" s="234"/>
      <c r="L19" s="234"/>
      <c r="M19" s="234"/>
      <c r="N19" s="234"/>
    </row>
    <row r="20" spans="1:14" ht="15" customHeight="1" x14ac:dyDescent="0.3">
      <c r="A20" s="404" t="s">
        <v>105</v>
      </c>
      <c r="B20" s="404"/>
      <c r="C20" s="404"/>
      <c r="D20" s="404"/>
      <c r="E20" s="404"/>
      <c r="F20" s="404"/>
      <c r="G20" s="405"/>
      <c r="H20" s="405"/>
      <c r="I20" s="405"/>
      <c r="J20" s="405"/>
      <c r="K20" s="405"/>
      <c r="L20" s="405"/>
      <c r="M20" s="405"/>
      <c r="N20" s="405"/>
    </row>
    <row r="21" spans="1:14" ht="15" customHeight="1" x14ac:dyDescent="0.3">
      <c r="A21" s="404" t="s">
        <v>1216</v>
      </c>
      <c r="B21" s="404"/>
      <c r="C21" s="404"/>
      <c r="D21" s="404"/>
      <c r="E21" s="404"/>
      <c r="F21" s="404"/>
      <c r="G21" s="405"/>
      <c r="H21" s="405"/>
      <c r="I21" s="405"/>
      <c r="J21" s="405"/>
      <c r="K21" s="405"/>
      <c r="L21" s="405"/>
      <c r="M21" s="405"/>
      <c r="N21" s="405"/>
    </row>
    <row r="22" spans="1:14" ht="15" customHeight="1" x14ac:dyDescent="0.3">
      <c r="A22" s="404" t="s">
        <v>888</v>
      </c>
      <c r="B22" s="404"/>
      <c r="C22" s="404"/>
      <c r="D22" s="404"/>
      <c r="E22" s="404"/>
      <c r="F22" s="404"/>
      <c r="G22" s="404"/>
      <c r="H22" s="404"/>
      <c r="I22" s="404"/>
      <c r="J22" s="404"/>
      <c r="K22" s="231"/>
      <c r="L22" s="231"/>
      <c r="M22" s="231"/>
      <c r="N22" s="231"/>
    </row>
    <row r="23" spans="1:14" ht="15" customHeight="1" x14ac:dyDescent="0.3">
      <c r="A23" s="404" t="s">
        <v>510</v>
      </c>
      <c r="B23" s="404"/>
      <c r="C23" s="404"/>
      <c r="D23" s="404"/>
      <c r="E23" s="404"/>
      <c r="F23" s="404"/>
      <c r="G23" s="405"/>
      <c r="H23" s="405"/>
      <c r="I23" s="405"/>
      <c r="J23" s="405"/>
      <c r="K23" s="405"/>
      <c r="L23" s="405"/>
      <c r="M23" s="405"/>
      <c r="N23" s="405"/>
    </row>
    <row r="24" spans="1:14" ht="15" customHeight="1" x14ac:dyDescent="0.3">
      <c r="A24" s="404" t="s">
        <v>616</v>
      </c>
      <c r="B24" s="404"/>
      <c r="C24" s="404"/>
      <c r="D24" s="404"/>
      <c r="E24" s="404"/>
      <c r="F24" s="404"/>
      <c r="G24" s="405"/>
      <c r="H24" s="405"/>
      <c r="I24" s="405"/>
      <c r="J24" s="405"/>
      <c r="K24" s="405"/>
      <c r="L24" s="405"/>
      <c r="M24" s="405"/>
      <c r="N24" s="405"/>
    </row>
    <row r="26" spans="1:14" ht="15.6" x14ac:dyDescent="0.3">
      <c r="A26" s="167" t="s">
        <v>1214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</row>
    <row r="28" spans="1:14" ht="24.9" customHeight="1" x14ac:dyDescent="0.3">
      <c r="A28" s="254" t="s">
        <v>535</v>
      </c>
      <c r="B28" s="254"/>
      <c r="C28" s="254"/>
      <c r="D28" s="254"/>
      <c r="E28" s="254"/>
      <c r="F28" s="254"/>
      <c r="G28" s="247" t="s">
        <v>405</v>
      </c>
      <c r="H28" s="247"/>
      <c r="I28" s="247"/>
      <c r="J28" s="247"/>
      <c r="K28" s="247" t="s">
        <v>430</v>
      </c>
      <c r="L28" s="247"/>
      <c r="M28" s="247"/>
      <c r="N28" s="247"/>
    </row>
    <row r="29" spans="1:14" x14ac:dyDescent="0.3">
      <c r="A29" s="403" t="s">
        <v>777</v>
      </c>
      <c r="B29" s="403"/>
      <c r="C29" s="403"/>
      <c r="D29" s="403"/>
      <c r="E29" s="403"/>
      <c r="F29" s="403"/>
      <c r="G29" s="463"/>
      <c r="H29" s="463"/>
      <c r="I29" s="463"/>
      <c r="J29" s="463"/>
      <c r="K29" s="474"/>
      <c r="L29" s="474"/>
      <c r="M29" s="474"/>
      <c r="N29" s="474"/>
    </row>
    <row r="30" spans="1:14" x14ac:dyDescent="0.3">
      <c r="A30" s="404" t="s">
        <v>523</v>
      </c>
      <c r="B30" s="404"/>
      <c r="C30" s="404"/>
      <c r="D30" s="404"/>
      <c r="E30" s="404"/>
      <c r="F30" s="404"/>
      <c r="G30" s="462"/>
      <c r="H30" s="462"/>
      <c r="I30" s="462"/>
      <c r="J30" s="462"/>
      <c r="K30" s="462"/>
      <c r="L30" s="462"/>
      <c r="M30" s="462"/>
      <c r="N30" s="462"/>
    </row>
    <row r="31" spans="1:14" x14ac:dyDescent="0.3">
      <c r="A31" s="404" t="s">
        <v>903</v>
      </c>
      <c r="B31" s="404"/>
      <c r="C31" s="404"/>
      <c r="D31" s="404"/>
      <c r="E31" s="404"/>
      <c r="F31" s="404"/>
      <c r="G31" s="462"/>
      <c r="H31" s="462"/>
      <c r="I31" s="462"/>
      <c r="J31" s="462"/>
      <c r="K31" s="462"/>
      <c r="L31" s="462"/>
      <c r="M31" s="462"/>
      <c r="N31" s="462"/>
    </row>
    <row r="32" spans="1:14" ht="15" customHeight="1" x14ac:dyDescent="0.3">
      <c r="A32" s="404" t="s">
        <v>87</v>
      </c>
      <c r="B32" s="404"/>
      <c r="C32" s="404"/>
      <c r="D32" s="404"/>
      <c r="E32" s="404"/>
      <c r="F32" s="404"/>
      <c r="G32" s="432"/>
      <c r="H32" s="432"/>
      <c r="I32" s="432"/>
      <c r="J32" s="432"/>
      <c r="K32" s="268"/>
      <c r="L32" s="268"/>
      <c r="M32" s="268"/>
      <c r="N32" s="268"/>
    </row>
    <row r="33" spans="1:14" x14ac:dyDescent="0.3">
      <c r="A33" s="404" t="s">
        <v>327</v>
      </c>
      <c r="B33" s="404"/>
      <c r="C33" s="404"/>
      <c r="D33" s="404"/>
      <c r="E33" s="404"/>
      <c r="F33" s="404"/>
      <c r="G33" s="462"/>
      <c r="H33" s="462"/>
      <c r="I33" s="462"/>
      <c r="J33" s="462"/>
      <c r="K33" s="462"/>
      <c r="L33" s="462"/>
      <c r="M33" s="462"/>
      <c r="N33" s="462"/>
    </row>
    <row r="34" spans="1:14" x14ac:dyDescent="0.3">
      <c r="A34" s="471" t="s">
        <v>950</v>
      </c>
      <c r="B34" s="472"/>
      <c r="C34" s="472"/>
      <c r="D34" s="472"/>
      <c r="E34" s="472"/>
      <c r="F34" s="473"/>
      <c r="G34" s="467"/>
      <c r="H34" s="468"/>
      <c r="I34" s="468"/>
      <c r="J34" s="469"/>
      <c r="K34" s="467"/>
      <c r="L34" s="468"/>
      <c r="M34" s="468"/>
      <c r="N34" s="469"/>
    </row>
    <row r="35" spans="1:14" x14ac:dyDescent="0.3">
      <c r="A35" s="343" t="s">
        <v>1095</v>
      </c>
      <c r="B35" s="343"/>
      <c r="C35" s="343"/>
      <c r="D35" s="343"/>
      <c r="E35" s="343"/>
      <c r="F35" s="343"/>
      <c r="G35" s="268"/>
      <c r="H35" s="268"/>
      <c r="I35" s="268"/>
      <c r="J35" s="268"/>
      <c r="K35" s="268"/>
      <c r="L35" s="268"/>
      <c r="M35" s="268"/>
      <c r="N35" s="268"/>
    </row>
    <row r="36" spans="1:14" x14ac:dyDescent="0.3">
      <c r="A36" s="343" t="s">
        <v>736</v>
      </c>
      <c r="B36" s="343"/>
      <c r="C36" s="343"/>
      <c r="D36" s="343"/>
      <c r="E36" s="343"/>
      <c r="F36" s="343"/>
      <c r="G36" s="268"/>
      <c r="H36" s="268"/>
      <c r="I36" s="268"/>
      <c r="J36" s="268"/>
      <c r="K36" s="268"/>
      <c r="L36" s="268"/>
      <c r="M36" s="268"/>
      <c r="N36" s="268"/>
    </row>
    <row r="48" spans="1:14" ht="15" customHeight="1" x14ac:dyDescent="0.3"/>
  </sheetData>
  <mergeCells count="75">
    <mergeCell ref="A2:N2"/>
    <mergeCell ref="A4:N4"/>
    <mergeCell ref="A6:F7"/>
    <mergeCell ref="G6:N6"/>
    <mergeCell ref="G7:J7"/>
    <mergeCell ref="K7:N7"/>
    <mergeCell ref="A8:F8"/>
    <mergeCell ref="G8:J8"/>
    <mergeCell ref="K8:N8"/>
    <mergeCell ref="A9:F9"/>
    <mergeCell ref="G9:J9"/>
    <mergeCell ref="K9:N9"/>
    <mergeCell ref="A10:F10"/>
    <mergeCell ref="G10:J10"/>
    <mergeCell ref="K10:N10"/>
    <mergeCell ref="A11:F11"/>
    <mergeCell ref="G11:J11"/>
    <mergeCell ref="K11:N11"/>
    <mergeCell ref="A19:F19"/>
    <mergeCell ref="G19:J19"/>
    <mergeCell ref="K19:N19"/>
    <mergeCell ref="A12:F12"/>
    <mergeCell ref="G12:J12"/>
    <mergeCell ref="K12:N12"/>
    <mergeCell ref="A13:F13"/>
    <mergeCell ref="G13:J13"/>
    <mergeCell ref="K13:N13"/>
    <mergeCell ref="A15:N15"/>
    <mergeCell ref="A17:F18"/>
    <mergeCell ref="G17:N17"/>
    <mergeCell ref="G18:J18"/>
    <mergeCell ref="K18:N18"/>
    <mergeCell ref="A20:F20"/>
    <mergeCell ref="G20:J20"/>
    <mergeCell ref="K20:N20"/>
    <mergeCell ref="A21:F21"/>
    <mergeCell ref="G21:J21"/>
    <mergeCell ref="K21:N21"/>
    <mergeCell ref="A22:F22"/>
    <mergeCell ref="G22:J22"/>
    <mergeCell ref="K22:N22"/>
    <mergeCell ref="A23:F23"/>
    <mergeCell ref="G23:J23"/>
    <mergeCell ref="K23:N23"/>
    <mergeCell ref="A24:F24"/>
    <mergeCell ref="G24:J24"/>
    <mergeCell ref="K24:N24"/>
    <mergeCell ref="A26:N26"/>
    <mergeCell ref="A28:F28"/>
    <mergeCell ref="G28:J28"/>
    <mergeCell ref="K28:N28"/>
    <mergeCell ref="A29:F29"/>
    <mergeCell ref="G29:J29"/>
    <mergeCell ref="K29:N29"/>
    <mergeCell ref="A30:F30"/>
    <mergeCell ref="G30:J30"/>
    <mergeCell ref="K30:N30"/>
    <mergeCell ref="A31:F31"/>
    <mergeCell ref="G31:J31"/>
    <mergeCell ref="K31:N31"/>
    <mergeCell ref="A32:F32"/>
    <mergeCell ref="G32:J32"/>
    <mergeCell ref="K32:N32"/>
    <mergeCell ref="A33:F33"/>
    <mergeCell ref="G33:J33"/>
    <mergeCell ref="K33:N33"/>
    <mergeCell ref="A34:F34"/>
    <mergeCell ref="G34:J34"/>
    <mergeCell ref="K34:N34"/>
    <mergeCell ref="A35:F35"/>
    <mergeCell ref="G35:J35"/>
    <mergeCell ref="K35:N35"/>
    <mergeCell ref="A36:F36"/>
    <mergeCell ref="G36:J36"/>
    <mergeCell ref="K36:N3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24"/>
  <sheetViews>
    <sheetView zoomScaleNormal="100" workbookViewId="0">
      <selection activeCell="U15" sqref="U15"/>
    </sheetView>
  </sheetViews>
  <sheetFormatPr defaultRowHeight="14.4" x14ac:dyDescent="0.3"/>
  <cols>
    <col min="1" max="3" width="6" customWidth="1"/>
    <col min="4" max="15" width="5.6640625" customWidth="1"/>
  </cols>
  <sheetData>
    <row r="1" spans="1:15" x14ac:dyDescent="0.3">
      <c r="A1" s="74"/>
      <c r="B1" s="74"/>
      <c r="C1" s="74"/>
      <c r="D1" s="74"/>
      <c r="E1" s="74"/>
      <c r="F1" s="74"/>
      <c r="G1" s="75"/>
      <c r="H1" s="75"/>
      <c r="I1" s="75"/>
      <c r="J1" s="75"/>
      <c r="K1" s="75"/>
      <c r="L1" s="75"/>
      <c r="M1" s="75"/>
      <c r="N1" s="75"/>
    </row>
    <row r="2" spans="1:15" ht="18" x14ac:dyDescent="0.35">
      <c r="A2" s="400" t="s">
        <v>295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</row>
    <row r="3" spans="1:15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5" ht="15.6" x14ac:dyDescent="0.3">
      <c r="A4" s="167" t="s">
        <v>1187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6" spans="1:15" x14ac:dyDescent="0.3">
      <c r="A6" s="484" t="s">
        <v>550</v>
      </c>
      <c r="B6" s="485"/>
      <c r="C6" s="486"/>
      <c r="D6" s="255" t="s">
        <v>782</v>
      </c>
      <c r="E6" s="255"/>
      <c r="F6" s="255"/>
      <c r="G6" s="255"/>
      <c r="H6" s="255"/>
      <c r="I6" s="255"/>
      <c r="J6" s="255" t="s">
        <v>867</v>
      </c>
      <c r="K6" s="255"/>
      <c r="L6" s="255"/>
      <c r="M6" s="255"/>
      <c r="N6" s="255"/>
      <c r="O6" s="255"/>
    </row>
    <row r="7" spans="1:15" x14ac:dyDescent="0.3">
      <c r="A7" s="487"/>
      <c r="B7" s="488"/>
      <c r="C7" s="489"/>
      <c r="D7" s="255" t="s">
        <v>28</v>
      </c>
      <c r="E7" s="255"/>
      <c r="F7" s="255"/>
      <c r="G7" s="255"/>
      <c r="H7" s="255"/>
      <c r="I7" s="255"/>
      <c r="J7" s="255" t="s">
        <v>788</v>
      </c>
      <c r="K7" s="255"/>
      <c r="L7" s="255"/>
      <c r="M7" s="255"/>
      <c r="N7" s="255"/>
      <c r="O7" s="255"/>
    </row>
    <row r="8" spans="1:15" s="67" customFormat="1" x14ac:dyDescent="0.3">
      <c r="A8" s="487"/>
      <c r="B8" s="488"/>
      <c r="C8" s="489"/>
      <c r="D8" s="255" t="s">
        <v>12</v>
      </c>
      <c r="E8" s="255"/>
      <c r="F8" s="255" t="s">
        <v>123</v>
      </c>
      <c r="G8" s="255"/>
      <c r="H8" s="255" t="s">
        <v>542</v>
      </c>
      <c r="I8" s="255"/>
      <c r="J8" s="255" t="s">
        <v>12</v>
      </c>
      <c r="K8" s="255"/>
      <c r="L8" s="255" t="s">
        <v>123</v>
      </c>
      <c r="M8" s="255"/>
      <c r="N8" s="255" t="s">
        <v>542</v>
      </c>
      <c r="O8" s="255"/>
    </row>
    <row r="9" spans="1:15" x14ac:dyDescent="0.3">
      <c r="A9" s="490"/>
      <c r="B9" s="491"/>
      <c r="C9" s="492"/>
      <c r="D9" s="255" t="s">
        <v>999</v>
      </c>
      <c r="E9" s="255"/>
      <c r="F9" s="255"/>
      <c r="G9" s="255"/>
      <c r="H9" s="255"/>
      <c r="I9" s="255"/>
      <c r="J9" s="255" t="s">
        <v>999</v>
      </c>
      <c r="K9" s="255"/>
      <c r="L9" s="255"/>
      <c r="M9" s="255"/>
      <c r="N9" s="255"/>
      <c r="O9" s="255"/>
    </row>
    <row r="10" spans="1:15" ht="24.9" customHeight="1" x14ac:dyDescent="0.3">
      <c r="A10" s="254" t="s">
        <v>1001</v>
      </c>
      <c r="B10" s="254"/>
      <c r="C10" s="254"/>
      <c r="D10" s="247" t="s">
        <v>18</v>
      </c>
      <c r="E10" s="247"/>
      <c r="F10" s="247"/>
      <c r="G10" s="247"/>
      <c r="H10" s="247"/>
      <c r="I10" s="247"/>
      <c r="J10" s="247" t="s">
        <v>18</v>
      </c>
      <c r="K10" s="247"/>
      <c r="L10" s="247"/>
      <c r="M10" s="247"/>
      <c r="N10" s="247"/>
      <c r="O10" s="247"/>
    </row>
    <row r="11" spans="1:15" ht="15" customHeight="1" x14ac:dyDescent="0.3">
      <c r="A11" s="475" t="s">
        <v>459</v>
      </c>
      <c r="B11" s="476"/>
      <c r="C11" s="477"/>
      <c r="D11" s="342">
        <v>9780</v>
      </c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</row>
    <row r="12" spans="1:15" s="68" customFormat="1" x14ac:dyDescent="0.3">
      <c r="A12" s="478"/>
      <c r="B12" s="479"/>
      <c r="C12" s="480"/>
      <c r="D12" s="352"/>
      <c r="E12" s="353"/>
      <c r="F12" s="352"/>
      <c r="G12" s="353"/>
      <c r="H12" s="352"/>
      <c r="I12" s="353"/>
      <c r="J12" s="352"/>
      <c r="K12" s="353"/>
      <c r="L12" s="352"/>
      <c r="M12" s="353"/>
      <c r="N12" s="352"/>
      <c r="O12" s="353"/>
    </row>
    <row r="13" spans="1:15" ht="15" customHeight="1" x14ac:dyDescent="0.3">
      <c r="A13" s="481" t="s">
        <v>185</v>
      </c>
      <c r="B13" s="482"/>
      <c r="C13" s="483"/>
      <c r="D13" s="343">
        <v>4828</v>
      </c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O13" s="343"/>
    </row>
    <row r="14" spans="1:15" s="68" customFormat="1" x14ac:dyDescent="0.3">
      <c r="A14" s="478"/>
      <c r="B14" s="479"/>
      <c r="C14" s="480"/>
      <c r="D14" s="352"/>
      <c r="E14" s="353"/>
      <c r="F14" s="352"/>
      <c r="G14" s="353"/>
      <c r="H14" s="352"/>
      <c r="I14" s="353"/>
      <c r="J14" s="352"/>
      <c r="K14" s="353"/>
      <c r="L14" s="352"/>
      <c r="M14" s="353"/>
      <c r="N14" s="352"/>
      <c r="O14" s="353"/>
    </row>
    <row r="15" spans="1:15" ht="15" customHeight="1" x14ac:dyDescent="0.3">
      <c r="A15" s="481" t="s">
        <v>150</v>
      </c>
      <c r="B15" s="482"/>
      <c r="C15" s="48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343"/>
      <c r="O15" s="343"/>
    </row>
    <row r="16" spans="1:15" s="68" customFormat="1" x14ac:dyDescent="0.3">
      <c r="A16" s="478"/>
      <c r="B16" s="479"/>
      <c r="C16" s="480"/>
      <c r="D16" s="352"/>
      <c r="E16" s="353"/>
      <c r="F16" s="352"/>
      <c r="G16" s="353"/>
      <c r="H16" s="352"/>
      <c r="I16" s="353"/>
      <c r="J16" s="352"/>
      <c r="K16" s="353"/>
      <c r="L16" s="352"/>
      <c r="M16" s="353"/>
      <c r="N16" s="352"/>
      <c r="O16" s="353"/>
    </row>
    <row r="17" spans="1:15" ht="15" customHeight="1" x14ac:dyDescent="0.3">
      <c r="A17" s="481" t="s">
        <v>1203</v>
      </c>
      <c r="B17" s="482"/>
      <c r="C17" s="48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  <c r="O17" s="343"/>
    </row>
    <row r="18" spans="1:15" s="68" customFormat="1" x14ac:dyDescent="0.3">
      <c r="A18" s="478"/>
      <c r="B18" s="479"/>
      <c r="C18" s="480"/>
      <c r="D18" s="352"/>
      <c r="E18" s="353"/>
      <c r="F18" s="352"/>
      <c r="G18" s="353"/>
      <c r="H18" s="352"/>
      <c r="I18" s="353"/>
      <c r="J18" s="352"/>
      <c r="K18" s="353"/>
      <c r="L18" s="352"/>
      <c r="M18" s="353"/>
      <c r="N18" s="352"/>
      <c r="O18" s="353"/>
    </row>
    <row r="19" spans="1:15" ht="15" customHeight="1" x14ac:dyDescent="0.3">
      <c r="A19" s="481" t="s">
        <v>856</v>
      </c>
      <c r="B19" s="482"/>
      <c r="C19" s="48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</row>
    <row r="20" spans="1:15" s="68" customFormat="1" x14ac:dyDescent="0.3">
      <c r="A20" s="478"/>
      <c r="B20" s="479"/>
      <c r="C20" s="480"/>
      <c r="D20" s="352"/>
      <c r="E20" s="353"/>
      <c r="F20" s="352"/>
      <c r="G20" s="353"/>
      <c r="H20" s="352"/>
      <c r="I20" s="353"/>
      <c r="J20" s="352"/>
      <c r="K20" s="353"/>
      <c r="L20" s="352"/>
      <c r="M20" s="353"/>
      <c r="N20" s="352"/>
      <c r="O20" s="353"/>
    </row>
    <row r="21" spans="1:15" x14ac:dyDescent="0.3">
      <c r="A21" s="481" t="s">
        <v>489</v>
      </c>
      <c r="B21" s="482"/>
      <c r="C21" s="48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343"/>
    </row>
    <row r="22" spans="1:15" s="68" customFormat="1" x14ac:dyDescent="0.3">
      <c r="A22" s="478"/>
      <c r="B22" s="479"/>
      <c r="C22" s="480"/>
      <c r="D22" s="352"/>
      <c r="E22" s="353"/>
      <c r="F22" s="352"/>
      <c r="G22" s="353"/>
      <c r="H22" s="352"/>
      <c r="I22" s="353"/>
      <c r="J22" s="352"/>
      <c r="K22" s="353"/>
      <c r="L22" s="352"/>
      <c r="M22" s="353"/>
      <c r="N22" s="352"/>
      <c r="O22" s="353"/>
    </row>
    <row r="23" spans="1:15" x14ac:dyDescent="0.3">
      <c r="A23" t="s">
        <v>1438</v>
      </c>
    </row>
    <row r="24" spans="1:15" x14ac:dyDescent="0.3">
      <c r="A24" t="s">
        <v>1439</v>
      </c>
    </row>
  </sheetData>
  <mergeCells count="96">
    <mergeCell ref="A21:C22"/>
    <mergeCell ref="D22:E22"/>
    <mergeCell ref="F22:G22"/>
    <mergeCell ref="H22:I22"/>
    <mergeCell ref="J22:K22"/>
    <mergeCell ref="D21:E21"/>
    <mergeCell ref="N22:O22"/>
    <mergeCell ref="F20:G20"/>
    <mergeCell ref="H20:I20"/>
    <mergeCell ref="J20:K20"/>
    <mergeCell ref="L20:M20"/>
    <mergeCell ref="N20:O20"/>
    <mergeCell ref="H21:I21"/>
    <mergeCell ref="L22:M22"/>
    <mergeCell ref="F21:G21"/>
    <mergeCell ref="A15:C16"/>
    <mergeCell ref="A17:C18"/>
    <mergeCell ref="A19:C20"/>
    <mergeCell ref="L16:M16"/>
    <mergeCell ref="L12:M12"/>
    <mergeCell ref="D19:E19"/>
    <mergeCell ref="D20:E20"/>
    <mergeCell ref="F15:G15"/>
    <mergeCell ref="L14:M14"/>
    <mergeCell ref="F16:G16"/>
    <mergeCell ref="J19:K19"/>
    <mergeCell ref="H19:I19"/>
    <mergeCell ref="H16:I16"/>
    <mergeCell ref="J16:K16"/>
    <mergeCell ref="F19:G19"/>
    <mergeCell ref="N14:O14"/>
    <mergeCell ref="F13:G13"/>
    <mergeCell ref="N16:O16"/>
    <mergeCell ref="D18:E18"/>
    <mergeCell ref="F18:G18"/>
    <mergeCell ref="H18:I18"/>
    <mergeCell ref="J18:K18"/>
    <mergeCell ref="L18:M18"/>
    <mergeCell ref="N18:O18"/>
    <mergeCell ref="D17:E17"/>
    <mergeCell ref="D16:E16"/>
    <mergeCell ref="F17:G17"/>
    <mergeCell ref="D14:E14"/>
    <mergeCell ref="F14:G14"/>
    <mergeCell ref="H14:I14"/>
    <mergeCell ref="J14:K14"/>
    <mergeCell ref="A2:N2"/>
    <mergeCell ref="A4:N4"/>
    <mergeCell ref="A10:C10"/>
    <mergeCell ref="N11:O11"/>
    <mergeCell ref="N13:O13"/>
    <mergeCell ref="D12:E12"/>
    <mergeCell ref="D13:E13"/>
    <mergeCell ref="F11:G11"/>
    <mergeCell ref="N12:O12"/>
    <mergeCell ref="A11:C12"/>
    <mergeCell ref="A13:C14"/>
    <mergeCell ref="F12:G12"/>
    <mergeCell ref="H12:I12"/>
    <mergeCell ref="J12:K12"/>
    <mergeCell ref="A6:C9"/>
    <mergeCell ref="D6:I6"/>
    <mergeCell ref="N19:O19"/>
    <mergeCell ref="N21:O21"/>
    <mergeCell ref="L19:M19"/>
    <mergeCell ref="L21:M21"/>
    <mergeCell ref="J21:K21"/>
    <mergeCell ref="N17:O17"/>
    <mergeCell ref="J13:K13"/>
    <mergeCell ref="J15:K15"/>
    <mergeCell ref="J17:K17"/>
    <mergeCell ref="D11:E11"/>
    <mergeCell ref="L11:M11"/>
    <mergeCell ref="L13:M13"/>
    <mergeCell ref="L15:M15"/>
    <mergeCell ref="L17:M17"/>
    <mergeCell ref="J11:K11"/>
    <mergeCell ref="H11:I11"/>
    <mergeCell ref="H13:I13"/>
    <mergeCell ref="H15:I15"/>
    <mergeCell ref="H17:I17"/>
    <mergeCell ref="N15:O15"/>
    <mergeCell ref="D15:E15"/>
    <mergeCell ref="D9:I9"/>
    <mergeCell ref="J9:O9"/>
    <mergeCell ref="D10:I10"/>
    <mergeCell ref="J10:O10"/>
    <mergeCell ref="J6:O6"/>
    <mergeCell ref="D7:I7"/>
    <mergeCell ref="J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38"/>
  <sheetViews>
    <sheetView topLeftCell="A7" zoomScaleNormal="100" workbookViewId="0">
      <selection activeCell="L24" sqref="L24:N24"/>
    </sheetView>
  </sheetViews>
  <sheetFormatPr defaultColWidth="9.109375" defaultRowHeight="14.4" x14ac:dyDescent="0.3"/>
  <cols>
    <col min="1" max="5" width="6" style="68" customWidth="1"/>
    <col min="6" max="6" width="7" style="68" customWidth="1"/>
    <col min="7" max="13" width="6" style="68" customWidth="1"/>
    <col min="14" max="14" width="6.109375" style="68" customWidth="1"/>
    <col min="15" max="16384" width="9.109375" style="68"/>
  </cols>
  <sheetData>
    <row r="1" spans="1:14" ht="18" x14ac:dyDescent="0.35">
      <c r="A1" s="400" t="s">
        <v>131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</row>
    <row r="2" spans="1:14" ht="9.9" customHeight="1" x14ac:dyDescent="0.3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113.25" customHeight="1" x14ac:dyDescent="0.3">
      <c r="A3" s="166" t="s">
        <v>270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1:14" ht="15.75" customHeight="1" x14ac:dyDescent="0.3">
      <c r="A4" s="167" t="s">
        <v>104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5" spans="1:14" ht="15" customHeight="1" x14ac:dyDescent="0.3">
      <c r="A5" s="255" t="s">
        <v>1277</v>
      </c>
      <c r="B5" s="255"/>
      <c r="C5" s="255"/>
      <c r="D5" s="255"/>
      <c r="E5" s="255"/>
      <c r="F5" s="255"/>
      <c r="G5" s="283" t="s">
        <v>789</v>
      </c>
      <c r="H5" s="284"/>
      <c r="I5" s="230" t="s">
        <v>924</v>
      </c>
      <c r="J5" s="230"/>
      <c r="K5" s="230"/>
      <c r="L5" s="230"/>
      <c r="M5" s="230"/>
      <c r="N5" s="230"/>
    </row>
    <row r="6" spans="1:14" ht="35.1" customHeight="1" x14ac:dyDescent="0.3">
      <c r="A6" s="493"/>
      <c r="B6" s="493"/>
      <c r="C6" s="493"/>
      <c r="D6" s="493"/>
      <c r="E6" s="493"/>
      <c r="F6" s="493"/>
      <c r="G6" s="494"/>
      <c r="H6" s="495"/>
      <c r="I6" s="228" t="s">
        <v>405</v>
      </c>
      <c r="J6" s="228"/>
      <c r="K6" s="228"/>
      <c r="L6" s="228" t="s">
        <v>430</v>
      </c>
      <c r="M6" s="228"/>
      <c r="N6" s="228"/>
    </row>
    <row r="7" spans="1:14" ht="15" customHeight="1" x14ac:dyDescent="0.3">
      <c r="A7" s="251" t="s">
        <v>1001</v>
      </c>
      <c r="B7" s="251"/>
      <c r="C7" s="251"/>
      <c r="D7" s="251"/>
      <c r="E7" s="251"/>
      <c r="F7" s="251"/>
      <c r="G7" s="251" t="s">
        <v>28</v>
      </c>
      <c r="H7" s="251"/>
      <c r="I7" s="251" t="s">
        <v>788</v>
      </c>
      <c r="J7" s="251"/>
      <c r="K7" s="251"/>
      <c r="L7" s="339" t="s">
        <v>296</v>
      </c>
      <c r="M7" s="339"/>
      <c r="N7" s="339"/>
    </row>
    <row r="8" spans="1:14" ht="15" customHeight="1" x14ac:dyDescent="0.3">
      <c r="A8" s="242" t="s">
        <v>1422</v>
      </c>
      <c r="B8" s="242"/>
      <c r="C8" s="242"/>
      <c r="D8" s="242"/>
      <c r="E8" s="242"/>
      <c r="F8" s="242"/>
      <c r="G8" s="499" t="s">
        <v>1423</v>
      </c>
      <c r="H8" s="499"/>
      <c r="I8" s="496">
        <v>0</v>
      </c>
      <c r="J8" s="496"/>
      <c r="K8" s="496"/>
      <c r="L8" s="496">
        <v>388771</v>
      </c>
      <c r="M8" s="496"/>
      <c r="N8" s="496"/>
    </row>
    <row r="9" spans="1:14" ht="15" customHeight="1" x14ac:dyDescent="0.3">
      <c r="A9" s="244" t="s">
        <v>1424</v>
      </c>
      <c r="B9" s="244"/>
      <c r="C9" s="244"/>
      <c r="D9" s="244"/>
      <c r="E9" s="244"/>
      <c r="F9" s="244"/>
      <c r="G9" s="500" t="s">
        <v>1423</v>
      </c>
      <c r="H9" s="500"/>
      <c r="I9" s="331">
        <v>567976</v>
      </c>
      <c r="J9" s="331"/>
      <c r="K9" s="331"/>
      <c r="L9" s="331">
        <v>675895</v>
      </c>
      <c r="M9" s="331"/>
      <c r="N9" s="331"/>
    </row>
    <row r="10" spans="1:14" ht="15" customHeight="1" x14ac:dyDescent="0.3">
      <c r="A10" s="244" t="s">
        <v>1425</v>
      </c>
      <c r="B10" s="244"/>
      <c r="C10" s="244"/>
      <c r="D10" s="244"/>
      <c r="E10" s="244"/>
      <c r="F10" s="244"/>
      <c r="G10" s="500" t="s">
        <v>1423</v>
      </c>
      <c r="H10" s="500"/>
      <c r="I10" s="331">
        <v>1429584</v>
      </c>
      <c r="J10" s="331"/>
      <c r="K10" s="331"/>
      <c r="L10" s="331">
        <v>1540228</v>
      </c>
      <c r="M10" s="331"/>
      <c r="N10" s="331"/>
    </row>
    <row r="11" spans="1:14" ht="15" customHeight="1" x14ac:dyDescent="0.3">
      <c r="A11" s="244" t="s">
        <v>1426</v>
      </c>
      <c r="B11" s="244"/>
      <c r="C11" s="244"/>
      <c r="D11" s="244"/>
      <c r="E11" s="244"/>
      <c r="F11" s="244"/>
      <c r="G11" s="500" t="s">
        <v>1423</v>
      </c>
      <c r="H11" s="500"/>
      <c r="I11" s="331">
        <v>2356713</v>
      </c>
      <c r="J11" s="331"/>
      <c r="K11" s="331"/>
      <c r="L11" s="331">
        <v>329196</v>
      </c>
      <c r="M11" s="331"/>
      <c r="N11" s="331"/>
    </row>
    <row r="12" spans="1:14" ht="15" customHeight="1" x14ac:dyDescent="0.3">
      <c r="A12" s="244" t="s">
        <v>1424</v>
      </c>
      <c r="B12" s="244"/>
      <c r="C12" s="244"/>
      <c r="D12" s="244"/>
      <c r="E12" s="244"/>
      <c r="F12" s="244"/>
      <c r="G12" s="501" t="s">
        <v>1433</v>
      </c>
      <c r="H12" s="501"/>
      <c r="I12" s="331">
        <v>502219</v>
      </c>
      <c r="J12" s="331"/>
      <c r="K12" s="331"/>
      <c r="L12" s="331"/>
      <c r="M12" s="331"/>
      <c r="N12" s="331"/>
    </row>
    <row r="13" spans="1:14" ht="15" customHeight="1" x14ac:dyDescent="0.3">
      <c r="A13" s="244" t="s">
        <v>1424</v>
      </c>
      <c r="B13" s="244"/>
      <c r="C13" s="244"/>
      <c r="D13" s="244"/>
      <c r="E13" s="244"/>
      <c r="F13" s="244"/>
      <c r="G13" s="501" t="s">
        <v>1434</v>
      </c>
      <c r="H13" s="501"/>
      <c r="I13" s="331">
        <v>21372</v>
      </c>
      <c r="J13" s="331"/>
      <c r="K13" s="331"/>
      <c r="L13" s="331"/>
      <c r="M13" s="331"/>
      <c r="N13" s="331"/>
    </row>
    <row r="14" spans="1:14" x14ac:dyDescent="0.3">
      <c r="A14" s="244"/>
      <c r="B14" s="244"/>
      <c r="C14" s="244"/>
      <c r="D14" s="244"/>
      <c r="E14" s="244"/>
      <c r="F14" s="244"/>
      <c r="G14" s="498"/>
      <c r="H14" s="498"/>
      <c r="I14" s="331"/>
      <c r="J14" s="331"/>
      <c r="K14" s="331"/>
      <c r="L14" s="331"/>
      <c r="M14" s="331"/>
      <c r="N14" s="331"/>
    </row>
    <row r="15" spans="1:14" ht="9.9" customHeight="1" x14ac:dyDescent="0.3"/>
    <row r="16" spans="1:14" ht="15.75" customHeight="1" x14ac:dyDescent="0.3">
      <c r="A16" s="167" t="s">
        <v>598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ht="15" customHeight="1" x14ac:dyDescent="0.3">
      <c r="A17" s="283" t="s">
        <v>92</v>
      </c>
      <c r="B17" s="284"/>
      <c r="C17" s="284"/>
      <c r="D17" s="284"/>
      <c r="E17" s="284"/>
      <c r="F17" s="285"/>
      <c r="G17" s="283" t="s">
        <v>789</v>
      </c>
      <c r="H17" s="284"/>
      <c r="I17" s="230" t="s">
        <v>924</v>
      </c>
      <c r="J17" s="230"/>
      <c r="K17" s="230"/>
      <c r="L17" s="230"/>
      <c r="M17" s="230"/>
      <c r="N17" s="230"/>
    </row>
    <row r="18" spans="1:14" ht="35.1" customHeight="1" x14ac:dyDescent="0.3">
      <c r="A18" s="286"/>
      <c r="B18" s="287"/>
      <c r="C18" s="287"/>
      <c r="D18" s="287"/>
      <c r="E18" s="287"/>
      <c r="F18" s="288"/>
      <c r="G18" s="494"/>
      <c r="H18" s="495"/>
      <c r="I18" s="228" t="s">
        <v>405</v>
      </c>
      <c r="J18" s="228"/>
      <c r="K18" s="228"/>
      <c r="L18" s="228" t="s">
        <v>430</v>
      </c>
      <c r="M18" s="228"/>
      <c r="N18" s="228"/>
    </row>
    <row r="19" spans="1:14" ht="15" customHeight="1" thickBot="1" x14ac:dyDescent="0.35">
      <c r="A19" s="251" t="s">
        <v>1001</v>
      </c>
      <c r="B19" s="251"/>
      <c r="C19" s="251"/>
      <c r="D19" s="251"/>
      <c r="E19" s="251"/>
      <c r="F19" s="251"/>
      <c r="G19" s="251" t="s">
        <v>28</v>
      </c>
      <c r="H19" s="251"/>
      <c r="I19" s="251" t="s">
        <v>788</v>
      </c>
      <c r="J19" s="251"/>
      <c r="K19" s="251"/>
      <c r="L19" s="339" t="s">
        <v>296</v>
      </c>
      <c r="M19" s="339"/>
      <c r="N19" s="339"/>
    </row>
    <row r="20" spans="1:14" ht="15" customHeight="1" x14ac:dyDescent="0.3">
      <c r="A20" s="242" t="s">
        <v>1435</v>
      </c>
      <c r="B20" s="242"/>
      <c r="C20" s="242"/>
      <c r="D20" s="242"/>
      <c r="E20" s="242"/>
      <c r="F20" s="242"/>
      <c r="G20" s="497" t="s">
        <v>1423</v>
      </c>
      <c r="H20" s="497"/>
      <c r="I20" s="496">
        <f>SUM(I8:K11)</f>
        <v>4354273</v>
      </c>
      <c r="J20" s="496"/>
      <c r="K20" s="496"/>
      <c r="L20" s="496">
        <f>SUM(L8:N11)</f>
        <v>2934090</v>
      </c>
      <c r="M20" s="496"/>
      <c r="N20" s="496"/>
    </row>
    <row r="21" spans="1:14" x14ac:dyDescent="0.3">
      <c r="A21" s="244" t="s">
        <v>1436</v>
      </c>
      <c r="B21" s="244"/>
      <c r="C21" s="244"/>
      <c r="D21" s="244"/>
      <c r="E21" s="244"/>
      <c r="F21" s="244"/>
      <c r="G21" s="497" t="s">
        <v>1433</v>
      </c>
      <c r="H21" s="497"/>
      <c r="I21" s="331">
        <v>502219</v>
      </c>
      <c r="J21" s="331"/>
      <c r="K21" s="331"/>
      <c r="L21" s="331"/>
      <c r="M21" s="331"/>
      <c r="N21" s="331"/>
    </row>
    <row r="22" spans="1:14" x14ac:dyDescent="0.3">
      <c r="A22" s="244" t="s">
        <v>1437</v>
      </c>
      <c r="B22" s="244"/>
      <c r="C22" s="244"/>
      <c r="D22" s="244"/>
      <c r="E22" s="244"/>
      <c r="F22" s="244"/>
      <c r="G22" s="497" t="s">
        <v>1434</v>
      </c>
      <c r="H22" s="497"/>
      <c r="I22" s="330">
        <v>21372</v>
      </c>
      <c r="J22" s="330"/>
      <c r="K22" s="330"/>
      <c r="L22" s="331"/>
      <c r="M22" s="331"/>
      <c r="N22" s="331"/>
    </row>
    <row r="23" spans="1:14" x14ac:dyDescent="0.3">
      <c r="A23" s="244"/>
      <c r="B23" s="244"/>
      <c r="C23" s="244"/>
      <c r="D23" s="244"/>
      <c r="E23" s="244"/>
      <c r="F23" s="244"/>
      <c r="G23" s="498"/>
      <c r="H23" s="498"/>
      <c r="I23" s="331"/>
      <c r="J23" s="331"/>
      <c r="K23" s="331"/>
      <c r="L23" s="331"/>
      <c r="M23" s="331"/>
      <c r="N23" s="331"/>
    </row>
    <row r="24" spans="1:14" x14ac:dyDescent="0.3">
      <c r="A24" s="244"/>
      <c r="B24" s="244"/>
      <c r="C24" s="244"/>
      <c r="D24" s="244"/>
      <c r="E24" s="244"/>
      <c r="F24" s="244"/>
      <c r="G24" s="498"/>
      <c r="H24" s="498"/>
      <c r="I24" s="331"/>
      <c r="J24" s="331"/>
      <c r="K24" s="331"/>
      <c r="L24" s="331"/>
      <c r="M24" s="331"/>
      <c r="N24" s="331"/>
    </row>
    <row r="25" spans="1:14" ht="15" customHeight="1" x14ac:dyDescent="0.3">
      <c r="A25" s="244"/>
      <c r="B25" s="244"/>
      <c r="C25" s="244"/>
      <c r="D25" s="244"/>
      <c r="E25" s="244"/>
      <c r="F25" s="244"/>
      <c r="G25" s="498"/>
      <c r="H25" s="498"/>
      <c r="I25" s="331"/>
      <c r="J25" s="331"/>
      <c r="K25" s="331"/>
      <c r="L25" s="331"/>
      <c r="M25" s="331"/>
      <c r="N25" s="331"/>
    </row>
    <row r="26" spans="1:14" x14ac:dyDescent="0.3">
      <c r="A26" s="244"/>
      <c r="B26" s="244"/>
      <c r="C26" s="244"/>
      <c r="D26" s="244"/>
      <c r="E26" s="244"/>
      <c r="F26" s="244"/>
      <c r="G26" s="498"/>
      <c r="H26" s="498"/>
      <c r="I26" s="331"/>
      <c r="J26" s="331"/>
      <c r="K26" s="331"/>
      <c r="L26" s="331"/>
      <c r="M26" s="331"/>
      <c r="N26" s="331"/>
    </row>
    <row r="27" spans="1:14" ht="9.9" customHeight="1" x14ac:dyDescent="0.3"/>
    <row r="28" spans="1:14" ht="45.75" customHeight="1" x14ac:dyDescent="0.3">
      <c r="A28" s="167" t="s">
        <v>1332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</row>
    <row r="29" spans="1:14" x14ac:dyDescent="0.3">
      <c r="A29" s="283" t="s">
        <v>92</v>
      </c>
      <c r="B29" s="284"/>
      <c r="C29" s="284"/>
      <c r="D29" s="284"/>
      <c r="E29" s="284"/>
      <c r="F29" s="285"/>
      <c r="G29" s="283" t="s">
        <v>789</v>
      </c>
      <c r="H29" s="284"/>
      <c r="I29" s="230" t="s">
        <v>924</v>
      </c>
      <c r="J29" s="230"/>
      <c r="K29" s="230"/>
      <c r="L29" s="230"/>
      <c r="M29" s="230"/>
      <c r="N29" s="230"/>
    </row>
    <row r="30" spans="1:14" ht="35.1" customHeight="1" x14ac:dyDescent="0.3">
      <c r="A30" s="286"/>
      <c r="B30" s="287"/>
      <c r="C30" s="287"/>
      <c r="D30" s="287"/>
      <c r="E30" s="287"/>
      <c r="F30" s="288"/>
      <c r="G30" s="494"/>
      <c r="H30" s="495"/>
      <c r="I30" s="228" t="s">
        <v>405</v>
      </c>
      <c r="J30" s="228"/>
      <c r="K30" s="228"/>
      <c r="L30" s="228" t="s">
        <v>430</v>
      </c>
      <c r="M30" s="228"/>
      <c r="N30" s="228"/>
    </row>
    <row r="31" spans="1:14" ht="15" thickBot="1" x14ac:dyDescent="0.35">
      <c r="A31" s="251" t="s">
        <v>1001</v>
      </c>
      <c r="B31" s="251"/>
      <c r="C31" s="251"/>
      <c r="D31" s="251"/>
      <c r="E31" s="251"/>
      <c r="F31" s="251"/>
      <c r="G31" s="251" t="s">
        <v>28</v>
      </c>
      <c r="H31" s="251"/>
      <c r="I31" s="251" t="s">
        <v>788</v>
      </c>
      <c r="J31" s="251"/>
      <c r="K31" s="251"/>
      <c r="L31" s="339" t="s">
        <v>296</v>
      </c>
      <c r="M31" s="339"/>
      <c r="N31" s="339"/>
    </row>
    <row r="32" spans="1:14" ht="14.4" customHeight="1" x14ac:dyDescent="0.3">
      <c r="A32" s="242" t="s">
        <v>1422</v>
      </c>
      <c r="B32" s="242"/>
      <c r="C32" s="242"/>
      <c r="D32" s="242"/>
      <c r="E32" s="242"/>
      <c r="F32" s="242"/>
      <c r="G32" s="499" t="s">
        <v>1423</v>
      </c>
      <c r="H32" s="499"/>
      <c r="I32" s="496">
        <v>0</v>
      </c>
      <c r="J32" s="496"/>
      <c r="K32" s="496"/>
      <c r="L32" s="496">
        <v>388771</v>
      </c>
      <c r="M32" s="496"/>
      <c r="N32" s="496"/>
    </row>
    <row r="33" spans="1:14" ht="14.4" customHeight="1" x14ac:dyDescent="0.3">
      <c r="A33" s="244" t="s">
        <v>1424</v>
      </c>
      <c r="B33" s="244"/>
      <c r="C33" s="244"/>
      <c r="D33" s="244"/>
      <c r="E33" s="244"/>
      <c r="F33" s="244"/>
      <c r="G33" s="500" t="s">
        <v>1423</v>
      </c>
      <c r="H33" s="500"/>
      <c r="I33" s="331">
        <v>567976</v>
      </c>
      <c r="J33" s="331"/>
      <c r="K33" s="331"/>
      <c r="L33" s="331">
        <v>675895</v>
      </c>
      <c r="M33" s="331"/>
      <c r="N33" s="331"/>
    </row>
    <row r="34" spans="1:14" ht="14.4" customHeight="1" x14ac:dyDescent="0.3">
      <c r="A34" s="244" t="s">
        <v>1425</v>
      </c>
      <c r="B34" s="244"/>
      <c r="C34" s="244"/>
      <c r="D34" s="244"/>
      <c r="E34" s="244"/>
      <c r="F34" s="244"/>
      <c r="G34" s="500" t="s">
        <v>1423</v>
      </c>
      <c r="H34" s="500"/>
      <c r="I34" s="331">
        <v>1429584</v>
      </c>
      <c r="J34" s="331"/>
      <c r="K34" s="331"/>
      <c r="L34" s="331">
        <v>1540228</v>
      </c>
      <c r="M34" s="331"/>
      <c r="N34" s="331"/>
    </row>
    <row r="35" spans="1:14" ht="14.4" customHeight="1" x14ac:dyDescent="0.3">
      <c r="A35" s="244" t="s">
        <v>1426</v>
      </c>
      <c r="B35" s="244"/>
      <c r="C35" s="244"/>
      <c r="D35" s="244"/>
      <c r="E35" s="244"/>
      <c r="F35" s="244"/>
      <c r="G35" s="500" t="s">
        <v>1423</v>
      </c>
      <c r="H35" s="500"/>
      <c r="I35" s="331">
        <v>2356713</v>
      </c>
      <c r="J35" s="331"/>
      <c r="K35" s="331"/>
      <c r="L35" s="331">
        <v>329196</v>
      </c>
      <c r="M35" s="331"/>
      <c r="N35" s="331"/>
    </row>
    <row r="36" spans="1:14" x14ac:dyDescent="0.3">
      <c r="A36" s="244" t="s">
        <v>1424</v>
      </c>
      <c r="B36" s="244"/>
      <c r="C36" s="244"/>
      <c r="D36" s="244"/>
      <c r="E36" s="244"/>
      <c r="F36" s="244"/>
      <c r="G36" s="501" t="s">
        <v>1433</v>
      </c>
      <c r="H36" s="501"/>
      <c r="I36" s="331">
        <v>502219</v>
      </c>
      <c r="J36" s="331"/>
      <c r="K36" s="331"/>
      <c r="L36" s="331">
        <v>0</v>
      </c>
      <c r="M36" s="331"/>
      <c r="N36" s="331"/>
    </row>
    <row r="37" spans="1:14" x14ac:dyDescent="0.3">
      <c r="A37" s="244" t="s">
        <v>1424</v>
      </c>
      <c r="B37" s="244"/>
      <c r="C37" s="244"/>
      <c r="D37" s="244"/>
      <c r="E37" s="244"/>
      <c r="F37" s="244"/>
      <c r="G37" s="501" t="s">
        <v>1434</v>
      </c>
      <c r="H37" s="501"/>
      <c r="I37" s="331">
        <v>21372</v>
      </c>
      <c r="J37" s="331"/>
      <c r="K37" s="331"/>
      <c r="L37" s="331"/>
      <c r="M37" s="331"/>
      <c r="N37" s="331"/>
    </row>
    <row r="38" spans="1:14" x14ac:dyDescent="0.3">
      <c r="A38" s="244"/>
      <c r="B38" s="244"/>
      <c r="C38" s="244"/>
      <c r="D38" s="244"/>
      <c r="E38" s="244"/>
      <c r="F38" s="244"/>
      <c r="G38" s="498"/>
      <c r="H38" s="498"/>
      <c r="I38" s="331"/>
      <c r="J38" s="331"/>
      <c r="K38" s="331"/>
      <c r="L38" s="331"/>
      <c r="M38" s="331"/>
      <c r="N38" s="331"/>
    </row>
  </sheetData>
  <mergeCells count="116">
    <mergeCell ref="A28:N28"/>
    <mergeCell ref="A36:F36"/>
    <mergeCell ref="G36:H36"/>
    <mergeCell ref="I36:K36"/>
    <mergeCell ref="L36:N36"/>
    <mergeCell ref="A37:F37"/>
    <mergeCell ref="A34:F34"/>
    <mergeCell ref="G34:H34"/>
    <mergeCell ref="I34:K34"/>
    <mergeCell ref="L34:N34"/>
    <mergeCell ref="A35:F35"/>
    <mergeCell ref="G35:H35"/>
    <mergeCell ref="I35:K35"/>
    <mergeCell ref="I30:K30"/>
    <mergeCell ref="A38:F38"/>
    <mergeCell ref="G38:H38"/>
    <mergeCell ref="I38:K38"/>
    <mergeCell ref="L38:N38"/>
    <mergeCell ref="L35:N35"/>
    <mergeCell ref="L30:N30"/>
    <mergeCell ref="G31:H31"/>
    <mergeCell ref="I31:K31"/>
    <mergeCell ref="L31:N31"/>
    <mergeCell ref="G32:H32"/>
    <mergeCell ref="I32:K32"/>
    <mergeCell ref="G37:H37"/>
    <mergeCell ref="I37:K37"/>
    <mergeCell ref="L37:N37"/>
    <mergeCell ref="A32:F32"/>
    <mergeCell ref="A33:F33"/>
    <mergeCell ref="G33:H33"/>
    <mergeCell ref="I33:K33"/>
    <mergeCell ref="L33:N33"/>
    <mergeCell ref="A31:F31"/>
    <mergeCell ref="L32:N32"/>
    <mergeCell ref="A29:F30"/>
    <mergeCell ref="G29:H30"/>
    <mergeCell ref="I29:N29"/>
    <mergeCell ref="A9:F9"/>
    <mergeCell ref="A10:F10"/>
    <mergeCell ref="G14:H14"/>
    <mergeCell ref="I14:K14"/>
    <mergeCell ref="L14:N14"/>
    <mergeCell ref="L18:N18"/>
    <mergeCell ref="G19:H19"/>
    <mergeCell ref="I19:K19"/>
    <mergeCell ref="L19:N19"/>
    <mergeCell ref="A13:F13"/>
    <mergeCell ref="G13:H13"/>
    <mergeCell ref="I13:K13"/>
    <mergeCell ref="A17:F18"/>
    <mergeCell ref="G17:H18"/>
    <mergeCell ref="I17:N17"/>
    <mergeCell ref="I18:K18"/>
    <mergeCell ref="A16:N16"/>
    <mergeCell ref="A11:F11"/>
    <mergeCell ref="A12:F12"/>
    <mergeCell ref="L13:N13"/>
    <mergeCell ref="A14:F14"/>
    <mergeCell ref="L9:N9"/>
    <mergeCell ref="L10:N10"/>
    <mergeCell ref="L11:N11"/>
    <mergeCell ref="L12:N12"/>
    <mergeCell ref="G8:H8"/>
    <mergeCell ref="G9:H9"/>
    <mergeCell ref="G10:H10"/>
    <mergeCell ref="G11:H11"/>
    <mergeCell ref="G12:H12"/>
    <mergeCell ref="I9:K9"/>
    <mergeCell ref="I10:K10"/>
    <mergeCell ref="I11:K11"/>
    <mergeCell ref="I12:K12"/>
    <mergeCell ref="A22:F22"/>
    <mergeCell ref="A26:F26"/>
    <mergeCell ref="G22:H22"/>
    <mergeCell ref="I22:K22"/>
    <mergeCell ref="L22:N22"/>
    <mergeCell ref="A23:F23"/>
    <mergeCell ref="G23:H23"/>
    <mergeCell ref="I23:K23"/>
    <mergeCell ref="L23:N23"/>
    <mergeCell ref="A24:F24"/>
    <mergeCell ref="G24:H24"/>
    <mergeCell ref="I24:K24"/>
    <mergeCell ref="L24:N24"/>
    <mergeCell ref="A25:F25"/>
    <mergeCell ref="G25:H25"/>
    <mergeCell ref="I25:K25"/>
    <mergeCell ref="L25:N25"/>
    <mergeCell ref="G26:H26"/>
    <mergeCell ref="I26:K26"/>
    <mergeCell ref="L26:N26"/>
    <mergeCell ref="A20:F20"/>
    <mergeCell ref="A21:F21"/>
    <mergeCell ref="G21:H21"/>
    <mergeCell ref="I21:K21"/>
    <mergeCell ref="L21:N21"/>
    <mergeCell ref="A19:F19"/>
    <mergeCell ref="G20:H20"/>
    <mergeCell ref="I20:K20"/>
    <mergeCell ref="L20:N20"/>
    <mergeCell ref="A7:F7"/>
    <mergeCell ref="A8:F8"/>
    <mergeCell ref="A1:N1"/>
    <mergeCell ref="A4:N4"/>
    <mergeCell ref="A5:F6"/>
    <mergeCell ref="I5:N5"/>
    <mergeCell ref="G5:H6"/>
    <mergeCell ref="A3:N3"/>
    <mergeCell ref="L6:N6"/>
    <mergeCell ref="L7:N7"/>
    <mergeCell ref="I6:K6"/>
    <mergeCell ref="I7:K7"/>
    <mergeCell ref="G7:H7"/>
    <mergeCell ref="L8:N8"/>
    <mergeCell ref="I8:K8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15"/>
  <sheetViews>
    <sheetView topLeftCell="A7" workbookViewId="0">
      <selection activeCell="S14" sqref="S14"/>
    </sheetView>
  </sheetViews>
  <sheetFormatPr defaultColWidth="9.109375" defaultRowHeight="14.4" x14ac:dyDescent="0.3"/>
  <cols>
    <col min="1" max="5" width="6" style="68" customWidth="1"/>
    <col min="6" max="6" width="8.88671875" style="68" customWidth="1"/>
    <col min="7" max="13" width="6" style="68" customWidth="1"/>
    <col min="14" max="14" width="6.109375" style="68" customWidth="1"/>
    <col min="15" max="16384" width="9.109375" style="68"/>
  </cols>
  <sheetData>
    <row r="1" spans="1:14" ht="38.25" customHeight="1" x14ac:dyDescent="0.35">
      <c r="A1" s="503" t="s">
        <v>504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</row>
    <row r="2" spans="1:14" ht="15" customHeight="1" x14ac:dyDescent="0.3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39.9" customHeight="1" x14ac:dyDescent="0.3">
      <c r="A3" s="361" t="s">
        <v>1228</v>
      </c>
      <c r="B3" s="362"/>
      <c r="C3" s="362"/>
      <c r="D3" s="362"/>
      <c r="E3" s="362"/>
      <c r="F3" s="363"/>
      <c r="G3" s="247" t="s">
        <v>447</v>
      </c>
      <c r="H3" s="247"/>
      <c r="I3" s="247" t="s">
        <v>405</v>
      </c>
      <c r="J3" s="247"/>
      <c r="K3" s="247"/>
      <c r="L3" s="247" t="s">
        <v>430</v>
      </c>
      <c r="M3" s="247"/>
      <c r="N3" s="247"/>
    </row>
    <row r="4" spans="1:14" ht="50.1" customHeight="1" x14ac:dyDescent="0.3">
      <c r="A4" s="242" t="s">
        <v>1191</v>
      </c>
      <c r="B4" s="242"/>
      <c r="C4" s="242"/>
      <c r="D4" s="242"/>
      <c r="E4" s="242"/>
      <c r="F4" s="242"/>
      <c r="G4" s="502"/>
      <c r="H4" s="502"/>
      <c r="I4" s="496"/>
      <c r="J4" s="496"/>
      <c r="K4" s="496"/>
      <c r="L4" s="496"/>
      <c r="M4" s="496"/>
      <c r="N4" s="496"/>
    </row>
    <row r="5" spans="1:14" ht="35.1" customHeight="1" x14ac:dyDescent="0.3">
      <c r="A5" s="244" t="s">
        <v>1157</v>
      </c>
      <c r="B5" s="244"/>
      <c r="C5" s="244"/>
      <c r="D5" s="244"/>
      <c r="E5" s="244"/>
      <c r="F5" s="244"/>
      <c r="G5" s="498"/>
      <c r="H5" s="498"/>
      <c r="I5" s="331"/>
      <c r="J5" s="331"/>
      <c r="K5" s="331"/>
      <c r="L5" s="331"/>
      <c r="M5" s="331"/>
      <c r="N5" s="331"/>
    </row>
    <row r="6" spans="1:14" ht="24.9" customHeight="1" x14ac:dyDescent="0.3">
      <c r="A6" s="244" t="s">
        <v>38</v>
      </c>
      <c r="B6" s="244"/>
      <c r="C6" s="244"/>
      <c r="D6" s="244"/>
      <c r="E6" s="244"/>
      <c r="F6" s="244"/>
      <c r="G6" s="244"/>
      <c r="H6" s="244"/>
      <c r="I6" s="330"/>
      <c r="J6" s="330"/>
      <c r="K6" s="330"/>
      <c r="L6" s="331"/>
      <c r="M6" s="331"/>
      <c r="N6" s="331"/>
    </row>
    <row r="7" spans="1:14" ht="24.9" customHeight="1" x14ac:dyDescent="0.3">
      <c r="A7" s="244" t="s">
        <v>221</v>
      </c>
      <c r="B7" s="244"/>
      <c r="C7" s="244"/>
      <c r="D7" s="244"/>
      <c r="E7" s="244"/>
      <c r="F7" s="244"/>
      <c r="G7" s="498"/>
      <c r="H7" s="498"/>
      <c r="I7" s="331"/>
      <c r="J7" s="331"/>
      <c r="K7" s="331"/>
      <c r="L7" s="331"/>
      <c r="M7" s="331"/>
      <c r="N7" s="331"/>
    </row>
    <row r="8" spans="1:14" ht="24.9" customHeight="1" x14ac:dyDescent="0.3">
      <c r="A8" s="244" t="s">
        <v>449</v>
      </c>
      <c r="B8" s="244"/>
      <c r="C8" s="244"/>
      <c r="D8" s="244"/>
      <c r="E8" s="244"/>
      <c r="F8" s="244"/>
      <c r="G8" s="498"/>
      <c r="H8" s="498"/>
      <c r="I8" s="331"/>
      <c r="J8" s="331"/>
      <c r="K8" s="331"/>
      <c r="L8" s="331"/>
      <c r="M8" s="331"/>
      <c r="N8" s="331"/>
    </row>
    <row r="9" spans="1:14" ht="24.9" customHeight="1" x14ac:dyDescent="0.3">
      <c r="A9" s="244" t="s">
        <v>1071</v>
      </c>
      <c r="B9" s="244"/>
      <c r="C9" s="244"/>
      <c r="D9" s="244"/>
      <c r="E9" s="244"/>
      <c r="F9" s="244"/>
      <c r="G9" s="498"/>
      <c r="H9" s="498"/>
      <c r="I9" s="331"/>
      <c r="J9" s="331"/>
      <c r="K9" s="331"/>
      <c r="L9" s="331"/>
      <c r="M9" s="331"/>
      <c r="N9" s="331"/>
    </row>
    <row r="10" spans="1:14" ht="24.9" customHeight="1" x14ac:dyDescent="0.3">
      <c r="A10" s="244" t="s">
        <v>995</v>
      </c>
      <c r="B10" s="244"/>
      <c r="C10" s="244"/>
      <c r="D10" s="244"/>
      <c r="E10" s="244"/>
      <c r="F10" s="244"/>
      <c r="G10" s="498"/>
      <c r="H10" s="498"/>
      <c r="I10" s="331"/>
      <c r="J10" s="331"/>
      <c r="K10" s="331"/>
      <c r="L10" s="331"/>
      <c r="M10" s="331"/>
      <c r="N10" s="331"/>
    </row>
    <row r="11" spans="1:14" ht="24.9" customHeight="1" x14ac:dyDescent="0.3">
      <c r="A11" s="244" t="s">
        <v>982</v>
      </c>
      <c r="B11" s="244"/>
      <c r="C11" s="244"/>
      <c r="D11" s="244"/>
      <c r="E11" s="244"/>
      <c r="F11" s="244"/>
      <c r="G11" s="498"/>
      <c r="H11" s="498"/>
      <c r="I11" s="331"/>
      <c r="J11" s="331"/>
      <c r="K11" s="331"/>
      <c r="L11" s="331"/>
      <c r="M11" s="331"/>
      <c r="N11" s="331"/>
    </row>
    <row r="12" spans="1:14" ht="24.9" customHeight="1" x14ac:dyDescent="0.3">
      <c r="A12" s="244" t="s">
        <v>487</v>
      </c>
      <c r="B12" s="244"/>
      <c r="C12" s="244"/>
      <c r="D12" s="244"/>
      <c r="E12" s="244"/>
      <c r="F12" s="244"/>
      <c r="G12" s="498"/>
      <c r="H12" s="498"/>
      <c r="I12" s="331"/>
      <c r="J12" s="331"/>
      <c r="K12" s="331"/>
      <c r="L12" s="331"/>
      <c r="M12" s="331"/>
      <c r="N12" s="331"/>
    </row>
    <row r="13" spans="1:14" ht="24.9" customHeight="1" x14ac:dyDescent="0.3">
      <c r="A13" s="244" t="s">
        <v>732</v>
      </c>
      <c r="B13" s="244"/>
      <c r="C13" s="244"/>
      <c r="D13" s="244"/>
      <c r="E13" s="244"/>
      <c r="F13" s="244"/>
      <c r="G13" s="498"/>
      <c r="H13" s="498"/>
      <c r="I13" s="331"/>
      <c r="J13" s="331"/>
      <c r="K13" s="331"/>
      <c r="L13" s="331"/>
      <c r="M13" s="331"/>
      <c r="N13" s="331"/>
    </row>
    <row r="14" spans="1:14" ht="24.9" customHeight="1" x14ac:dyDescent="0.3">
      <c r="A14" s="244" t="s">
        <v>578</v>
      </c>
      <c r="B14" s="244"/>
      <c r="C14" s="244"/>
      <c r="D14" s="244"/>
      <c r="E14" s="244"/>
      <c r="F14" s="244"/>
      <c r="G14" s="498"/>
      <c r="H14" s="498"/>
      <c r="I14" s="331"/>
      <c r="J14" s="331"/>
      <c r="K14" s="331"/>
      <c r="L14" s="331"/>
      <c r="M14" s="331"/>
      <c r="N14" s="331"/>
    </row>
    <row r="15" spans="1:14" s="79" customFormat="1" x14ac:dyDescent="0.3">
      <c r="A15" s="79" t="s">
        <v>1427</v>
      </c>
    </row>
  </sheetData>
  <mergeCells count="49">
    <mergeCell ref="A13:F13"/>
    <mergeCell ref="G13:H13"/>
    <mergeCell ref="I13:K13"/>
    <mergeCell ref="L13:N13"/>
    <mergeCell ref="A14:F14"/>
    <mergeCell ref="G14:H14"/>
    <mergeCell ref="I14:K14"/>
    <mergeCell ref="L14:N14"/>
    <mergeCell ref="A11:F11"/>
    <mergeCell ref="G11:H11"/>
    <mergeCell ref="I11:K11"/>
    <mergeCell ref="L11:N11"/>
    <mergeCell ref="A12:F12"/>
    <mergeCell ref="G12:H12"/>
    <mergeCell ref="I12:K12"/>
    <mergeCell ref="L12:N12"/>
    <mergeCell ref="A9:F9"/>
    <mergeCell ref="G9:H9"/>
    <mergeCell ref="I9:K9"/>
    <mergeCell ref="L9:N9"/>
    <mergeCell ref="A10:F10"/>
    <mergeCell ref="G10:H10"/>
    <mergeCell ref="I10:K10"/>
    <mergeCell ref="L10:N10"/>
    <mergeCell ref="A7:F7"/>
    <mergeCell ref="G7:H7"/>
    <mergeCell ref="I7:K7"/>
    <mergeCell ref="L7:N7"/>
    <mergeCell ref="A8:F8"/>
    <mergeCell ref="G8:H8"/>
    <mergeCell ref="I8:K8"/>
    <mergeCell ref="L8:N8"/>
    <mergeCell ref="A5:F5"/>
    <mergeCell ref="G5:H5"/>
    <mergeCell ref="I5:K5"/>
    <mergeCell ref="L5:N5"/>
    <mergeCell ref="A6:F6"/>
    <mergeCell ref="G6:H6"/>
    <mergeCell ref="I6:K6"/>
    <mergeCell ref="L6:N6"/>
    <mergeCell ref="A4:F4"/>
    <mergeCell ref="G4:H4"/>
    <mergeCell ref="I4:K4"/>
    <mergeCell ref="L4:N4"/>
    <mergeCell ref="A1:N1"/>
    <mergeCell ref="I3:K3"/>
    <mergeCell ref="L3:N3"/>
    <mergeCell ref="G3:H3"/>
    <mergeCell ref="A3:F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63"/>
  <sheetViews>
    <sheetView topLeftCell="A47" zoomScaleNormal="100" workbookViewId="0">
      <selection activeCell="M14" sqref="M14:N14"/>
    </sheetView>
  </sheetViews>
  <sheetFormatPr defaultRowHeight="14.4" x14ac:dyDescent="0.3"/>
  <cols>
    <col min="1" max="3" width="6" customWidth="1"/>
    <col min="4" max="4" width="7.109375" customWidth="1"/>
    <col min="5" max="14" width="6" customWidth="1"/>
  </cols>
  <sheetData>
    <row r="1" spans="1:14" ht="18" x14ac:dyDescent="0.35">
      <c r="A1" s="400" t="s">
        <v>847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</row>
    <row r="2" spans="1:14" x14ac:dyDescent="0.3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5.6" x14ac:dyDescent="0.3">
      <c r="A3" s="167" t="s">
        <v>962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x14ac:dyDescent="0.3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14" ht="15" customHeight="1" x14ac:dyDescent="0.3">
      <c r="A5" s="283" t="s">
        <v>39</v>
      </c>
      <c r="B5" s="284"/>
      <c r="C5" s="284"/>
      <c r="D5" s="285"/>
      <c r="E5" s="272" t="s">
        <v>405</v>
      </c>
      <c r="F5" s="272"/>
      <c r="G5" s="272"/>
      <c r="H5" s="272"/>
      <c r="I5" s="272"/>
      <c r="J5" s="272"/>
      <c r="K5" s="272"/>
      <c r="L5" s="272"/>
      <c r="M5" s="272"/>
      <c r="N5" s="273"/>
    </row>
    <row r="6" spans="1:14" ht="45" customHeight="1" x14ac:dyDescent="0.3">
      <c r="A6" s="286"/>
      <c r="B6" s="287"/>
      <c r="C6" s="287"/>
      <c r="D6" s="288"/>
      <c r="E6" s="273" t="s">
        <v>400</v>
      </c>
      <c r="F6" s="228"/>
      <c r="G6" s="228" t="s">
        <v>197</v>
      </c>
      <c r="H6" s="228"/>
      <c r="I6" s="228" t="s">
        <v>484</v>
      </c>
      <c r="J6" s="228"/>
      <c r="K6" s="228" t="s">
        <v>990</v>
      </c>
      <c r="L6" s="228"/>
      <c r="M6" s="228" t="s">
        <v>1298</v>
      </c>
      <c r="N6" s="228"/>
    </row>
    <row r="7" spans="1:14" x14ac:dyDescent="0.3">
      <c r="A7" s="237" t="s">
        <v>1001</v>
      </c>
      <c r="B7" s="447"/>
      <c r="C7" s="447"/>
      <c r="D7" s="448"/>
      <c r="E7" s="229" t="s">
        <v>28</v>
      </c>
      <c r="F7" s="229"/>
      <c r="G7" s="229" t="s">
        <v>788</v>
      </c>
      <c r="H7" s="229"/>
      <c r="I7" s="229" t="s">
        <v>296</v>
      </c>
      <c r="J7" s="229"/>
      <c r="K7" s="229" t="s">
        <v>889</v>
      </c>
      <c r="L7" s="229"/>
      <c r="M7" s="229" t="s">
        <v>191</v>
      </c>
      <c r="N7" s="229"/>
    </row>
    <row r="8" spans="1:14" ht="24.9" customHeight="1" x14ac:dyDescent="0.3">
      <c r="A8" s="269" t="s">
        <v>1325</v>
      </c>
      <c r="B8" s="270"/>
      <c r="C8" s="270"/>
      <c r="D8" s="271"/>
      <c r="E8" s="275">
        <v>3800000</v>
      </c>
      <c r="F8" s="275"/>
      <c r="G8" s="275">
        <v>1000000</v>
      </c>
      <c r="H8" s="275"/>
      <c r="I8" s="275"/>
      <c r="J8" s="275"/>
      <c r="K8" s="275"/>
      <c r="L8" s="275"/>
      <c r="M8" s="275">
        <v>4800000</v>
      </c>
      <c r="N8" s="275"/>
    </row>
    <row r="9" spans="1:14" ht="24.9" customHeight="1" x14ac:dyDescent="0.3">
      <c r="A9" s="278" t="s">
        <v>291</v>
      </c>
      <c r="B9" s="504"/>
      <c r="C9" s="504"/>
      <c r="D9" s="505"/>
      <c r="E9" s="264"/>
      <c r="F9" s="264"/>
      <c r="G9" s="264"/>
      <c r="H9" s="264"/>
      <c r="I9" s="264"/>
      <c r="J9" s="264"/>
      <c r="K9" s="264"/>
      <c r="L9" s="264"/>
      <c r="M9" s="264"/>
      <c r="N9" s="264"/>
    </row>
    <row r="10" spans="1:14" ht="24.9" customHeight="1" x14ac:dyDescent="0.3">
      <c r="A10" s="278" t="s">
        <v>214</v>
      </c>
      <c r="B10" s="504"/>
      <c r="C10" s="504"/>
      <c r="D10" s="505"/>
      <c r="E10" s="264"/>
      <c r="F10" s="264"/>
      <c r="G10" s="264"/>
      <c r="H10" s="264"/>
      <c r="I10" s="264"/>
      <c r="J10" s="264"/>
      <c r="K10" s="264"/>
      <c r="L10" s="264"/>
      <c r="M10" s="264"/>
      <c r="N10" s="264"/>
    </row>
    <row r="11" spans="1:14" ht="24.9" customHeight="1" x14ac:dyDescent="0.3">
      <c r="A11" s="278" t="s">
        <v>231</v>
      </c>
      <c r="B11" s="504"/>
      <c r="C11" s="504"/>
      <c r="D11" s="505"/>
      <c r="E11" s="264"/>
      <c r="F11" s="264"/>
      <c r="G11" s="264"/>
      <c r="H11" s="264"/>
      <c r="I11" s="264"/>
      <c r="J11" s="264"/>
      <c r="K11" s="264"/>
      <c r="L11" s="264"/>
      <c r="M11" s="264"/>
      <c r="N11" s="264"/>
    </row>
    <row r="12" spans="1:14" ht="24.9" customHeight="1" x14ac:dyDescent="0.3">
      <c r="A12" s="278" t="s">
        <v>1192</v>
      </c>
      <c r="B12" s="504"/>
      <c r="C12" s="504"/>
      <c r="D12" s="505"/>
      <c r="E12" s="262"/>
      <c r="F12" s="262"/>
      <c r="G12" s="262"/>
      <c r="H12" s="262"/>
      <c r="I12" s="262"/>
      <c r="J12" s="262"/>
      <c r="K12" s="262"/>
      <c r="L12" s="262"/>
      <c r="M12" s="262"/>
      <c r="N12" s="262"/>
    </row>
    <row r="13" spans="1:14" s="68" customFormat="1" ht="24.9" customHeight="1" x14ac:dyDescent="0.3">
      <c r="A13" s="278" t="s">
        <v>590</v>
      </c>
      <c r="B13" s="504"/>
      <c r="C13" s="504"/>
      <c r="D13" s="505"/>
      <c r="E13" s="264">
        <v>1000000</v>
      </c>
      <c r="F13" s="264"/>
      <c r="G13" s="264"/>
      <c r="H13" s="264"/>
      <c r="I13" s="264">
        <v>1000000</v>
      </c>
      <c r="J13" s="264"/>
      <c r="K13" s="264"/>
      <c r="L13" s="264"/>
      <c r="M13" s="264"/>
      <c r="N13" s="264"/>
    </row>
    <row r="14" spans="1:14" s="68" customFormat="1" ht="35.1" customHeight="1" x14ac:dyDescent="0.3">
      <c r="A14" s="278" t="s">
        <v>870</v>
      </c>
      <c r="B14" s="504"/>
      <c r="C14" s="504"/>
      <c r="D14" s="505"/>
      <c r="E14" s="264"/>
      <c r="F14" s="264"/>
      <c r="G14" s="264"/>
      <c r="H14" s="264"/>
      <c r="I14" s="264"/>
      <c r="J14" s="264"/>
      <c r="K14" s="264"/>
      <c r="L14" s="264"/>
      <c r="M14" s="264"/>
      <c r="N14" s="264"/>
    </row>
    <row r="15" spans="1:14" s="68" customFormat="1" ht="35.1" customHeight="1" x14ac:dyDescent="0.3">
      <c r="A15" s="278" t="s">
        <v>182</v>
      </c>
      <c r="B15" s="504"/>
      <c r="C15" s="504"/>
      <c r="D15" s="505"/>
      <c r="E15" s="262"/>
      <c r="F15" s="262"/>
      <c r="G15" s="262"/>
      <c r="H15" s="262"/>
      <c r="I15" s="262"/>
      <c r="J15" s="262"/>
      <c r="K15" s="262"/>
      <c r="L15" s="262"/>
      <c r="M15" s="262"/>
      <c r="N15" s="262"/>
    </row>
    <row r="16" spans="1:14" s="68" customFormat="1" ht="35.1" customHeight="1" x14ac:dyDescent="0.3">
      <c r="A16" s="278" t="s">
        <v>901</v>
      </c>
      <c r="B16" s="504"/>
      <c r="C16" s="504"/>
      <c r="D16" s="505"/>
      <c r="E16" s="264"/>
      <c r="F16" s="264"/>
      <c r="G16" s="264"/>
      <c r="H16" s="264"/>
      <c r="I16" s="264"/>
      <c r="J16" s="264"/>
      <c r="K16" s="264"/>
      <c r="L16" s="264"/>
      <c r="M16" s="264"/>
      <c r="N16" s="264"/>
    </row>
    <row r="17" spans="1:14" s="68" customFormat="1" ht="35.1" customHeight="1" x14ac:dyDescent="0.3">
      <c r="A17" s="278" t="s">
        <v>234</v>
      </c>
      <c r="B17" s="504"/>
      <c r="C17" s="504"/>
      <c r="D17" s="505"/>
      <c r="E17" s="262"/>
      <c r="F17" s="262"/>
      <c r="G17" s="262"/>
      <c r="H17" s="262"/>
      <c r="I17" s="262"/>
      <c r="J17" s="262"/>
      <c r="K17" s="262"/>
      <c r="L17" s="262"/>
      <c r="M17" s="262"/>
      <c r="N17" s="262"/>
    </row>
    <row r="18" spans="1:14" ht="35.1" customHeight="1" x14ac:dyDescent="0.3">
      <c r="A18" s="278" t="s">
        <v>870</v>
      </c>
      <c r="B18" s="504"/>
      <c r="C18" s="504"/>
      <c r="D18" s="505"/>
      <c r="E18" s="264"/>
      <c r="F18" s="264"/>
      <c r="G18" s="264"/>
      <c r="H18" s="264"/>
      <c r="I18" s="264"/>
      <c r="J18" s="264"/>
      <c r="K18" s="264"/>
      <c r="L18" s="264"/>
      <c r="M18" s="264"/>
      <c r="N18" s="264"/>
    </row>
    <row r="19" spans="1:14" ht="24.9" customHeight="1" x14ac:dyDescent="0.3">
      <c r="A19" s="278" t="s">
        <v>743</v>
      </c>
      <c r="B19" s="504"/>
      <c r="C19" s="504"/>
      <c r="D19" s="505"/>
      <c r="E19" s="264"/>
      <c r="F19" s="264"/>
      <c r="G19" s="264"/>
      <c r="H19" s="264"/>
      <c r="I19" s="264"/>
      <c r="J19" s="264"/>
      <c r="K19" s="264"/>
      <c r="L19" s="264"/>
      <c r="M19" s="264"/>
      <c r="N19" s="264"/>
    </row>
    <row r="20" spans="1:14" ht="24.9" customHeight="1" x14ac:dyDescent="0.3">
      <c r="A20" s="278" t="s">
        <v>1067</v>
      </c>
      <c r="B20" s="504"/>
      <c r="C20" s="504"/>
      <c r="D20" s="505"/>
      <c r="E20" s="264"/>
      <c r="F20" s="264"/>
      <c r="G20" s="264"/>
      <c r="H20" s="264"/>
      <c r="I20" s="264"/>
      <c r="J20" s="264"/>
      <c r="K20" s="264"/>
      <c r="L20" s="264"/>
      <c r="M20" s="264"/>
      <c r="N20" s="264"/>
    </row>
    <row r="21" spans="1:14" ht="24.9" customHeight="1" x14ac:dyDescent="0.3">
      <c r="A21" s="278" t="s">
        <v>382</v>
      </c>
      <c r="B21" s="504"/>
      <c r="C21" s="504"/>
      <c r="D21" s="505"/>
      <c r="E21" s="262"/>
      <c r="F21" s="262"/>
      <c r="G21" s="262"/>
      <c r="H21" s="262"/>
      <c r="I21" s="262"/>
      <c r="J21" s="262"/>
      <c r="K21" s="262"/>
      <c r="L21" s="262"/>
      <c r="M21" s="262"/>
      <c r="N21" s="262"/>
    </row>
    <row r="22" spans="1:14" ht="24.9" customHeight="1" x14ac:dyDescent="0.3">
      <c r="A22" s="278" t="s">
        <v>739</v>
      </c>
      <c r="B22" s="504"/>
      <c r="C22" s="504"/>
      <c r="D22" s="505"/>
      <c r="E22" s="264">
        <v>-2157618</v>
      </c>
      <c r="F22" s="264"/>
      <c r="G22" s="264">
        <v>-2467071</v>
      </c>
      <c r="H22" s="264"/>
      <c r="I22" s="264"/>
      <c r="J22" s="264"/>
      <c r="K22" s="264"/>
      <c r="L22" s="264"/>
      <c r="M22" s="264">
        <v>-4624689</v>
      </c>
      <c r="N22" s="264"/>
    </row>
    <row r="23" spans="1:14" ht="24.9" customHeight="1" x14ac:dyDescent="0.3">
      <c r="A23" s="278" t="s">
        <v>386</v>
      </c>
      <c r="B23" s="504"/>
      <c r="C23" s="504"/>
      <c r="D23" s="505"/>
      <c r="E23" s="264">
        <v>-2467071</v>
      </c>
      <c r="F23" s="264"/>
      <c r="G23" s="264">
        <v>-1627377</v>
      </c>
      <c r="H23" s="264"/>
      <c r="I23" s="264"/>
      <c r="J23" s="264"/>
      <c r="K23" s="264">
        <v>-2467071</v>
      </c>
      <c r="L23" s="264"/>
      <c r="M23" s="264">
        <v>-1627377</v>
      </c>
      <c r="N23" s="264"/>
    </row>
    <row r="24" spans="1:14" ht="24.9" customHeight="1" x14ac:dyDescent="0.3">
      <c r="A24" s="278" t="s">
        <v>1106</v>
      </c>
      <c r="B24" s="504"/>
      <c r="C24" s="504"/>
      <c r="D24" s="505"/>
      <c r="E24" s="264"/>
      <c r="F24" s="264"/>
      <c r="G24" s="264"/>
      <c r="H24" s="264"/>
      <c r="I24" s="264"/>
      <c r="J24" s="264"/>
      <c r="K24" s="264"/>
      <c r="L24" s="264"/>
      <c r="M24" s="264"/>
      <c r="N24" s="264"/>
    </row>
    <row r="25" spans="1:14" ht="24.9" customHeight="1" x14ac:dyDescent="0.3">
      <c r="A25" s="278" t="s">
        <v>863</v>
      </c>
      <c r="B25" s="504"/>
      <c r="C25" s="504"/>
      <c r="D25" s="505"/>
      <c r="E25" s="262"/>
      <c r="F25" s="262"/>
      <c r="G25" s="262"/>
      <c r="H25" s="262"/>
      <c r="I25" s="262"/>
      <c r="J25" s="262"/>
      <c r="K25" s="262"/>
      <c r="L25" s="262"/>
      <c r="M25" s="262"/>
      <c r="N25" s="262"/>
    </row>
    <row r="26" spans="1:14" s="68" customFormat="1" ht="24.9" customHeight="1" x14ac:dyDescent="0.3">
      <c r="A26" s="278" t="s">
        <v>908</v>
      </c>
      <c r="B26" s="504"/>
      <c r="C26" s="504"/>
      <c r="D26" s="505"/>
      <c r="E26" s="262"/>
      <c r="F26" s="262"/>
      <c r="G26" s="262"/>
      <c r="H26" s="262"/>
      <c r="I26" s="262"/>
      <c r="J26" s="262"/>
      <c r="K26" s="262"/>
      <c r="L26" s="262"/>
      <c r="M26" s="262"/>
      <c r="N26" s="262"/>
    </row>
    <row r="34" spans="1:14" ht="15.6" x14ac:dyDescent="0.3">
      <c r="A34" s="167" t="s">
        <v>962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</row>
    <row r="35" spans="1:14" x14ac:dyDescent="0.3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x14ac:dyDescent="0.3">
      <c r="A36" s="283" t="s">
        <v>39</v>
      </c>
      <c r="B36" s="284"/>
      <c r="C36" s="284"/>
      <c r="D36" s="285"/>
      <c r="E36" s="272" t="s">
        <v>430</v>
      </c>
      <c r="F36" s="272"/>
      <c r="G36" s="272"/>
      <c r="H36" s="272"/>
      <c r="I36" s="272"/>
      <c r="J36" s="272"/>
      <c r="K36" s="272"/>
      <c r="L36" s="272"/>
      <c r="M36" s="272"/>
      <c r="N36" s="273"/>
    </row>
    <row r="37" spans="1:14" ht="45" customHeight="1" x14ac:dyDescent="0.3">
      <c r="A37" s="286"/>
      <c r="B37" s="287"/>
      <c r="C37" s="287"/>
      <c r="D37" s="288"/>
      <c r="E37" s="273" t="s">
        <v>400</v>
      </c>
      <c r="F37" s="228"/>
      <c r="G37" s="228" t="s">
        <v>197</v>
      </c>
      <c r="H37" s="228"/>
      <c r="I37" s="228" t="s">
        <v>484</v>
      </c>
      <c r="J37" s="228"/>
      <c r="K37" s="228" t="s">
        <v>990</v>
      </c>
      <c r="L37" s="228"/>
      <c r="M37" s="228" t="s">
        <v>1298</v>
      </c>
      <c r="N37" s="228"/>
    </row>
    <row r="38" spans="1:14" x14ac:dyDescent="0.3">
      <c r="A38" s="237" t="s">
        <v>1001</v>
      </c>
      <c r="B38" s="447"/>
      <c r="C38" s="447"/>
      <c r="D38" s="448"/>
      <c r="E38" s="229" t="s">
        <v>28</v>
      </c>
      <c r="F38" s="229"/>
      <c r="G38" s="229" t="s">
        <v>788</v>
      </c>
      <c r="H38" s="229"/>
      <c r="I38" s="229" t="s">
        <v>296</v>
      </c>
      <c r="J38" s="229"/>
      <c r="K38" s="229" t="s">
        <v>889</v>
      </c>
      <c r="L38" s="229"/>
      <c r="M38" s="229" t="s">
        <v>191</v>
      </c>
      <c r="N38" s="229"/>
    </row>
    <row r="39" spans="1:14" ht="24.9" customHeight="1" x14ac:dyDescent="0.3">
      <c r="A39" s="269" t="s">
        <v>1325</v>
      </c>
      <c r="B39" s="270"/>
      <c r="C39" s="270"/>
      <c r="D39" s="271"/>
      <c r="E39" s="275">
        <v>2300000</v>
      </c>
      <c r="F39" s="275"/>
      <c r="G39" s="275">
        <v>1500000</v>
      </c>
      <c r="H39" s="275"/>
      <c r="I39" s="275"/>
      <c r="J39" s="275"/>
      <c r="K39" s="275"/>
      <c r="L39" s="275"/>
      <c r="M39" s="275">
        <v>3800000</v>
      </c>
      <c r="N39" s="275"/>
    </row>
    <row r="40" spans="1:14" ht="24.9" customHeight="1" x14ac:dyDescent="0.3">
      <c r="A40" s="278" t="s">
        <v>291</v>
      </c>
      <c r="B40" s="504"/>
      <c r="C40" s="504"/>
      <c r="D40" s="505"/>
      <c r="E40" s="264"/>
      <c r="F40" s="264"/>
      <c r="G40" s="264"/>
      <c r="H40" s="264"/>
      <c r="I40" s="264"/>
      <c r="J40" s="264"/>
      <c r="K40" s="264"/>
      <c r="L40" s="264"/>
      <c r="M40" s="264"/>
      <c r="N40" s="264"/>
    </row>
    <row r="41" spans="1:14" ht="24.9" customHeight="1" x14ac:dyDescent="0.3">
      <c r="A41" s="278" t="s">
        <v>214</v>
      </c>
      <c r="B41" s="504"/>
      <c r="C41" s="504"/>
      <c r="D41" s="505"/>
      <c r="E41" s="264"/>
      <c r="F41" s="264"/>
      <c r="G41" s="264"/>
      <c r="H41" s="264"/>
      <c r="I41" s="264"/>
      <c r="J41" s="264"/>
      <c r="K41" s="264"/>
      <c r="L41" s="264"/>
      <c r="M41" s="264"/>
      <c r="N41" s="264"/>
    </row>
    <row r="42" spans="1:14" ht="24.9" customHeight="1" x14ac:dyDescent="0.3">
      <c r="A42" s="278" t="s">
        <v>231</v>
      </c>
      <c r="B42" s="504"/>
      <c r="C42" s="504"/>
      <c r="D42" s="505"/>
      <c r="E42" s="264"/>
      <c r="F42" s="264"/>
      <c r="G42" s="264"/>
      <c r="H42" s="264"/>
      <c r="I42" s="264"/>
      <c r="J42" s="264"/>
      <c r="K42" s="264"/>
      <c r="L42" s="264"/>
      <c r="M42" s="264"/>
      <c r="N42" s="264"/>
    </row>
    <row r="43" spans="1:14" ht="24.9" customHeight="1" x14ac:dyDescent="0.3">
      <c r="A43" s="278" t="s">
        <v>1192</v>
      </c>
      <c r="B43" s="504"/>
      <c r="C43" s="504"/>
      <c r="D43" s="505"/>
      <c r="E43" s="262"/>
      <c r="F43" s="262"/>
      <c r="G43" s="262"/>
      <c r="H43" s="262"/>
      <c r="I43" s="262"/>
      <c r="J43" s="262"/>
      <c r="K43" s="262"/>
      <c r="L43" s="262"/>
      <c r="M43" s="262"/>
      <c r="N43" s="262"/>
    </row>
    <row r="44" spans="1:14" ht="24.9" customHeight="1" x14ac:dyDescent="0.3">
      <c r="A44" s="278" t="s">
        <v>590</v>
      </c>
      <c r="B44" s="504"/>
      <c r="C44" s="504"/>
      <c r="D44" s="505"/>
      <c r="E44" s="264"/>
      <c r="F44" s="264"/>
      <c r="G44" s="264">
        <v>1000000</v>
      </c>
      <c r="H44" s="264"/>
      <c r="I44" s="264"/>
      <c r="J44" s="264"/>
      <c r="K44" s="264"/>
      <c r="L44" s="264"/>
      <c r="M44" s="264">
        <v>1000000</v>
      </c>
      <c r="N44" s="264"/>
    </row>
    <row r="45" spans="1:14" ht="35.1" customHeight="1" x14ac:dyDescent="0.3">
      <c r="A45" s="278" t="s">
        <v>870</v>
      </c>
      <c r="B45" s="504"/>
      <c r="C45" s="504"/>
      <c r="D45" s="505"/>
      <c r="E45" s="264"/>
      <c r="F45" s="264"/>
      <c r="G45" s="264"/>
      <c r="H45" s="264"/>
      <c r="I45" s="264"/>
      <c r="J45" s="264"/>
      <c r="K45" s="264"/>
      <c r="L45" s="264"/>
      <c r="M45" s="264"/>
      <c r="N45" s="264"/>
    </row>
    <row r="46" spans="1:14" ht="35.1" customHeight="1" x14ac:dyDescent="0.3">
      <c r="A46" s="278" t="s">
        <v>182</v>
      </c>
      <c r="B46" s="504"/>
      <c r="C46" s="504"/>
      <c r="D46" s="505"/>
      <c r="E46" s="262"/>
      <c r="F46" s="262"/>
      <c r="G46" s="262"/>
      <c r="H46" s="262"/>
      <c r="I46" s="262"/>
      <c r="J46" s="262"/>
      <c r="K46" s="262"/>
      <c r="L46" s="262"/>
      <c r="M46" s="262"/>
      <c r="N46" s="262"/>
    </row>
    <row r="47" spans="1:14" ht="35.1" customHeight="1" x14ac:dyDescent="0.3">
      <c r="A47" s="278" t="s">
        <v>901</v>
      </c>
      <c r="B47" s="504"/>
      <c r="C47" s="504"/>
      <c r="D47" s="505"/>
      <c r="E47" s="264"/>
      <c r="F47" s="264"/>
      <c r="G47" s="264"/>
      <c r="H47" s="264"/>
      <c r="I47" s="264"/>
      <c r="J47" s="264"/>
      <c r="K47" s="264"/>
      <c r="L47" s="264"/>
      <c r="M47" s="264"/>
      <c r="N47" s="264"/>
    </row>
    <row r="48" spans="1:14" ht="35.1" customHeight="1" x14ac:dyDescent="0.3">
      <c r="A48" s="278" t="s">
        <v>234</v>
      </c>
      <c r="B48" s="504"/>
      <c r="C48" s="504"/>
      <c r="D48" s="505"/>
      <c r="E48" s="262"/>
      <c r="F48" s="262"/>
      <c r="G48" s="262"/>
      <c r="H48" s="262"/>
      <c r="I48" s="262"/>
      <c r="J48" s="262"/>
      <c r="K48" s="262"/>
      <c r="L48" s="262"/>
      <c r="M48" s="262"/>
      <c r="N48" s="262"/>
    </row>
    <row r="49" spans="1:14" ht="35.1" customHeight="1" x14ac:dyDescent="0.3">
      <c r="A49" s="278" t="s">
        <v>870</v>
      </c>
      <c r="B49" s="504"/>
      <c r="C49" s="504"/>
      <c r="D49" s="505"/>
      <c r="E49" s="264"/>
      <c r="F49" s="264"/>
      <c r="G49" s="264"/>
      <c r="H49" s="264"/>
      <c r="I49" s="264"/>
      <c r="J49" s="264"/>
      <c r="K49" s="264"/>
      <c r="L49" s="264"/>
      <c r="M49" s="264"/>
      <c r="N49" s="264"/>
    </row>
    <row r="50" spans="1:14" ht="24.9" customHeight="1" x14ac:dyDescent="0.3">
      <c r="A50" s="278" t="s">
        <v>743</v>
      </c>
      <c r="B50" s="504"/>
      <c r="C50" s="504"/>
      <c r="D50" s="505"/>
      <c r="E50" s="264"/>
      <c r="F50" s="264"/>
      <c r="G50" s="264"/>
      <c r="H50" s="264"/>
      <c r="I50" s="264"/>
      <c r="J50" s="264"/>
      <c r="K50" s="264"/>
      <c r="L50" s="264"/>
      <c r="M50" s="264"/>
      <c r="N50" s="264"/>
    </row>
    <row r="51" spans="1:14" ht="24.9" customHeight="1" x14ac:dyDescent="0.3">
      <c r="A51" s="278" t="s">
        <v>1067</v>
      </c>
      <c r="B51" s="504"/>
      <c r="C51" s="504"/>
      <c r="D51" s="505"/>
      <c r="E51" s="264"/>
      <c r="F51" s="264"/>
      <c r="G51" s="264"/>
      <c r="H51" s="264"/>
      <c r="I51" s="264"/>
      <c r="J51" s="264"/>
      <c r="K51" s="264"/>
      <c r="L51" s="264"/>
      <c r="M51" s="264"/>
      <c r="N51" s="264"/>
    </row>
    <row r="52" spans="1:14" ht="24.9" customHeight="1" x14ac:dyDescent="0.3">
      <c r="A52" s="278" t="s">
        <v>382</v>
      </c>
      <c r="B52" s="504"/>
      <c r="C52" s="504"/>
      <c r="D52" s="505"/>
      <c r="E52" s="262"/>
      <c r="F52" s="262"/>
      <c r="G52" s="262"/>
      <c r="H52" s="262"/>
      <c r="I52" s="262"/>
      <c r="J52" s="262"/>
      <c r="K52" s="262"/>
      <c r="L52" s="262"/>
      <c r="M52" s="262"/>
      <c r="N52" s="262"/>
    </row>
    <row r="53" spans="1:14" ht="24.9" customHeight="1" x14ac:dyDescent="0.3">
      <c r="A53" s="278" t="s">
        <v>739</v>
      </c>
      <c r="B53" s="504"/>
      <c r="C53" s="504"/>
      <c r="D53" s="505"/>
      <c r="E53" s="264">
        <v>-1039215</v>
      </c>
      <c r="F53" s="264"/>
      <c r="G53" s="264">
        <v>1118403</v>
      </c>
      <c r="H53" s="264"/>
      <c r="I53" s="264"/>
      <c r="J53" s="264"/>
      <c r="K53" s="264"/>
      <c r="L53" s="264"/>
      <c r="M53" s="264">
        <v>-2157618</v>
      </c>
      <c r="N53" s="264"/>
    </row>
    <row r="54" spans="1:14" ht="24.9" customHeight="1" x14ac:dyDescent="0.3">
      <c r="A54" s="278" t="s">
        <v>386</v>
      </c>
      <c r="B54" s="504"/>
      <c r="C54" s="504"/>
      <c r="D54" s="505"/>
      <c r="E54" s="264">
        <v>-1118403</v>
      </c>
      <c r="F54" s="264"/>
      <c r="G54" s="264">
        <v>-2467071</v>
      </c>
      <c r="H54" s="264"/>
      <c r="I54" s="264"/>
      <c r="J54" s="264"/>
      <c r="K54" s="264">
        <v>1118403</v>
      </c>
      <c r="L54" s="264"/>
      <c r="M54" s="264">
        <v>-2467071</v>
      </c>
      <c r="N54" s="264"/>
    </row>
    <row r="55" spans="1:14" ht="24.9" customHeight="1" x14ac:dyDescent="0.3">
      <c r="A55" s="278" t="s">
        <v>1106</v>
      </c>
      <c r="B55" s="504"/>
      <c r="C55" s="504"/>
      <c r="D55" s="505"/>
      <c r="E55" s="264"/>
      <c r="F55" s="264"/>
      <c r="G55" s="264"/>
      <c r="H55" s="264"/>
      <c r="I55" s="264"/>
      <c r="J55" s="264"/>
      <c r="K55" s="264"/>
      <c r="L55" s="264"/>
      <c r="M55" s="264"/>
      <c r="N55" s="264"/>
    </row>
    <row r="56" spans="1:14" ht="24.9" customHeight="1" x14ac:dyDescent="0.3">
      <c r="A56" s="278" t="s">
        <v>863</v>
      </c>
      <c r="B56" s="504"/>
      <c r="C56" s="504"/>
      <c r="D56" s="505"/>
      <c r="E56" s="262"/>
      <c r="F56" s="262"/>
      <c r="G56" s="262"/>
      <c r="H56" s="262"/>
      <c r="I56" s="262"/>
      <c r="J56" s="262"/>
      <c r="K56" s="262"/>
      <c r="L56" s="262"/>
      <c r="M56" s="262"/>
      <c r="N56" s="262"/>
    </row>
    <row r="57" spans="1:14" ht="24.9" customHeight="1" x14ac:dyDescent="0.3">
      <c r="A57" s="278" t="s">
        <v>908</v>
      </c>
      <c r="B57" s="504"/>
      <c r="C57" s="504"/>
      <c r="D57" s="505"/>
      <c r="E57" s="262"/>
      <c r="F57" s="262"/>
      <c r="G57" s="262"/>
      <c r="H57" s="262"/>
      <c r="I57" s="262"/>
      <c r="J57" s="262"/>
      <c r="K57" s="262"/>
      <c r="L57" s="262"/>
      <c r="M57" s="262"/>
      <c r="N57" s="262"/>
    </row>
    <row r="62" spans="1:14" x14ac:dyDescent="0.3">
      <c r="A62" t="s">
        <v>1010</v>
      </c>
      <c r="I62" t="s">
        <v>1076</v>
      </c>
    </row>
    <row r="63" spans="1:14" x14ac:dyDescent="0.3">
      <c r="J63" t="s">
        <v>1296</v>
      </c>
    </row>
  </sheetData>
  <mergeCells count="257">
    <mergeCell ref="A57:D57"/>
    <mergeCell ref="E57:F57"/>
    <mergeCell ref="G57:H57"/>
    <mergeCell ref="I57:J57"/>
    <mergeCell ref="K57:L57"/>
    <mergeCell ref="M57:N57"/>
    <mergeCell ref="A55:D55"/>
    <mergeCell ref="E55:F55"/>
    <mergeCell ref="G55:H55"/>
    <mergeCell ref="I55:J55"/>
    <mergeCell ref="K55:L55"/>
    <mergeCell ref="M55:N55"/>
    <mergeCell ref="A56:D56"/>
    <mergeCell ref="E56:F56"/>
    <mergeCell ref="G56:H56"/>
    <mergeCell ref="I56:J56"/>
    <mergeCell ref="K56:L56"/>
    <mergeCell ref="M56:N56"/>
    <mergeCell ref="A53:D53"/>
    <mergeCell ref="E53:F53"/>
    <mergeCell ref="G53:H53"/>
    <mergeCell ref="I53:J53"/>
    <mergeCell ref="K53:L53"/>
    <mergeCell ref="M53:N53"/>
    <mergeCell ref="A54:D54"/>
    <mergeCell ref="E54:F54"/>
    <mergeCell ref="G54:H54"/>
    <mergeCell ref="I54:J54"/>
    <mergeCell ref="K54:L54"/>
    <mergeCell ref="M54:N54"/>
    <mergeCell ref="A51:D51"/>
    <mergeCell ref="E51:F51"/>
    <mergeCell ref="G51:H51"/>
    <mergeCell ref="I51:J51"/>
    <mergeCell ref="K51:L51"/>
    <mergeCell ref="M51:N51"/>
    <mergeCell ref="A52:D52"/>
    <mergeCell ref="E52:F52"/>
    <mergeCell ref="G52:H52"/>
    <mergeCell ref="I52:J52"/>
    <mergeCell ref="K52:L52"/>
    <mergeCell ref="M52:N52"/>
    <mergeCell ref="A49:D49"/>
    <mergeCell ref="E49:F49"/>
    <mergeCell ref="G49:H49"/>
    <mergeCell ref="I49:J49"/>
    <mergeCell ref="K49:L49"/>
    <mergeCell ref="M49:N49"/>
    <mergeCell ref="A50:D50"/>
    <mergeCell ref="E50:F50"/>
    <mergeCell ref="G50:H50"/>
    <mergeCell ref="I50:J50"/>
    <mergeCell ref="K50:L50"/>
    <mergeCell ref="M50:N50"/>
    <mergeCell ref="A47:D47"/>
    <mergeCell ref="E47:F47"/>
    <mergeCell ref="G47:H47"/>
    <mergeCell ref="I47:J47"/>
    <mergeCell ref="K47:L47"/>
    <mergeCell ref="M47:N47"/>
    <mergeCell ref="A48:D48"/>
    <mergeCell ref="E48:F48"/>
    <mergeCell ref="G48:H48"/>
    <mergeCell ref="I48:J48"/>
    <mergeCell ref="K48:L48"/>
    <mergeCell ref="M48:N48"/>
    <mergeCell ref="A45:D45"/>
    <mergeCell ref="E45:F45"/>
    <mergeCell ref="G45:H45"/>
    <mergeCell ref="I45:J45"/>
    <mergeCell ref="K45:L45"/>
    <mergeCell ref="M45:N45"/>
    <mergeCell ref="A46:D46"/>
    <mergeCell ref="E46:F46"/>
    <mergeCell ref="G46:H46"/>
    <mergeCell ref="I46:J46"/>
    <mergeCell ref="K46:L46"/>
    <mergeCell ref="M46:N46"/>
    <mergeCell ref="A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1:D41"/>
    <mergeCell ref="E41:F41"/>
    <mergeCell ref="G41:H41"/>
    <mergeCell ref="I41:J41"/>
    <mergeCell ref="K41:L41"/>
    <mergeCell ref="M41:N41"/>
    <mergeCell ref="A42:D42"/>
    <mergeCell ref="E42:F42"/>
    <mergeCell ref="G42:H42"/>
    <mergeCell ref="I42:J42"/>
    <mergeCell ref="K42:L42"/>
    <mergeCell ref="M42:N42"/>
    <mergeCell ref="A39:D39"/>
    <mergeCell ref="E39:F39"/>
    <mergeCell ref="G39:H39"/>
    <mergeCell ref="I39:J39"/>
    <mergeCell ref="K39:L39"/>
    <mergeCell ref="M39:N39"/>
    <mergeCell ref="A40:D40"/>
    <mergeCell ref="E40:F40"/>
    <mergeCell ref="G40:H40"/>
    <mergeCell ref="I40:J40"/>
    <mergeCell ref="K40:L40"/>
    <mergeCell ref="M40:N40"/>
    <mergeCell ref="A25:D25"/>
    <mergeCell ref="E25:F25"/>
    <mergeCell ref="G25:H25"/>
    <mergeCell ref="I25:J25"/>
    <mergeCell ref="K25:L25"/>
    <mergeCell ref="M25:N25"/>
    <mergeCell ref="K37:L37"/>
    <mergeCell ref="M37:N37"/>
    <mergeCell ref="A38:D38"/>
    <mergeCell ref="E38:F38"/>
    <mergeCell ref="G38:H38"/>
    <mergeCell ref="I38:J38"/>
    <mergeCell ref="K38:L38"/>
    <mergeCell ref="M38:N38"/>
    <mergeCell ref="A26:D26"/>
    <mergeCell ref="E26:F26"/>
    <mergeCell ref="G26:H26"/>
    <mergeCell ref="I26:J26"/>
    <mergeCell ref="K26:L26"/>
    <mergeCell ref="M26:N26"/>
    <mergeCell ref="A36:D37"/>
    <mergeCell ref="E36:N36"/>
    <mergeCell ref="E37:F37"/>
    <mergeCell ref="G37:H37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M13:N13"/>
    <mergeCell ref="A14:D14"/>
    <mergeCell ref="E14:F14"/>
    <mergeCell ref="G14:H14"/>
    <mergeCell ref="I14:J14"/>
    <mergeCell ref="K14:L14"/>
    <mergeCell ref="M14:N14"/>
    <mergeCell ref="I16:J16"/>
    <mergeCell ref="K16:L16"/>
    <mergeCell ref="M16:N16"/>
    <mergeCell ref="A15:D15"/>
    <mergeCell ref="E15:F15"/>
    <mergeCell ref="G15:H15"/>
    <mergeCell ref="I15:J15"/>
    <mergeCell ref="K15:L15"/>
    <mergeCell ref="A13:D13"/>
    <mergeCell ref="E13:F13"/>
    <mergeCell ref="G13:H13"/>
    <mergeCell ref="I13:J13"/>
    <mergeCell ref="K13:L13"/>
    <mergeCell ref="M15:N15"/>
    <mergeCell ref="A16:D16"/>
    <mergeCell ref="E16:F16"/>
    <mergeCell ref="G16:H16"/>
    <mergeCell ref="E8:F8"/>
    <mergeCell ref="G8:H8"/>
    <mergeCell ref="I8:J8"/>
    <mergeCell ref="K8:L8"/>
    <mergeCell ref="M10:N10"/>
    <mergeCell ref="E11:F11"/>
    <mergeCell ref="G11:H11"/>
    <mergeCell ref="I11:J11"/>
    <mergeCell ref="K11:L11"/>
    <mergeCell ref="M11:N11"/>
    <mergeCell ref="E10:F10"/>
    <mergeCell ref="I10:J10"/>
    <mergeCell ref="K10:L10"/>
    <mergeCell ref="A11:D11"/>
    <mergeCell ref="A12:D12"/>
    <mergeCell ref="I9:J9"/>
    <mergeCell ref="K9:L9"/>
    <mergeCell ref="M9:N9"/>
    <mergeCell ref="G10:H10"/>
    <mergeCell ref="E12:F12"/>
    <mergeCell ref="G12:H12"/>
    <mergeCell ref="I12:J12"/>
    <mergeCell ref="K12:L12"/>
    <mergeCell ref="A1:N1"/>
    <mergeCell ref="A3:N3"/>
    <mergeCell ref="E6:F6"/>
    <mergeCell ref="G6:H6"/>
    <mergeCell ref="I6:J6"/>
    <mergeCell ref="E5:N5"/>
    <mergeCell ref="I37:J37"/>
    <mergeCell ref="A34:N34"/>
    <mergeCell ref="K6:L6"/>
    <mergeCell ref="M6:N6"/>
    <mergeCell ref="E7:F7"/>
    <mergeCell ref="G7:H7"/>
    <mergeCell ref="I7:J7"/>
    <mergeCell ref="K7:L7"/>
    <mergeCell ref="M7:N7"/>
    <mergeCell ref="M8:N8"/>
    <mergeCell ref="E9:F9"/>
    <mergeCell ref="G9:H9"/>
    <mergeCell ref="M12:N12"/>
    <mergeCell ref="A5:D6"/>
    <mergeCell ref="A7:D7"/>
    <mergeCell ref="A8:D8"/>
    <mergeCell ref="A9:D9"/>
    <mergeCell ref="A10:D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4"/>
  <sheetViews>
    <sheetView topLeftCell="A71" workbookViewId="0">
      <selection activeCell="B95" sqref="B95"/>
    </sheetView>
  </sheetViews>
  <sheetFormatPr defaultRowHeight="14.4" x14ac:dyDescent="0.3"/>
  <cols>
    <col min="1" max="1" width="6.88671875" customWidth="1"/>
    <col min="2" max="2" width="66.33203125" customWidth="1"/>
    <col min="3" max="3" width="9" customWidth="1"/>
    <col min="4" max="4" width="10.109375" customWidth="1"/>
    <col min="5" max="5" width="11.33203125" customWidth="1"/>
    <col min="6" max="6" width="11" customWidth="1"/>
    <col min="7" max="7" width="9.33203125" customWidth="1"/>
    <col min="8" max="8" width="9.5546875" customWidth="1"/>
    <col min="9" max="9" width="9.33203125" customWidth="1"/>
    <col min="10" max="10" width="9" customWidth="1"/>
  </cols>
  <sheetData>
    <row r="1" spans="1:10" x14ac:dyDescent="0.3">
      <c r="A1" t="s">
        <v>1264</v>
      </c>
      <c r="B1" t="s">
        <v>611</v>
      </c>
      <c r="C1" t="s">
        <v>155</v>
      </c>
      <c r="D1" t="s">
        <v>433</v>
      </c>
      <c r="E1" t="s">
        <v>914</v>
      </c>
      <c r="F1" t="s">
        <v>1138</v>
      </c>
      <c r="G1" t="s">
        <v>1154</v>
      </c>
      <c r="H1" t="s">
        <v>538</v>
      </c>
      <c r="I1" t="s">
        <v>184</v>
      </c>
      <c r="J1" t="s">
        <v>702</v>
      </c>
    </row>
    <row r="2" spans="1:10" x14ac:dyDescent="0.3">
      <c r="A2" t="s">
        <v>604</v>
      </c>
      <c r="B2" t="s">
        <v>562</v>
      </c>
      <c r="C2">
        <v>3035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3035</v>
      </c>
    </row>
    <row r="3" spans="1:10" x14ac:dyDescent="0.3">
      <c r="A3" t="s">
        <v>254</v>
      </c>
      <c r="B3" t="s">
        <v>294</v>
      </c>
      <c r="C3">
        <v>1346295</v>
      </c>
      <c r="D3">
        <v>142831</v>
      </c>
      <c r="E3">
        <v>0</v>
      </c>
      <c r="F3">
        <v>142831</v>
      </c>
      <c r="G3">
        <v>0</v>
      </c>
      <c r="H3">
        <v>0</v>
      </c>
      <c r="I3">
        <v>0</v>
      </c>
      <c r="J3">
        <v>1489126</v>
      </c>
    </row>
    <row r="4" spans="1:10" x14ac:dyDescent="0.3">
      <c r="A4" t="s">
        <v>1051</v>
      </c>
      <c r="B4" t="s">
        <v>262</v>
      </c>
      <c r="C4">
        <v>72678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72678</v>
      </c>
    </row>
    <row r="5" spans="1:10" x14ac:dyDescent="0.3">
      <c r="A5" t="s">
        <v>850</v>
      </c>
      <c r="B5" t="s">
        <v>142</v>
      </c>
      <c r="C5">
        <v>46565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46565</v>
      </c>
    </row>
    <row r="6" spans="1:10" x14ac:dyDescent="0.3">
      <c r="A6" t="s">
        <v>920</v>
      </c>
      <c r="B6" t="s">
        <v>1317</v>
      </c>
      <c r="C6">
        <v>2884607</v>
      </c>
      <c r="D6">
        <v>342387</v>
      </c>
      <c r="E6">
        <v>0</v>
      </c>
      <c r="F6">
        <v>342387</v>
      </c>
      <c r="G6">
        <v>1951711</v>
      </c>
      <c r="H6">
        <v>0</v>
      </c>
      <c r="I6">
        <v>1951711</v>
      </c>
      <c r="J6">
        <v>1275283</v>
      </c>
    </row>
    <row r="7" spans="1:10" x14ac:dyDescent="0.3">
      <c r="A7" t="s">
        <v>273</v>
      </c>
      <c r="B7" t="s">
        <v>43</v>
      </c>
      <c r="C7">
        <v>73186</v>
      </c>
      <c r="D7">
        <v>0</v>
      </c>
      <c r="E7">
        <v>0</v>
      </c>
      <c r="F7">
        <v>0</v>
      </c>
      <c r="G7">
        <v>2131</v>
      </c>
      <c r="H7">
        <v>0</v>
      </c>
      <c r="I7">
        <v>2131</v>
      </c>
      <c r="J7">
        <v>71055</v>
      </c>
    </row>
    <row r="8" spans="1:10" x14ac:dyDescent="0.3">
      <c r="A8" t="s">
        <v>845</v>
      </c>
      <c r="B8" t="s">
        <v>527</v>
      </c>
      <c r="C8">
        <v>764000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764000</v>
      </c>
    </row>
    <row r="9" spans="1:10" x14ac:dyDescent="0.3">
      <c r="A9" t="s">
        <v>556</v>
      </c>
      <c r="B9" t="s">
        <v>1294</v>
      </c>
      <c r="C9">
        <v>396877</v>
      </c>
      <c r="D9">
        <v>106352</v>
      </c>
      <c r="E9">
        <v>0</v>
      </c>
      <c r="F9">
        <v>106352</v>
      </c>
      <c r="G9">
        <v>485218</v>
      </c>
      <c r="H9">
        <v>0</v>
      </c>
      <c r="I9">
        <v>485218</v>
      </c>
      <c r="J9">
        <v>18011</v>
      </c>
    </row>
    <row r="10" spans="1:10" x14ac:dyDescent="0.3">
      <c r="A10" t="s">
        <v>1125</v>
      </c>
      <c r="B10" t="s">
        <v>891</v>
      </c>
      <c r="C10">
        <v>76533</v>
      </c>
      <c r="D10">
        <v>0</v>
      </c>
      <c r="E10">
        <v>0</v>
      </c>
      <c r="F10">
        <v>0</v>
      </c>
      <c r="G10">
        <v>76533</v>
      </c>
      <c r="H10">
        <v>0</v>
      </c>
      <c r="I10">
        <v>76533</v>
      </c>
      <c r="J10">
        <v>0</v>
      </c>
    </row>
    <row r="11" spans="1:10" x14ac:dyDescent="0.3">
      <c r="A11" t="s">
        <v>1097</v>
      </c>
      <c r="B11" t="s">
        <v>1168</v>
      </c>
      <c r="C11">
        <v>-2129</v>
      </c>
      <c r="D11">
        <v>0</v>
      </c>
      <c r="E11">
        <v>0</v>
      </c>
      <c r="F11">
        <v>0</v>
      </c>
      <c r="G11">
        <v>760</v>
      </c>
      <c r="H11">
        <v>0</v>
      </c>
      <c r="I11">
        <v>760</v>
      </c>
      <c r="J11">
        <v>-2889</v>
      </c>
    </row>
    <row r="12" spans="1:10" x14ac:dyDescent="0.3">
      <c r="A12" t="s">
        <v>756</v>
      </c>
      <c r="B12" t="s">
        <v>1044</v>
      </c>
      <c r="C12">
        <v>-213182</v>
      </c>
      <c r="D12">
        <v>0</v>
      </c>
      <c r="E12">
        <v>0</v>
      </c>
      <c r="F12">
        <v>0</v>
      </c>
      <c r="G12">
        <v>73357</v>
      </c>
      <c r="H12">
        <v>0</v>
      </c>
      <c r="I12">
        <v>73357</v>
      </c>
      <c r="J12">
        <v>-286539</v>
      </c>
    </row>
    <row r="13" spans="1:10" x14ac:dyDescent="0.3">
      <c r="A13" t="s">
        <v>545</v>
      </c>
      <c r="B13" t="s">
        <v>1243</v>
      </c>
      <c r="C13">
        <v>-64556</v>
      </c>
      <c r="D13">
        <v>0</v>
      </c>
      <c r="E13">
        <v>0</v>
      </c>
      <c r="F13">
        <v>0</v>
      </c>
      <c r="G13">
        <v>6968</v>
      </c>
      <c r="H13">
        <v>0</v>
      </c>
      <c r="I13">
        <v>6968</v>
      </c>
      <c r="J13">
        <v>-71524</v>
      </c>
    </row>
    <row r="14" spans="1:10" x14ac:dyDescent="0.3">
      <c r="A14" t="s">
        <v>345</v>
      </c>
      <c r="B14" t="s">
        <v>308</v>
      </c>
      <c r="C14">
        <v>-14704</v>
      </c>
      <c r="D14">
        <v>0</v>
      </c>
      <c r="E14">
        <v>0</v>
      </c>
      <c r="F14">
        <v>0</v>
      </c>
      <c r="G14">
        <v>8410</v>
      </c>
      <c r="H14">
        <v>0</v>
      </c>
      <c r="I14">
        <v>8410</v>
      </c>
      <c r="J14">
        <v>-23114</v>
      </c>
    </row>
    <row r="15" spans="1:10" x14ac:dyDescent="0.3">
      <c r="A15" t="s">
        <v>60</v>
      </c>
      <c r="B15" t="s">
        <v>890</v>
      </c>
      <c r="C15">
        <v>-493705</v>
      </c>
      <c r="D15">
        <v>1951711</v>
      </c>
      <c r="E15">
        <v>0</v>
      </c>
      <c r="F15">
        <v>1951711</v>
      </c>
      <c r="G15">
        <v>1871755</v>
      </c>
      <c r="H15">
        <v>0</v>
      </c>
      <c r="I15">
        <v>1871755</v>
      </c>
      <c r="J15">
        <v>-413749</v>
      </c>
    </row>
    <row r="16" spans="1:10" x14ac:dyDescent="0.3">
      <c r="A16" t="s">
        <v>787</v>
      </c>
      <c r="B16" t="s">
        <v>960</v>
      </c>
      <c r="C16">
        <v>-32837</v>
      </c>
      <c r="D16">
        <v>2131</v>
      </c>
      <c r="E16">
        <v>0</v>
      </c>
      <c r="F16">
        <v>2131</v>
      </c>
      <c r="G16">
        <v>16255</v>
      </c>
      <c r="H16">
        <v>0</v>
      </c>
      <c r="I16">
        <v>16255</v>
      </c>
      <c r="J16">
        <v>-46961</v>
      </c>
    </row>
    <row r="17" spans="1:10" x14ac:dyDescent="0.3">
      <c r="A17" t="s">
        <v>514</v>
      </c>
      <c r="B17" t="s">
        <v>141</v>
      </c>
      <c r="C17">
        <v>0</v>
      </c>
      <c r="D17">
        <v>8920504</v>
      </c>
      <c r="E17">
        <v>-10896</v>
      </c>
      <c r="F17">
        <v>8909608</v>
      </c>
      <c r="G17">
        <v>9363921</v>
      </c>
      <c r="H17">
        <v>-454313</v>
      </c>
      <c r="I17">
        <v>8909608</v>
      </c>
      <c r="J17">
        <v>0</v>
      </c>
    </row>
    <row r="18" spans="1:10" x14ac:dyDescent="0.3">
      <c r="A18" t="s">
        <v>186</v>
      </c>
      <c r="B18" t="s">
        <v>984</v>
      </c>
      <c r="C18">
        <v>0</v>
      </c>
      <c r="D18">
        <v>899242</v>
      </c>
      <c r="E18">
        <v>0</v>
      </c>
      <c r="F18">
        <v>899242</v>
      </c>
      <c r="G18">
        <v>899242</v>
      </c>
      <c r="H18">
        <v>0</v>
      </c>
      <c r="I18">
        <v>899242</v>
      </c>
      <c r="J18">
        <v>0</v>
      </c>
    </row>
    <row r="19" spans="1:10" x14ac:dyDescent="0.3">
      <c r="A19" t="s">
        <v>942</v>
      </c>
      <c r="B19" t="s">
        <v>86</v>
      </c>
      <c r="C19">
        <v>2720858</v>
      </c>
      <c r="D19">
        <v>9736389</v>
      </c>
      <c r="E19">
        <v>-455799</v>
      </c>
      <c r="F19">
        <v>9280590</v>
      </c>
      <c r="G19">
        <v>11614006</v>
      </c>
      <c r="H19">
        <v>-116101</v>
      </c>
      <c r="I19">
        <v>11497905</v>
      </c>
      <c r="J19">
        <v>503543</v>
      </c>
    </row>
    <row r="20" spans="1:10" x14ac:dyDescent="0.3">
      <c r="A20" t="s">
        <v>1272</v>
      </c>
      <c r="B20" t="s">
        <v>1301</v>
      </c>
      <c r="C20">
        <v>233671</v>
      </c>
      <c r="D20">
        <v>899242</v>
      </c>
      <c r="E20">
        <v>0</v>
      </c>
      <c r="F20">
        <v>899242</v>
      </c>
      <c r="G20">
        <v>1088343</v>
      </c>
      <c r="H20">
        <v>0</v>
      </c>
      <c r="I20">
        <v>1088343</v>
      </c>
      <c r="J20">
        <v>44570</v>
      </c>
    </row>
    <row r="21" spans="1:10" x14ac:dyDescent="0.3">
      <c r="A21" t="s">
        <v>964</v>
      </c>
      <c r="B21" t="s">
        <v>190</v>
      </c>
      <c r="C21">
        <v>0</v>
      </c>
      <c r="D21">
        <v>173513</v>
      </c>
      <c r="E21">
        <v>-2058</v>
      </c>
      <c r="F21">
        <v>171455</v>
      </c>
      <c r="G21">
        <v>131459</v>
      </c>
      <c r="H21">
        <v>0</v>
      </c>
      <c r="I21">
        <v>131459</v>
      </c>
      <c r="J21">
        <v>39996</v>
      </c>
    </row>
    <row r="22" spans="1:10" x14ac:dyDescent="0.3">
      <c r="A22" t="s">
        <v>947</v>
      </c>
      <c r="B22" t="s">
        <v>329</v>
      </c>
      <c r="C22">
        <v>1208090</v>
      </c>
      <c r="D22">
        <v>0</v>
      </c>
      <c r="E22">
        <v>0</v>
      </c>
      <c r="F22">
        <v>0</v>
      </c>
      <c r="G22">
        <v>1210335</v>
      </c>
      <c r="H22">
        <v>-2245</v>
      </c>
      <c r="I22">
        <v>1208090</v>
      </c>
      <c r="J22">
        <v>0</v>
      </c>
    </row>
    <row r="23" spans="1:10" x14ac:dyDescent="0.3">
      <c r="A23" t="s">
        <v>526</v>
      </c>
      <c r="B23" t="s">
        <v>1055</v>
      </c>
      <c r="C23">
        <v>50220</v>
      </c>
      <c r="D23">
        <v>3615895</v>
      </c>
      <c r="E23">
        <v>-1331</v>
      </c>
      <c r="F23">
        <v>3614564</v>
      </c>
      <c r="G23">
        <v>3596453</v>
      </c>
      <c r="H23">
        <v>-89531</v>
      </c>
      <c r="I23">
        <v>3506922</v>
      </c>
      <c r="J23">
        <v>157862</v>
      </c>
    </row>
    <row r="24" spans="1:10" x14ac:dyDescent="0.3">
      <c r="A24" t="s">
        <v>1293</v>
      </c>
      <c r="B24" t="s">
        <v>799</v>
      </c>
      <c r="C24">
        <v>19997</v>
      </c>
      <c r="D24">
        <v>46013</v>
      </c>
      <c r="E24">
        <v>0</v>
      </c>
      <c r="F24">
        <v>46013</v>
      </c>
      <c r="G24">
        <v>19997</v>
      </c>
      <c r="H24">
        <v>0</v>
      </c>
      <c r="I24">
        <v>19997</v>
      </c>
      <c r="J24">
        <v>46013</v>
      </c>
    </row>
    <row r="25" spans="1:10" x14ac:dyDescent="0.3">
      <c r="A25" t="s">
        <v>25</v>
      </c>
      <c r="B25" t="s">
        <v>385</v>
      </c>
      <c r="C25">
        <v>288498</v>
      </c>
      <c r="D25">
        <v>9028300</v>
      </c>
      <c r="E25">
        <v>-228702</v>
      </c>
      <c r="F25">
        <v>8799598</v>
      </c>
      <c r="G25">
        <v>8808002</v>
      </c>
      <c r="H25">
        <v>-25843</v>
      </c>
      <c r="I25">
        <v>8782159</v>
      </c>
      <c r="J25">
        <v>305937</v>
      </c>
    </row>
    <row r="26" spans="1:10" x14ac:dyDescent="0.3">
      <c r="A26" t="s">
        <v>802</v>
      </c>
      <c r="B26" t="s">
        <v>606</v>
      </c>
      <c r="C26">
        <v>105374</v>
      </c>
      <c r="D26">
        <v>89928</v>
      </c>
      <c r="E26">
        <v>0</v>
      </c>
      <c r="F26">
        <v>89928</v>
      </c>
      <c r="G26">
        <v>105374</v>
      </c>
      <c r="H26">
        <v>0</v>
      </c>
      <c r="I26">
        <v>105374</v>
      </c>
      <c r="J26">
        <v>89928</v>
      </c>
    </row>
    <row r="27" spans="1:10" x14ac:dyDescent="0.3">
      <c r="A27" t="s">
        <v>352</v>
      </c>
      <c r="B27" t="s">
        <v>1188</v>
      </c>
      <c r="C27">
        <v>0</v>
      </c>
      <c r="D27">
        <v>11596</v>
      </c>
      <c r="E27">
        <v>0</v>
      </c>
      <c r="F27">
        <v>11596</v>
      </c>
      <c r="G27">
        <v>11596</v>
      </c>
      <c r="H27">
        <v>0</v>
      </c>
      <c r="I27">
        <v>11596</v>
      </c>
      <c r="J27">
        <v>0</v>
      </c>
    </row>
    <row r="28" spans="1:10" x14ac:dyDescent="0.3">
      <c r="A28" t="s">
        <v>1103</v>
      </c>
      <c r="B28" t="s">
        <v>272</v>
      </c>
      <c r="C28">
        <v>0</v>
      </c>
      <c r="D28">
        <v>11596</v>
      </c>
      <c r="E28">
        <v>0</v>
      </c>
      <c r="F28">
        <v>11596</v>
      </c>
      <c r="G28">
        <v>8179</v>
      </c>
      <c r="H28">
        <v>0</v>
      </c>
      <c r="I28">
        <v>8179</v>
      </c>
      <c r="J28">
        <v>3417</v>
      </c>
    </row>
    <row r="29" spans="1:10" x14ac:dyDescent="0.3">
      <c r="A29" t="s">
        <v>861</v>
      </c>
      <c r="B29" t="s">
        <v>208</v>
      </c>
      <c r="C29">
        <v>-10384</v>
      </c>
      <c r="D29">
        <v>10384</v>
      </c>
      <c r="E29">
        <v>0</v>
      </c>
      <c r="F29">
        <v>10384</v>
      </c>
      <c r="G29">
        <v>0</v>
      </c>
      <c r="H29">
        <v>0</v>
      </c>
      <c r="I29">
        <v>0</v>
      </c>
      <c r="J29">
        <v>0</v>
      </c>
    </row>
    <row r="30" spans="1:10" x14ac:dyDescent="0.3">
      <c r="A30" t="s">
        <v>930</v>
      </c>
      <c r="B30" t="s">
        <v>1305</v>
      </c>
      <c r="C30">
        <v>-12208</v>
      </c>
      <c r="D30">
        <v>12208</v>
      </c>
      <c r="E30">
        <v>0</v>
      </c>
      <c r="F30">
        <v>12208</v>
      </c>
      <c r="G30">
        <v>0</v>
      </c>
      <c r="H30">
        <v>0</v>
      </c>
      <c r="I30">
        <v>0</v>
      </c>
      <c r="J30">
        <v>0</v>
      </c>
    </row>
    <row r="31" spans="1:10" x14ac:dyDescent="0.3">
      <c r="A31" t="s">
        <v>1268</v>
      </c>
      <c r="B31" t="s">
        <v>397</v>
      </c>
      <c r="C31">
        <v>139</v>
      </c>
      <c r="D31">
        <v>16708</v>
      </c>
      <c r="E31">
        <v>0</v>
      </c>
      <c r="F31">
        <v>16708</v>
      </c>
      <c r="G31">
        <v>16742</v>
      </c>
      <c r="H31">
        <v>0</v>
      </c>
      <c r="I31">
        <v>16742</v>
      </c>
      <c r="J31">
        <v>105</v>
      </c>
    </row>
    <row r="32" spans="1:10" x14ac:dyDescent="0.3">
      <c r="A32" t="s">
        <v>671</v>
      </c>
      <c r="B32" t="s">
        <v>773</v>
      </c>
      <c r="C32">
        <v>193</v>
      </c>
      <c r="D32">
        <v>75304</v>
      </c>
      <c r="E32">
        <v>0</v>
      </c>
      <c r="F32">
        <v>75304</v>
      </c>
      <c r="G32">
        <v>75497</v>
      </c>
      <c r="H32">
        <v>0</v>
      </c>
      <c r="I32">
        <v>75497</v>
      </c>
      <c r="J32">
        <v>0</v>
      </c>
    </row>
    <row r="33" spans="1:10" x14ac:dyDescent="0.3">
      <c r="A33" t="s">
        <v>193</v>
      </c>
      <c r="B33" t="s">
        <v>842</v>
      </c>
      <c r="C33">
        <v>840755</v>
      </c>
      <c r="D33">
        <v>17715510</v>
      </c>
      <c r="E33">
        <v>0</v>
      </c>
      <c r="F33">
        <v>17715510</v>
      </c>
      <c r="G33">
        <v>16553327</v>
      </c>
      <c r="H33">
        <v>0</v>
      </c>
      <c r="I33">
        <v>16553327</v>
      </c>
      <c r="J33">
        <v>2002938</v>
      </c>
    </row>
    <row r="34" spans="1:10" x14ac:dyDescent="0.3">
      <c r="A34" t="s">
        <v>791</v>
      </c>
      <c r="B34" t="s">
        <v>482</v>
      </c>
      <c r="C34">
        <v>-2179</v>
      </c>
      <c r="D34">
        <v>22196</v>
      </c>
      <c r="E34">
        <v>0</v>
      </c>
      <c r="F34">
        <v>22196</v>
      </c>
      <c r="G34">
        <v>20831</v>
      </c>
      <c r="H34">
        <v>0</v>
      </c>
      <c r="I34">
        <v>20831</v>
      </c>
      <c r="J34">
        <v>-814</v>
      </c>
    </row>
    <row r="35" spans="1:10" x14ac:dyDescent="0.3">
      <c r="A35" t="s">
        <v>1186</v>
      </c>
      <c r="B35" t="s">
        <v>455</v>
      </c>
      <c r="C35">
        <v>0</v>
      </c>
      <c r="D35">
        <v>38904</v>
      </c>
      <c r="E35">
        <v>0</v>
      </c>
      <c r="F35">
        <v>38904</v>
      </c>
      <c r="G35">
        <v>38904</v>
      </c>
      <c r="H35">
        <v>0</v>
      </c>
      <c r="I35">
        <v>38904</v>
      </c>
      <c r="J35">
        <v>0</v>
      </c>
    </row>
    <row r="36" spans="1:10" x14ac:dyDescent="0.3">
      <c r="A36" t="s">
        <v>474</v>
      </c>
      <c r="B36" t="s">
        <v>934</v>
      </c>
      <c r="C36">
        <v>1010015</v>
      </c>
      <c r="D36">
        <v>9942450</v>
      </c>
      <c r="E36">
        <v>-2256</v>
      </c>
      <c r="F36">
        <v>9940194</v>
      </c>
      <c r="G36">
        <v>10820567</v>
      </c>
      <c r="H36">
        <v>0</v>
      </c>
      <c r="I36">
        <v>10820567</v>
      </c>
      <c r="J36">
        <v>129642</v>
      </c>
    </row>
    <row r="37" spans="1:10" x14ac:dyDescent="0.3">
      <c r="A37" t="s">
        <v>68</v>
      </c>
      <c r="B37" t="s">
        <v>210</v>
      </c>
      <c r="C37">
        <v>283031</v>
      </c>
      <c r="D37">
        <v>6885089</v>
      </c>
      <c r="E37">
        <v>0</v>
      </c>
      <c r="F37">
        <v>6885089</v>
      </c>
      <c r="G37">
        <v>6787756</v>
      </c>
      <c r="H37">
        <v>0</v>
      </c>
      <c r="I37">
        <v>6787756</v>
      </c>
      <c r="J37">
        <v>380364</v>
      </c>
    </row>
    <row r="38" spans="1:10" x14ac:dyDescent="0.3">
      <c r="A38" t="s">
        <v>333</v>
      </c>
      <c r="B38" t="s">
        <v>476</v>
      </c>
      <c r="C38">
        <v>0</v>
      </c>
      <c r="D38">
        <v>495515</v>
      </c>
      <c r="E38">
        <v>0</v>
      </c>
      <c r="F38">
        <v>495515</v>
      </c>
      <c r="G38">
        <v>0</v>
      </c>
      <c r="H38">
        <v>0</v>
      </c>
      <c r="I38">
        <v>0</v>
      </c>
      <c r="J38">
        <v>495515</v>
      </c>
    </row>
    <row r="39" spans="1:10" x14ac:dyDescent="0.3">
      <c r="A39" t="s">
        <v>1012</v>
      </c>
      <c r="B39" t="s">
        <v>128</v>
      </c>
      <c r="C39">
        <v>0</v>
      </c>
      <c r="D39">
        <v>13244</v>
      </c>
      <c r="E39">
        <v>0</v>
      </c>
      <c r="F39">
        <v>13244</v>
      </c>
      <c r="G39">
        <v>70</v>
      </c>
      <c r="H39">
        <v>0</v>
      </c>
      <c r="I39">
        <v>70</v>
      </c>
      <c r="J39">
        <v>13174</v>
      </c>
    </row>
    <row r="40" spans="1:10" x14ac:dyDescent="0.3">
      <c r="A40" t="s">
        <v>568</v>
      </c>
      <c r="B40" t="s">
        <v>48</v>
      </c>
      <c r="C40">
        <v>1632</v>
      </c>
      <c r="D40">
        <v>580</v>
      </c>
      <c r="E40">
        <v>0</v>
      </c>
      <c r="F40">
        <v>580</v>
      </c>
      <c r="G40">
        <v>2212</v>
      </c>
      <c r="H40">
        <v>0</v>
      </c>
      <c r="I40">
        <v>2212</v>
      </c>
      <c r="J40">
        <v>0</v>
      </c>
    </row>
    <row r="41" spans="1:10" x14ac:dyDescent="0.3">
      <c r="A41" t="s">
        <v>979</v>
      </c>
      <c r="B41" t="s">
        <v>1005</v>
      </c>
      <c r="C41">
        <v>0</v>
      </c>
      <c r="D41">
        <v>23</v>
      </c>
      <c r="E41">
        <v>0</v>
      </c>
      <c r="F41">
        <v>23</v>
      </c>
      <c r="G41">
        <v>82</v>
      </c>
      <c r="H41">
        <v>-60</v>
      </c>
      <c r="I41">
        <v>22</v>
      </c>
      <c r="J41">
        <v>1</v>
      </c>
    </row>
    <row r="42" spans="1:10" x14ac:dyDescent="0.3">
      <c r="A42" t="s">
        <v>13</v>
      </c>
      <c r="B42" t="s">
        <v>1279</v>
      </c>
      <c r="C42">
        <v>27630</v>
      </c>
      <c r="D42">
        <v>5420</v>
      </c>
      <c r="E42">
        <v>0</v>
      </c>
      <c r="F42">
        <v>5420</v>
      </c>
      <c r="G42">
        <v>8250</v>
      </c>
      <c r="H42">
        <v>0</v>
      </c>
      <c r="I42">
        <v>8250</v>
      </c>
      <c r="J42">
        <v>24800</v>
      </c>
    </row>
    <row r="43" spans="1:10" x14ac:dyDescent="0.3">
      <c r="A43" t="s">
        <v>729</v>
      </c>
      <c r="B43" t="s">
        <v>11</v>
      </c>
      <c r="C43">
        <v>-133188</v>
      </c>
      <c r="D43">
        <v>2098285</v>
      </c>
      <c r="E43">
        <v>0</v>
      </c>
      <c r="F43">
        <v>2098285</v>
      </c>
      <c r="G43">
        <v>2012685</v>
      </c>
      <c r="H43">
        <v>-15385</v>
      </c>
      <c r="I43">
        <v>1997300</v>
      </c>
      <c r="J43">
        <v>-32203</v>
      </c>
    </row>
    <row r="44" spans="1:10" x14ac:dyDescent="0.3">
      <c r="A44" t="s">
        <v>1164</v>
      </c>
      <c r="B44" t="s">
        <v>1098</v>
      </c>
      <c r="C44">
        <v>-5018387</v>
      </c>
      <c r="D44">
        <v>5748867</v>
      </c>
      <c r="E44">
        <v>0</v>
      </c>
      <c r="F44">
        <v>5748867</v>
      </c>
      <c r="G44">
        <v>4172650</v>
      </c>
      <c r="H44">
        <v>-2795</v>
      </c>
      <c r="I44">
        <v>4169855</v>
      </c>
      <c r="J44">
        <v>-3439375</v>
      </c>
    </row>
    <row r="45" spans="1:10" x14ac:dyDescent="0.3">
      <c r="A45" t="s">
        <v>1240</v>
      </c>
      <c r="B45" t="s">
        <v>1196</v>
      </c>
      <c r="C45">
        <v>-675895</v>
      </c>
      <c r="D45">
        <v>0</v>
      </c>
      <c r="E45">
        <v>0</v>
      </c>
      <c r="F45">
        <v>0</v>
      </c>
      <c r="G45">
        <v>567976</v>
      </c>
      <c r="H45">
        <v>0</v>
      </c>
      <c r="I45">
        <v>567976</v>
      </c>
      <c r="J45">
        <v>-1243871</v>
      </c>
    </row>
    <row r="46" spans="1:10" x14ac:dyDescent="0.3">
      <c r="A46" t="s">
        <v>595</v>
      </c>
      <c r="B46" t="s">
        <v>373</v>
      </c>
      <c r="C46">
        <v>0</v>
      </c>
      <c r="D46">
        <v>3343685</v>
      </c>
      <c r="E46">
        <v>0</v>
      </c>
      <c r="F46">
        <v>3343685</v>
      </c>
      <c r="G46">
        <v>4357790</v>
      </c>
      <c r="H46">
        <v>-14392</v>
      </c>
      <c r="I46">
        <v>4343398</v>
      </c>
      <c r="J46">
        <v>-999713</v>
      </c>
    </row>
    <row r="47" spans="1:10" x14ac:dyDescent="0.3">
      <c r="A47" t="s">
        <v>75</v>
      </c>
      <c r="B47" t="s">
        <v>1077</v>
      </c>
      <c r="C47">
        <v>-38497</v>
      </c>
      <c r="D47">
        <v>38721</v>
      </c>
      <c r="E47">
        <v>0</v>
      </c>
      <c r="F47">
        <v>38721</v>
      </c>
      <c r="G47">
        <v>12406</v>
      </c>
      <c r="H47">
        <v>0</v>
      </c>
      <c r="I47">
        <v>12406</v>
      </c>
      <c r="J47">
        <v>-12182</v>
      </c>
    </row>
    <row r="48" spans="1:10" x14ac:dyDescent="0.3">
      <c r="A48" t="s">
        <v>1108</v>
      </c>
      <c r="B48" t="s">
        <v>650</v>
      </c>
      <c r="C48">
        <v>0</v>
      </c>
      <c r="D48">
        <v>85462</v>
      </c>
      <c r="E48">
        <v>0</v>
      </c>
      <c r="F48">
        <v>85462</v>
      </c>
      <c r="G48">
        <v>85462</v>
      </c>
      <c r="H48">
        <v>0</v>
      </c>
      <c r="I48">
        <v>85462</v>
      </c>
      <c r="J48">
        <v>0</v>
      </c>
    </row>
    <row r="49" spans="1:10" x14ac:dyDescent="0.3">
      <c r="A49" t="s">
        <v>337</v>
      </c>
      <c r="B49" t="s">
        <v>146</v>
      </c>
      <c r="C49">
        <v>-6916</v>
      </c>
      <c r="D49">
        <v>6916</v>
      </c>
      <c r="E49">
        <v>0</v>
      </c>
      <c r="F49">
        <v>6916</v>
      </c>
      <c r="G49">
        <v>14378</v>
      </c>
      <c r="H49">
        <v>-3228</v>
      </c>
      <c r="I49">
        <v>11150</v>
      </c>
      <c r="J49">
        <v>-11150</v>
      </c>
    </row>
    <row r="50" spans="1:10" x14ac:dyDescent="0.3">
      <c r="A50" t="s">
        <v>304</v>
      </c>
      <c r="B50" t="s">
        <v>411</v>
      </c>
      <c r="C50">
        <v>-86277</v>
      </c>
      <c r="D50">
        <v>1183201</v>
      </c>
      <c r="E50">
        <v>0</v>
      </c>
      <c r="F50">
        <v>1183201</v>
      </c>
      <c r="G50">
        <v>1152801</v>
      </c>
      <c r="H50">
        <v>0</v>
      </c>
      <c r="I50">
        <v>1152801</v>
      </c>
      <c r="J50">
        <v>-55877</v>
      </c>
    </row>
    <row r="51" spans="1:10" x14ac:dyDescent="0.3">
      <c r="A51" t="s">
        <v>587</v>
      </c>
      <c r="B51" t="s">
        <v>441</v>
      </c>
      <c r="C51">
        <v>0</v>
      </c>
      <c r="D51">
        <v>510</v>
      </c>
      <c r="E51">
        <v>-465</v>
      </c>
      <c r="F51">
        <v>45</v>
      </c>
      <c r="G51">
        <v>45</v>
      </c>
      <c r="H51">
        <v>0</v>
      </c>
      <c r="I51">
        <v>45</v>
      </c>
      <c r="J51">
        <v>0</v>
      </c>
    </row>
    <row r="52" spans="1:10" x14ac:dyDescent="0.3">
      <c r="A52" t="s">
        <v>481</v>
      </c>
      <c r="B52" t="s">
        <v>1247</v>
      </c>
      <c r="C52">
        <v>-7828</v>
      </c>
      <c r="D52">
        <v>76272</v>
      </c>
      <c r="E52">
        <v>0</v>
      </c>
      <c r="F52">
        <v>76272</v>
      </c>
      <c r="G52">
        <v>70730</v>
      </c>
      <c r="H52">
        <v>0</v>
      </c>
      <c r="I52">
        <v>70730</v>
      </c>
      <c r="J52">
        <v>-2286</v>
      </c>
    </row>
    <row r="53" spans="1:10" x14ac:dyDescent="0.3">
      <c r="A53" t="s">
        <v>840</v>
      </c>
      <c r="B53" t="s">
        <v>323</v>
      </c>
      <c r="C53">
        <v>0</v>
      </c>
      <c r="D53">
        <v>14127</v>
      </c>
      <c r="E53">
        <v>0</v>
      </c>
      <c r="F53">
        <v>14127</v>
      </c>
      <c r="G53">
        <v>14357</v>
      </c>
      <c r="H53">
        <v>0</v>
      </c>
      <c r="I53">
        <v>14357</v>
      </c>
      <c r="J53">
        <v>-230</v>
      </c>
    </row>
    <row r="54" spans="1:10" x14ac:dyDescent="0.3">
      <c r="A54" t="s">
        <v>978</v>
      </c>
      <c r="B54" t="s">
        <v>735</v>
      </c>
      <c r="C54">
        <v>0</v>
      </c>
      <c r="D54">
        <v>3259</v>
      </c>
      <c r="E54">
        <v>0</v>
      </c>
      <c r="F54">
        <v>3259</v>
      </c>
      <c r="G54">
        <v>3259</v>
      </c>
      <c r="H54">
        <v>0</v>
      </c>
      <c r="I54">
        <v>3259</v>
      </c>
      <c r="J54">
        <v>0</v>
      </c>
    </row>
    <row r="55" spans="1:10" x14ac:dyDescent="0.3">
      <c r="A55" t="s">
        <v>117</v>
      </c>
      <c r="B55" t="s">
        <v>1321</v>
      </c>
      <c r="C55">
        <v>0</v>
      </c>
      <c r="D55">
        <v>3222</v>
      </c>
      <c r="E55">
        <v>0</v>
      </c>
      <c r="F55">
        <v>3222</v>
      </c>
      <c r="G55">
        <v>3222</v>
      </c>
      <c r="H55">
        <v>0</v>
      </c>
      <c r="I55">
        <v>3222</v>
      </c>
      <c r="J55">
        <v>0</v>
      </c>
    </row>
    <row r="56" spans="1:10" x14ac:dyDescent="0.3">
      <c r="A56" t="s">
        <v>752</v>
      </c>
      <c r="B56" t="s">
        <v>776</v>
      </c>
      <c r="C56">
        <v>689</v>
      </c>
      <c r="D56">
        <v>74</v>
      </c>
      <c r="E56">
        <v>0</v>
      </c>
      <c r="F56">
        <v>74</v>
      </c>
      <c r="G56">
        <v>74</v>
      </c>
      <c r="H56">
        <v>0</v>
      </c>
      <c r="I56">
        <v>74</v>
      </c>
      <c r="J56">
        <v>689</v>
      </c>
    </row>
    <row r="57" spans="1:10" x14ac:dyDescent="0.3">
      <c r="A57" t="s">
        <v>1016</v>
      </c>
      <c r="B57" t="s">
        <v>1150</v>
      </c>
      <c r="C57">
        <v>0</v>
      </c>
      <c r="D57">
        <v>25433</v>
      </c>
      <c r="E57">
        <v>0</v>
      </c>
      <c r="F57">
        <v>25433</v>
      </c>
      <c r="G57">
        <v>25433</v>
      </c>
      <c r="H57">
        <v>0</v>
      </c>
      <c r="I57">
        <v>25433</v>
      </c>
      <c r="J57">
        <v>0</v>
      </c>
    </row>
    <row r="58" spans="1:10" x14ac:dyDescent="0.3">
      <c r="A58" t="s">
        <v>1223</v>
      </c>
      <c r="B58" t="s">
        <v>1306</v>
      </c>
      <c r="C58">
        <v>3339</v>
      </c>
      <c r="D58">
        <v>26</v>
      </c>
      <c r="E58">
        <v>0</v>
      </c>
      <c r="F58">
        <v>26</v>
      </c>
      <c r="G58">
        <v>3366</v>
      </c>
      <c r="H58">
        <v>0</v>
      </c>
      <c r="I58">
        <v>3366</v>
      </c>
      <c r="J58">
        <v>-1</v>
      </c>
    </row>
    <row r="59" spans="1:10" x14ac:dyDescent="0.3">
      <c r="A59" t="s">
        <v>770</v>
      </c>
      <c r="B59" t="s">
        <v>1265</v>
      </c>
      <c r="C59">
        <v>-11008</v>
      </c>
      <c r="D59">
        <v>120256</v>
      </c>
      <c r="E59">
        <v>0</v>
      </c>
      <c r="F59">
        <v>120256</v>
      </c>
      <c r="G59">
        <v>116228</v>
      </c>
      <c r="H59">
        <v>0</v>
      </c>
      <c r="I59">
        <v>116228</v>
      </c>
      <c r="J59">
        <v>-6980</v>
      </c>
    </row>
    <row r="60" spans="1:10" x14ac:dyDescent="0.3">
      <c r="A60" t="s">
        <v>1130</v>
      </c>
      <c r="B60" t="s">
        <v>178</v>
      </c>
      <c r="C60">
        <v>-2924</v>
      </c>
      <c r="D60">
        <v>28052</v>
      </c>
      <c r="E60">
        <v>0</v>
      </c>
      <c r="F60">
        <v>28052</v>
      </c>
      <c r="G60">
        <v>26217</v>
      </c>
      <c r="H60">
        <v>0</v>
      </c>
      <c r="I60">
        <v>26217</v>
      </c>
      <c r="J60">
        <v>-1089</v>
      </c>
    </row>
    <row r="61" spans="1:10" x14ac:dyDescent="0.3">
      <c r="A61" t="s">
        <v>1201</v>
      </c>
      <c r="B61" t="s">
        <v>431</v>
      </c>
      <c r="C61">
        <v>-1996</v>
      </c>
      <c r="D61">
        <v>20059</v>
      </c>
      <c r="E61">
        <v>0</v>
      </c>
      <c r="F61">
        <v>20059</v>
      </c>
      <c r="G61">
        <v>20054</v>
      </c>
      <c r="H61">
        <v>0</v>
      </c>
      <c r="I61">
        <v>20054</v>
      </c>
      <c r="J61">
        <v>-1991</v>
      </c>
    </row>
    <row r="62" spans="1:10" x14ac:dyDescent="0.3">
      <c r="A62" t="s">
        <v>451</v>
      </c>
      <c r="B62" t="s">
        <v>57</v>
      </c>
      <c r="C62">
        <v>-37152</v>
      </c>
      <c r="D62">
        <v>368509</v>
      </c>
      <c r="E62">
        <v>0</v>
      </c>
      <c r="F62">
        <v>368509</v>
      </c>
      <c r="G62">
        <v>354469</v>
      </c>
      <c r="H62">
        <v>0</v>
      </c>
      <c r="I62">
        <v>354469</v>
      </c>
      <c r="J62">
        <v>-23112</v>
      </c>
    </row>
    <row r="63" spans="1:10" x14ac:dyDescent="0.3">
      <c r="A63" t="s">
        <v>52</v>
      </c>
      <c r="B63" t="s">
        <v>704</v>
      </c>
      <c r="C63">
        <v>-19</v>
      </c>
      <c r="D63">
        <v>388</v>
      </c>
      <c r="E63">
        <v>0</v>
      </c>
      <c r="F63">
        <v>388</v>
      </c>
      <c r="G63">
        <v>417</v>
      </c>
      <c r="H63">
        <v>0</v>
      </c>
      <c r="I63">
        <v>417</v>
      </c>
      <c r="J63">
        <v>-48</v>
      </c>
    </row>
    <row r="64" spans="1:10" x14ac:dyDescent="0.3">
      <c r="A64" t="s">
        <v>228</v>
      </c>
      <c r="B64" t="s">
        <v>71</v>
      </c>
      <c r="C64">
        <v>-2880</v>
      </c>
      <c r="D64">
        <v>2880</v>
      </c>
      <c r="E64">
        <v>0</v>
      </c>
      <c r="F64">
        <v>2880</v>
      </c>
      <c r="G64">
        <v>0</v>
      </c>
      <c r="H64">
        <v>0</v>
      </c>
      <c r="I64">
        <v>0</v>
      </c>
      <c r="J64">
        <v>0</v>
      </c>
    </row>
    <row r="65" spans="1:10" x14ac:dyDescent="0.3">
      <c r="A65" t="s">
        <v>1080</v>
      </c>
      <c r="B65" t="s">
        <v>283</v>
      </c>
      <c r="C65">
        <v>-11448</v>
      </c>
      <c r="D65">
        <v>123516</v>
      </c>
      <c r="E65">
        <v>0</v>
      </c>
      <c r="F65">
        <v>123516</v>
      </c>
      <c r="G65">
        <v>120815</v>
      </c>
      <c r="H65">
        <v>0</v>
      </c>
      <c r="I65">
        <v>120815</v>
      </c>
      <c r="J65">
        <v>-8747</v>
      </c>
    </row>
    <row r="66" spans="1:10" x14ac:dyDescent="0.3">
      <c r="A66" t="s">
        <v>1144</v>
      </c>
      <c r="B66" t="s">
        <v>1043</v>
      </c>
      <c r="C66">
        <v>0</v>
      </c>
      <c r="D66">
        <v>24</v>
      </c>
      <c r="E66">
        <v>0</v>
      </c>
      <c r="F66">
        <v>24</v>
      </c>
      <c r="G66">
        <v>24</v>
      </c>
      <c r="H66">
        <v>0</v>
      </c>
      <c r="I66">
        <v>24</v>
      </c>
      <c r="J66">
        <v>0</v>
      </c>
    </row>
    <row r="67" spans="1:10" x14ac:dyDescent="0.3">
      <c r="A67" t="s">
        <v>933</v>
      </c>
      <c r="B67" t="s">
        <v>1101</v>
      </c>
      <c r="C67">
        <v>0</v>
      </c>
      <c r="D67">
        <v>326902</v>
      </c>
      <c r="E67">
        <v>-2341</v>
      </c>
      <c r="F67">
        <v>324561</v>
      </c>
      <c r="G67">
        <v>324561</v>
      </c>
      <c r="H67">
        <v>0</v>
      </c>
      <c r="I67">
        <v>324561</v>
      </c>
      <c r="J67">
        <v>0</v>
      </c>
    </row>
    <row r="68" spans="1:10" x14ac:dyDescent="0.3">
      <c r="A68" t="s">
        <v>1259</v>
      </c>
      <c r="B68" t="s">
        <v>1229</v>
      </c>
      <c r="C68">
        <v>0</v>
      </c>
      <c r="D68">
        <v>5</v>
      </c>
      <c r="E68">
        <v>0</v>
      </c>
      <c r="F68">
        <v>5</v>
      </c>
      <c r="G68">
        <v>5</v>
      </c>
      <c r="H68">
        <v>0</v>
      </c>
      <c r="I68">
        <v>5</v>
      </c>
      <c r="J68">
        <v>0</v>
      </c>
    </row>
    <row r="69" spans="1:10" x14ac:dyDescent="0.3">
      <c r="A69" t="s">
        <v>263</v>
      </c>
      <c r="B69" t="s">
        <v>454</v>
      </c>
      <c r="C69">
        <v>0</v>
      </c>
      <c r="D69">
        <v>1744251</v>
      </c>
      <c r="E69">
        <v>-3437</v>
      </c>
      <c r="F69">
        <v>1740814</v>
      </c>
      <c r="G69">
        <v>1738815</v>
      </c>
      <c r="H69">
        <v>0</v>
      </c>
      <c r="I69">
        <v>1738815</v>
      </c>
      <c r="J69">
        <v>1999</v>
      </c>
    </row>
    <row r="70" spans="1:10" x14ac:dyDescent="0.3">
      <c r="A70" t="s">
        <v>1027</v>
      </c>
      <c r="B70" t="s">
        <v>862</v>
      </c>
      <c r="C70">
        <v>0</v>
      </c>
      <c r="D70">
        <v>1652054</v>
      </c>
      <c r="E70">
        <v>0</v>
      </c>
      <c r="F70">
        <v>1652054</v>
      </c>
      <c r="G70">
        <v>1652430</v>
      </c>
      <c r="H70">
        <v>-376</v>
      </c>
      <c r="I70">
        <v>1652054</v>
      </c>
      <c r="J70">
        <v>0</v>
      </c>
    </row>
    <row r="71" spans="1:10" x14ac:dyDescent="0.3">
      <c r="A71" t="s">
        <v>710</v>
      </c>
      <c r="B71" t="s">
        <v>974</v>
      </c>
      <c r="C71">
        <v>0</v>
      </c>
      <c r="D71">
        <v>5</v>
      </c>
      <c r="E71">
        <v>0</v>
      </c>
      <c r="F71">
        <v>5</v>
      </c>
      <c r="G71">
        <v>5</v>
      </c>
      <c r="H71">
        <v>0</v>
      </c>
      <c r="I71">
        <v>5</v>
      </c>
      <c r="J71">
        <v>0</v>
      </c>
    </row>
    <row r="72" spans="1:10" x14ac:dyDescent="0.3">
      <c r="A72" t="s">
        <v>376</v>
      </c>
      <c r="B72" t="s">
        <v>454</v>
      </c>
      <c r="C72">
        <v>0</v>
      </c>
      <c r="D72">
        <v>1738815</v>
      </c>
      <c r="E72">
        <v>0</v>
      </c>
      <c r="F72">
        <v>1738815</v>
      </c>
      <c r="G72">
        <v>1744251</v>
      </c>
      <c r="H72">
        <v>-3437</v>
      </c>
      <c r="I72">
        <v>1740814</v>
      </c>
      <c r="J72">
        <v>-1999</v>
      </c>
    </row>
    <row r="73" spans="1:10" x14ac:dyDescent="0.3">
      <c r="A73" t="s">
        <v>125</v>
      </c>
      <c r="B73" t="s">
        <v>226</v>
      </c>
      <c r="C73">
        <v>-144085</v>
      </c>
      <c r="D73">
        <v>1525252</v>
      </c>
      <c r="E73">
        <v>0</v>
      </c>
      <c r="F73">
        <v>1525252</v>
      </c>
      <c r="G73">
        <v>1362335</v>
      </c>
      <c r="H73">
        <v>0</v>
      </c>
      <c r="I73">
        <v>1362335</v>
      </c>
      <c r="J73">
        <v>18832</v>
      </c>
    </row>
    <row r="74" spans="1:10" x14ac:dyDescent="0.3">
      <c r="A74" t="s">
        <v>626</v>
      </c>
      <c r="B74" t="s">
        <v>636</v>
      </c>
      <c r="C74">
        <v>-366</v>
      </c>
      <c r="D74">
        <v>7256</v>
      </c>
      <c r="E74">
        <v>0</v>
      </c>
      <c r="F74">
        <v>7256</v>
      </c>
      <c r="G74">
        <v>7270</v>
      </c>
      <c r="H74">
        <v>0</v>
      </c>
      <c r="I74">
        <v>7270</v>
      </c>
      <c r="J74">
        <v>-380</v>
      </c>
    </row>
    <row r="75" spans="1:10" x14ac:dyDescent="0.3">
      <c r="A75" t="s">
        <v>1311</v>
      </c>
      <c r="B75" t="s">
        <v>257</v>
      </c>
      <c r="C75">
        <v>0</v>
      </c>
      <c r="D75">
        <v>2534</v>
      </c>
      <c r="E75">
        <v>0</v>
      </c>
      <c r="F75">
        <v>2534</v>
      </c>
      <c r="G75">
        <v>2534</v>
      </c>
      <c r="H75">
        <v>0</v>
      </c>
      <c r="I75">
        <v>2534</v>
      </c>
      <c r="J75">
        <v>0</v>
      </c>
    </row>
    <row r="76" spans="1:10" x14ac:dyDescent="0.3">
      <c r="A76" t="s">
        <v>391</v>
      </c>
      <c r="B76" t="s">
        <v>1337</v>
      </c>
      <c r="C76">
        <v>-1009731</v>
      </c>
      <c r="D76">
        <v>15728</v>
      </c>
      <c r="E76">
        <v>0</v>
      </c>
      <c r="F76">
        <v>15728</v>
      </c>
      <c r="G76">
        <v>37100</v>
      </c>
      <c r="H76">
        <v>0</v>
      </c>
      <c r="I76">
        <v>37100</v>
      </c>
      <c r="J76">
        <v>-1031103</v>
      </c>
    </row>
    <row r="77" spans="1:10" x14ac:dyDescent="0.3">
      <c r="A77" t="s">
        <v>700</v>
      </c>
      <c r="B77" t="s">
        <v>412</v>
      </c>
      <c r="C77">
        <v>0</v>
      </c>
      <c r="D77">
        <v>33301</v>
      </c>
      <c r="E77">
        <v>0</v>
      </c>
      <c r="F77">
        <v>33301</v>
      </c>
      <c r="G77">
        <v>33301</v>
      </c>
      <c r="H77">
        <v>0</v>
      </c>
      <c r="I77">
        <v>33301</v>
      </c>
      <c r="J77">
        <v>0</v>
      </c>
    </row>
    <row r="78" spans="1:10" x14ac:dyDescent="0.3">
      <c r="A78" t="s">
        <v>238</v>
      </c>
      <c r="B78" t="s">
        <v>66</v>
      </c>
      <c r="C78">
        <v>1063</v>
      </c>
      <c r="D78">
        <v>0</v>
      </c>
      <c r="E78">
        <v>0</v>
      </c>
      <c r="F78">
        <v>0</v>
      </c>
      <c r="G78">
        <v>1063</v>
      </c>
      <c r="H78">
        <v>0</v>
      </c>
      <c r="I78">
        <v>1063</v>
      </c>
      <c r="J78">
        <v>0</v>
      </c>
    </row>
    <row r="79" spans="1:10" x14ac:dyDescent="0.3">
      <c r="A79" t="s">
        <v>147</v>
      </c>
      <c r="B79" t="s">
        <v>588</v>
      </c>
      <c r="C79">
        <v>0</v>
      </c>
      <c r="D79">
        <v>85500</v>
      </c>
      <c r="E79">
        <v>0</v>
      </c>
      <c r="F79">
        <v>85500</v>
      </c>
      <c r="G79">
        <v>85500</v>
      </c>
      <c r="H79">
        <v>0</v>
      </c>
      <c r="I79">
        <v>85500</v>
      </c>
      <c r="J79">
        <v>0</v>
      </c>
    </row>
    <row r="80" spans="1:10" x14ac:dyDescent="0.3">
      <c r="A80" t="s">
        <v>379</v>
      </c>
      <c r="B80" t="s">
        <v>1019</v>
      </c>
      <c r="C80">
        <v>-2927</v>
      </c>
      <c r="D80">
        <v>18763</v>
      </c>
      <c r="E80">
        <v>-952</v>
      </c>
      <c r="F80">
        <v>17811</v>
      </c>
      <c r="G80">
        <v>15655</v>
      </c>
      <c r="H80">
        <v>0</v>
      </c>
      <c r="I80">
        <v>15655</v>
      </c>
      <c r="J80">
        <v>-771</v>
      </c>
    </row>
    <row r="81" spans="1:10" x14ac:dyDescent="0.3">
      <c r="A81" t="s">
        <v>1124</v>
      </c>
      <c r="B81" t="s">
        <v>136</v>
      </c>
      <c r="C81">
        <v>0</v>
      </c>
      <c r="D81">
        <v>952</v>
      </c>
      <c r="E81">
        <v>0</v>
      </c>
      <c r="F81">
        <v>952</v>
      </c>
      <c r="G81">
        <v>1982</v>
      </c>
      <c r="H81">
        <v>0</v>
      </c>
      <c r="I81">
        <v>1982</v>
      </c>
      <c r="J81">
        <v>-1030</v>
      </c>
    </row>
    <row r="82" spans="1:10" x14ac:dyDescent="0.3">
      <c r="A82" t="s">
        <v>635</v>
      </c>
      <c r="B82" t="s">
        <v>16</v>
      </c>
      <c r="C82">
        <v>-2223</v>
      </c>
      <c r="D82">
        <v>33910</v>
      </c>
      <c r="E82">
        <v>0</v>
      </c>
      <c r="F82">
        <v>33910</v>
      </c>
      <c r="G82">
        <v>31687</v>
      </c>
      <c r="H82">
        <v>0</v>
      </c>
      <c r="I82">
        <v>31687</v>
      </c>
      <c r="J82">
        <v>0</v>
      </c>
    </row>
    <row r="83" spans="1:10" x14ac:dyDescent="0.3">
      <c r="A83" t="s">
        <v>1271</v>
      </c>
      <c r="B83" t="s">
        <v>54</v>
      </c>
      <c r="C83">
        <v>0</v>
      </c>
      <c r="D83">
        <v>127488</v>
      </c>
      <c r="E83">
        <v>0</v>
      </c>
      <c r="F83">
        <v>127488</v>
      </c>
      <c r="G83">
        <v>150751</v>
      </c>
      <c r="H83">
        <v>-2058</v>
      </c>
      <c r="I83">
        <v>148693</v>
      </c>
      <c r="J83">
        <v>-21205</v>
      </c>
    </row>
    <row r="84" spans="1:10" x14ac:dyDescent="0.3">
      <c r="A84" t="s">
        <v>1065</v>
      </c>
      <c r="B84" t="s">
        <v>47</v>
      </c>
      <c r="C84">
        <v>0</v>
      </c>
      <c r="D84">
        <v>432</v>
      </c>
      <c r="E84">
        <v>0</v>
      </c>
      <c r="F84">
        <v>432</v>
      </c>
      <c r="G84">
        <v>648</v>
      </c>
      <c r="H84">
        <v>0</v>
      </c>
      <c r="I84">
        <v>648</v>
      </c>
      <c r="J84">
        <v>-216</v>
      </c>
    </row>
    <row r="85" spans="1:10" x14ac:dyDescent="0.3">
      <c r="A85" t="s">
        <v>224</v>
      </c>
      <c r="B85" t="s">
        <v>1248</v>
      </c>
      <c r="C85">
        <v>3363</v>
      </c>
      <c r="D85">
        <v>12195</v>
      </c>
      <c r="E85">
        <v>-1896</v>
      </c>
      <c r="F85">
        <v>10299</v>
      </c>
      <c r="G85">
        <v>3016</v>
      </c>
      <c r="H85">
        <v>0</v>
      </c>
      <c r="I85">
        <v>3016</v>
      </c>
      <c r="J85">
        <v>10646</v>
      </c>
    </row>
    <row r="86" spans="1:10" x14ac:dyDescent="0.3">
      <c r="A86" t="s">
        <v>937</v>
      </c>
      <c r="B86" t="s">
        <v>580</v>
      </c>
      <c r="C86">
        <v>-14716</v>
      </c>
      <c r="D86">
        <v>14716</v>
      </c>
      <c r="E86">
        <v>0</v>
      </c>
      <c r="F86">
        <v>14716</v>
      </c>
      <c r="G86">
        <v>9514</v>
      </c>
      <c r="H86">
        <v>0</v>
      </c>
      <c r="I86">
        <v>9514</v>
      </c>
      <c r="J86">
        <v>-9514</v>
      </c>
    </row>
    <row r="87" spans="1:10" x14ac:dyDescent="0.3">
      <c r="A87" t="s">
        <v>629</v>
      </c>
      <c r="B87" t="s">
        <v>8</v>
      </c>
      <c r="C87">
        <v>122013</v>
      </c>
      <c r="D87">
        <v>109</v>
      </c>
      <c r="E87">
        <v>-2245</v>
      </c>
      <c r="F87">
        <v>-2136</v>
      </c>
      <c r="G87">
        <v>12335</v>
      </c>
      <c r="H87">
        <v>0</v>
      </c>
      <c r="I87">
        <v>12335</v>
      </c>
      <c r="J87">
        <v>107542</v>
      </c>
    </row>
    <row r="88" spans="1:10" x14ac:dyDescent="0.3">
      <c r="A88" t="s">
        <v>811</v>
      </c>
      <c r="B88" t="s">
        <v>367</v>
      </c>
      <c r="C88">
        <v>-2380</v>
      </c>
      <c r="D88">
        <v>0</v>
      </c>
      <c r="E88">
        <v>0</v>
      </c>
      <c r="F88">
        <v>0</v>
      </c>
      <c r="G88">
        <v>0</v>
      </c>
      <c r="H88">
        <v>-2380</v>
      </c>
      <c r="I88">
        <v>-2380</v>
      </c>
      <c r="J88">
        <v>0</v>
      </c>
    </row>
    <row r="89" spans="1:10" x14ac:dyDescent="0.3">
      <c r="A89" t="s">
        <v>1045</v>
      </c>
      <c r="B89" t="s">
        <v>252</v>
      </c>
      <c r="C89">
        <v>0</v>
      </c>
      <c r="D89">
        <v>1441375</v>
      </c>
      <c r="E89">
        <v>0</v>
      </c>
      <c r="F89">
        <v>1441375</v>
      </c>
      <c r="G89">
        <v>1441375</v>
      </c>
      <c r="H89">
        <v>0</v>
      </c>
      <c r="I89">
        <v>1441375</v>
      </c>
      <c r="J89">
        <v>0</v>
      </c>
    </row>
    <row r="90" spans="1:10" x14ac:dyDescent="0.3">
      <c r="A90" t="s">
        <v>1252</v>
      </c>
      <c r="B90" t="s">
        <v>1325</v>
      </c>
      <c r="C90">
        <v>-3800000</v>
      </c>
      <c r="D90">
        <v>0</v>
      </c>
      <c r="E90">
        <v>0</v>
      </c>
      <c r="F90">
        <v>0</v>
      </c>
      <c r="G90">
        <v>1000000</v>
      </c>
      <c r="H90">
        <v>0</v>
      </c>
      <c r="I90">
        <v>1000000</v>
      </c>
      <c r="J90">
        <v>-4800000</v>
      </c>
    </row>
    <row r="91" spans="1:10" x14ac:dyDescent="0.3">
      <c r="A91" t="s">
        <v>563</v>
      </c>
      <c r="B91" t="s">
        <v>590</v>
      </c>
      <c r="C91">
        <v>-1000000</v>
      </c>
      <c r="D91">
        <v>1000000</v>
      </c>
      <c r="E91">
        <v>0</v>
      </c>
      <c r="F91">
        <v>1000000</v>
      </c>
      <c r="G91">
        <v>0</v>
      </c>
      <c r="H91">
        <v>0</v>
      </c>
      <c r="I91">
        <v>0</v>
      </c>
      <c r="J91">
        <v>0</v>
      </c>
    </row>
    <row r="92" spans="1:10" x14ac:dyDescent="0.3">
      <c r="A92" t="s">
        <v>1105</v>
      </c>
      <c r="B92" t="s">
        <v>739</v>
      </c>
      <c r="C92">
        <v>2157618</v>
      </c>
      <c r="D92">
        <v>2467071</v>
      </c>
      <c r="E92">
        <v>0</v>
      </c>
      <c r="F92">
        <v>2467071</v>
      </c>
      <c r="G92">
        <v>0</v>
      </c>
      <c r="H92">
        <v>0</v>
      </c>
      <c r="I92">
        <v>0</v>
      </c>
      <c r="J92">
        <v>4624689</v>
      </c>
    </row>
    <row r="93" spans="1:10" x14ac:dyDescent="0.3">
      <c r="A93" t="s">
        <v>772</v>
      </c>
      <c r="B93" t="s">
        <v>730</v>
      </c>
      <c r="C93">
        <v>2467071</v>
      </c>
      <c r="D93">
        <v>0</v>
      </c>
      <c r="E93">
        <v>0</v>
      </c>
      <c r="F93">
        <v>0</v>
      </c>
      <c r="G93">
        <v>2467071</v>
      </c>
      <c r="H93">
        <v>0</v>
      </c>
      <c r="I93">
        <v>2467071</v>
      </c>
      <c r="J93">
        <v>0</v>
      </c>
    </row>
    <row r="94" spans="1:10" x14ac:dyDescent="0.3">
      <c r="A94" t="s">
        <v>1035</v>
      </c>
      <c r="B94" t="s">
        <v>233</v>
      </c>
      <c r="C94">
        <v>0</v>
      </c>
      <c r="D94">
        <v>0</v>
      </c>
      <c r="E94">
        <v>0</v>
      </c>
      <c r="F94">
        <v>0</v>
      </c>
      <c r="G94">
        <v>38262</v>
      </c>
      <c r="H94">
        <v>0</v>
      </c>
      <c r="I94">
        <v>38262</v>
      </c>
      <c r="J94">
        <v>-38262</v>
      </c>
    </row>
    <row r="95" spans="1:10" x14ac:dyDescent="0.3">
      <c r="A95" t="s">
        <v>1330</v>
      </c>
      <c r="B95" t="s">
        <v>410</v>
      </c>
      <c r="C95">
        <v>-4350000</v>
      </c>
      <c r="D95">
        <v>2939998</v>
      </c>
      <c r="E95">
        <v>0</v>
      </c>
      <c r="F95">
        <v>2939998</v>
      </c>
      <c r="G95">
        <v>89998</v>
      </c>
      <c r="H95">
        <v>0</v>
      </c>
      <c r="I95">
        <v>89998</v>
      </c>
      <c r="J95">
        <v>-1500000</v>
      </c>
    </row>
    <row r="96" spans="1:10" x14ac:dyDescent="0.3">
      <c r="A96" t="s">
        <v>880</v>
      </c>
      <c r="B96" t="s">
        <v>1261</v>
      </c>
      <c r="C96">
        <v>0</v>
      </c>
      <c r="D96">
        <v>6007</v>
      </c>
      <c r="E96">
        <v>-422</v>
      </c>
      <c r="F96">
        <v>5585</v>
      </c>
      <c r="G96">
        <v>5683</v>
      </c>
      <c r="H96">
        <v>0</v>
      </c>
      <c r="I96">
        <v>5683</v>
      </c>
      <c r="J96">
        <v>-98</v>
      </c>
    </row>
    <row r="97" spans="1:10" x14ac:dyDescent="0.3">
      <c r="A97" t="s">
        <v>91</v>
      </c>
      <c r="B97" t="s">
        <v>992</v>
      </c>
      <c r="C97">
        <v>-2307</v>
      </c>
      <c r="D97">
        <v>988</v>
      </c>
      <c r="E97">
        <v>0</v>
      </c>
      <c r="F97">
        <v>988</v>
      </c>
      <c r="G97">
        <v>0</v>
      </c>
      <c r="H97">
        <v>0</v>
      </c>
      <c r="I97">
        <v>0</v>
      </c>
      <c r="J97">
        <v>-1319</v>
      </c>
    </row>
    <row r="98" spans="1:10" x14ac:dyDescent="0.3">
      <c r="A98" t="s">
        <v>875</v>
      </c>
      <c r="B98" t="s">
        <v>1206</v>
      </c>
      <c r="C98">
        <v>0</v>
      </c>
      <c r="D98">
        <v>0</v>
      </c>
      <c r="E98">
        <v>0</v>
      </c>
      <c r="F98">
        <v>0</v>
      </c>
      <c r="G98">
        <v>648</v>
      </c>
      <c r="H98">
        <v>0</v>
      </c>
      <c r="I98">
        <v>648</v>
      </c>
      <c r="J98">
        <v>-648</v>
      </c>
    </row>
    <row r="99" spans="1:10" x14ac:dyDescent="0.3">
      <c r="A99" t="s">
        <v>1304</v>
      </c>
      <c r="B99" t="s">
        <v>718</v>
      </c>
      <c r="C99">
        <v>0</v>
      </c>
      <c r="D99">
        <v>9385918</v>
      </c>
      <c r="E99">
        <v>-120356</v>
      </c>
      <c r="F99">
        <v>9265562</v>
      </c>
      <c r="G99">
        <v>0</v>
      </c>
      <c r="H99">
        <v>0</v>
      </c>
      <c r="I99">
        <v>0</v>
      </c>
      <c r="J99">
        <v>9265562</v>
      </c>
    </row>
    <row r="100" spans="1:10" x14ac:dyDescent="0.3">
      <c r="A100" t="s">
        <v>988</v>
      </c>
      <c r="B100" t="s">
        <v>515</v>
      </c>
      <c r="C100">
        <v>0</v>
      </c>
      <c r="D100">
        <v>1061079</v>
      </c>
      <c r="E100">
        <v>0</v>
      </c>
      <c r="F100">
        <v>1061079</v>
      </c>
      <c r="G100">
        <v>0</v>
      </c>
      <c r="H100">
        <v>0</v>
      </c>
      <c r="I100">
        <v>0</v>
      </c>
      <c r="J100">
        <v>1061079</v>
      </c>
    </row>
    <row r="101" spans="1:10" x14ac:dyDescent="0.3">
      <c r="A101" t="s">
        <v>665</v>
      </c>
      <c r="B101" t="s">
        <v>904</v>
      </c>
      <c r="C101">
        <v>0</v>
      </c>
      <c r="D101">
        <v>130838</v>
      </c>
      <c r="E101">
        <v>-3338</v>
      </c>
      <c r="F101">
        <v>127500</v>
      </c>
      <c r="G101">
        <v>0</v>
      </c>
      <c r="H101">
        <v>0</v>
      </c>
      <c r="I101">
        <v>0</v>
      </c>
      <c r="J101">
        <v>127500</v>
      </c>
    </row>
    <row r="102" spans="1:10" x14ac:dyDescent="0.3">
      <c r="A102" t="s">
        <v>331</v>
      </c>
      <c r="B102" t="s">
        <v>622</v>
      </c>
      <c r="C102">
        <v>0</v>
      </c>
      <c r="D102">
        <v>959</v>
      </c>
      <c r="E102">
        <v>0</v>
      </c>
      <c r="F102">
        <v>959</v>
      </c>
      <c r="G102">
        <v>0</v>
      </c>
      <c r="H102">
        <v>0</v>
      </c>
      <c r="I102">
        <v>0</v>
      </c>
      <c r="J102">
        <v>959</v>
      </c>
    </row>
    <row r="103" spans="1:10" x14ac:dyDescent="0.3">
      <c r="A103" t="s">
        <v>1324</v>
      </c>
      <c r="B103" t="s">
        <v>289</v>
      </c>
      <c r="C103">
        <v>0</v>
      </c>
      <c r="D103">
        <v>42691</v>
      </c>
      <c r="E103">
        <v>-917</v>
      </c>
      <c r="F103">
        <v>41774</v>
      </c>
      <c r="G103">
        <v>0</v>
      </c>
      <c r="H103">
        <v>0</v>
      </c>
      <c r="I103">
        <v>0</v>
      </c>
      <c r="J103">
        <v>41774</v>
      </c>
    </row>
    <row r="104" spans="1:10" x14ac:dyDescent="0.3">
      <c r="A104" t="s">
        <v>1004</v>
      </c>
      <c r="B104" t="s">
        <v>827</v>
      </c>
      <c r="C104">
        <v>0</v>
      </c>
      <c r="D104">
        <v>36101</v>
      </c>
      <c r="E104">
        <v>-330</v>
      </c>
      <c r="F104">
        <v>35771</v>
      </c>
      <c r="G104">
        <v>0</v>
      </c>
      <c r="H104">
        <v>0</v>
      </c>
      <c r="I104">
        <v>0</v>
      </c>
      <c r="J104">
        <v>35771</v>
      </c>
    </row>
    <row r="105" spans="1:10" x14ac:dyDescent="0.3">
      <c r="A105" t="s">
        <v>689</v>
      </c>
      <c r="B105" t="s">
        <v>816</v>
      </c>
      <c r="C105">
        <v>0</v>
      </c>
      <c r="D105">
        <v>1911</v>
      </c>
      <c r="E105">
        <v>0</v>
      </c>
      <c r="F105">
        <v>1911</v>
      </c>
      <c r="G105">
        <v>0</v>
      </c>
      <c r="H105">
        <v>0</v>
      </c>
      <c r="I105">
        <v>0</v>
      </c>
      <c r="J105">
        <v>1911</v>
      </c>
    </row>
    <row r="106" spans="1:10" x14ac:dyDescent="0.3">
      <c r="A106" t="s">
        <v>361</v>
      </c>
      <c r="B106" t="s">
        <v>330</v>
      </c>
      <c r="C106">
        <v>0</v>
      </c>
      <c r="D106">
        <v>26956</v>
      </c>
      <c r="E106">
        <v>0</v>
      </c>
      <c r="F106">
        <v>26956</v>
      </c>
      <c r="G106">
        <v>107</v>
      </c>
      <c r="H106">
        <v>0</v>
      </c>
      <c r="I106">
        <v>107</v>
      </c>
      <c r="J106">
        <v>26849</v>
      </c>
    </row>
    <row r="107" spans="1:10" x14ac:dyDescent="0.3">
      <c r="A107" t="s">
        <v>873</v>
      </c>
      <c r="B107" t="s">
        <v>767</v>
      </c>
      <c r="C107">
        <v>0</v>
      </c>
      <c r="D107">
        <v>10692</v>
      </c>
      <c r="E107">
        <v>0</v>
      </c>
      <c r="F107">
        <v>10692</v>
      </c>
      <c r="G107">
        <v>0</v>
      </c>
      <c r="H107">
        <v>0</v>
      </c>
      <c r="I107">
        <v>0</v>
      </c>
      <c r="J107">
        <v>10692</v>
      </c>
    </row>
    <row r="108" spans="1:10" x14ac:dyDescent="0.3">
      <c r="A108" t="s">
        <v>1190</v>
      </c>
      <c r="B108" t="s">
        <v>436</v>
      </c>
      <c r="C108">
        <v>0</v>
      </c>
      <c r="D108">
        <v>2406</v>
      </c>
      <c r="E108">
        <v>0</v>
      </c>
      <c r="F108">
        <v>2406</v>
      </c>
      <c r="G108">
        <v>0</v>
      </c>
      <c r="H108">
        <v>0</v>
      </c>
      <c r="I108">
        <v>0</v>
      </c>
      <c r="J108">
        <v>2406</v>
      </c>
    </row>
    <row r="109" spans="1:10" x14ac:dyDescent="0.3">
      <c r="A109" t="s">
        <v>818</v>
      </c>
      <c r="B109" t="s">
        <v>1288</v>
      </c>
      <c r="C109">
        <v>0</v>
      </c>
      <c r="D109">
        <v>16463</v>
      </c>
      <c r="E109">
        <v>0</v>
      </c>
      <c r="F109">
        <v>16463</v>
      </c>
      <c r="G109">
        <v>35</v>
      </c>
      <c r="H109">
        <v>0</v>
      </c>
      <c r="I109">
        <v>35</v>
      </c>
      <c r="J109">
        <v>16428</v>
      </c>
    </row>
    <row r="110" spans="1:10" x14ac:dyDescent="0.3">
      <c r="A110" t="s">
        <v>103</v>
      </c>
      <c r="B110" t="s">
        <v>1053</v>
      </c>
      <c r="C110">
        <v>0</v>
      </c>
      <c r="D110">
        <v>965</v>
      </c>
      <c r="E110">
        <v>0</v>
      </c>
      <c r="F110">
        <v>965</v>
      </c>
      <c r="G110">
        <v>0</v>
      </c>
      <c r="H110">
        <v>0</v>
      </c>
      <c r="I110">
        <v>0</v>
      </c>
      <c r="J110">
        <v>965</v>
      </c>
    </row>
    <row r="111" spans="1:10" x14ac:dyDescent="0.3">
      <c r="A111" t="s">
        <v>461</v>
      </c>
      <c r="B111" t="s">
        <v>299</v>
      </c>
      <c r="C111">
        <v>0</v>
      </c>
      <c r="D111">
        <v>119</v>
      </c>
      <c r="E111">
        <v>0</v>
      </c>
      <c r="F111">
        <v>119</v>
      </c>
      <c r="G111">
        <v>0</v>
      </c>
      <c r="H111">
        <v>0</v>
      </c>
      <c r="I111">
        <v>0</v>
      </c>
      <c r="J111">
        <v>119</v>
      </c>
    </row>
    <row r="112" spans="1:10" x14ac:dyDescent="0.3">
      <c r="A112" t="s">
        <v>498</v>
      </c>
      <c r="B112" t="s">
        <v>819</v>
      </c>
      <c r="C112">
        <v>0</v>
      </c>
      <c r="D112">
        <v>323</v>
      </c>
      <c r="E112">
        <v>0</v>
      </c>
      <c r="F112">
        <v>323</v>
      </c>
      <c r="G112">
        <v>0</v>
      </c>
      <c r="H112">
        <v>0</v>
      </c>
      <c r="I112">
        <v>0</v>
      </c>
      <c r="J112">
        <v>323</v>
      </c>
    </row>
    <row r="113" spans="1:10" x14ac:dyDescent="0.3">
      <c r="A113" t="s">
        <v>225</v>
      </c>
      <c r="B113" t="s">
        <v>342</v>
      </c>
      <c r="C113">
        <v>0</v>
      </c>
      <c r="D113">
        <v>1376</v>
      </c>
      <c r="E113">
        <v>0</v>
      </c>
      <c r="F113">
        <v>1376</v>
      </c>
      <c r="G113">
        <v>0</v>
      </c>
      <c r="H113">
        <v>0</v>
      </c>
      <c r="I113">
        <v>0</v>
      </c>
      <c r="J113">
        <v>1376</v>
      </c>
    </row>
    <row r="114" spans="1:10" x14ac:dyDescent="0.3">
      <c r="A114" t="s">
        <v>554</v>
      </c>
      <c r="B114" t="s">
        <v>715</v>
      </c>
      <c r="C114">
        <v>0</v>
      </c>
      <c r="D114">
        <v>463</v>
      </c>
      <c r="E114">
        <v>0</v>
      </c>
      <c r="F114">
        <v>463</v>
      </c>
      <c r="G114">
        <v>0</v>
      </c>
      <c r="H114">
        <v>0</v>
      </c>
      <c r="I114">
        <v>0</v>
      </c>
      <c r="J114">
        <v>463</v>
      </c>
    </row>
    <row r="115" spans="1:10" x14ac:dyDescent="0.3">
      <c r="A115" t="s">
        <v>592</v>
      </c>
      <c r="B115" t="s">
        <v>457</v>
      </c>
      <c r="C115">
        <v>0</v>
      </c>
      <c r="D115">
        <v>485</v>
      </c>
      <c r="E115">
        <v>0</v>
      </c>
      <c r="F115">
        <v>485</v>
      </c>
      <c r="G115">
        <v>0</v>
      </c>
      <c r="H115">
        <v>0</v>
      </c>
      <c r="I115">
        <v>0</v>
      </c>
      <c r="J115">
        <v>485</v>
      </c>
    </row>
    <row r="116" spans="1:10" x14ac:dyDescent="0.3">
      <c r="A116" t="s">
        <v>683</v>
      </c>
      <c r="B116" t="s">
        <v>993</v>
      </c>
      <c r="C116">
        <v>0</v>
      </c>
      <c r="D116">
        <v>1693</v>
      </c>
      <c r="E116">
        <v>0</v>
      </c>
      <c r="F116">
        <v>1693</v>
      </c>
      <c r="G116">
        <v>0</v>
      </c>
      <c r="H116">
        <v>0</v>
      </c>
      <c r="I116">
        <v>0</v>
      </c>
      <c r="J116">
        <v>1693</v>
      </c>
    </row>
    <row r="117" spans="1:10" x14ac:dyDescent="0.3">
      <c r="A117" t="s">
        <v>339</v>
      </c>
      <c r="B117" t="s">
        <v>586</v>
      </c>
      <c r="C117">
        <v>0</v>
      </c>
      <c r="D117">
        <v>123</v>
      </c>
      <c r="E117">
        <v>0</v>
      </c>
      <c r="F117">
        <v>123</v>
      </c>
      <c r="G117">
        <v>0</v>
      </c>
      <c r="H117">
        <v>0</v>
      </c>
      <c r="I117">
        <v>0</v>
      </c>
      <c r="J117">
        <v>123</v>
      </c>
    </row>
    <row r="118" spans="1:10" x14ac:dyDescent="0.3">
      <c r="A118" t="s">
        <v>298</v>
      </c>
      <c r="B118" t="s">
        <v>349</v>
      </c>
      <c r="C118">
        <v>0</v>
      </c>
      <c r="D118">
        <v>537</v>
      </c>
      <c r="E118">
        <v>0</v>
      </c>
      <c r="F118">
        <v>537</v>
      </c>
      <c r="G118">
        <v>0</v>
      </c>
      <c r="H118">
        <v>0</v>
      </c>
      <c r="I118">
        <v>0</v>
      </c>
      <c r="J118">
        <v>537</v>
      </c>
    </row>
    <row r="119" spans="1:10" x14ac:dyDescent="0.3">
      <c r="A119" t="s">
        <v>417</v>
      </c>
      <c r="B119" t="s">
        <v>771</v>
      </c>
      <c r="C119">
        <v>0</v>
      </c>
      <c r="D119">
        <v>39</v>
      </c>
      <c r="E119">
        <v>0</v>
      </c>
      <c r="F119">
        <v>39</v>
      </c>
      <c r="G119">
        <v>0</v>
      </c>
      <c r="H119">
        <v>0</v>
      </c>
      <c r="I119">
        <v>0</v>
      </c>
      <c r="J119">
        <v>39</v>
      </c>
    </row>
    <row r="120" spans="1:10" x14ac:dyDescent="0.3">
      <c r="A120" t="s">
        <v>364</v>
      </c>
      <c r="B120" t="s">
        <v>325</v>
      </c>
      <c r="C120">
        <v>0</v>
      </c>
      <c r="D120">
        <v>529</v>
      </c>
      <c r="E120">
        <v>0</v>
      </c>
      <c r="F120">
        <v>529</v>
      </c>
      <c r="G120">
        <v>0</v>
      </c>
      <c r="H120">
        <v>0</v>
      </c>
      <c r="I120">
        <v>0</v>
      </c>
      <c r="J120">
        <v>529</v>
      </c>
    </row>
    <row r="121" spans="1:10" x14ac:dyDescent="0.3">
      <c r="A121" t="s">
        <v>126</v>
      </c>
      <c r="B121" t="s">
        <v>279</v>
      </c>
      <c r="C121">
        <v>0</v>
      </c>
      <c r="D121">
        <v>141636</v>
      </c>
      <c r="E121">
        <v>0</v>
      </c>
      <c r="F121">
        <v>141636</v>
      </c>
      <c r="G121">
        <v>0</v>
      </c>
      <c r="H121">
        <v>0</v>
      </c>
      <c r="I121">
        <v>0</v>
      </c>
      <c r="J121">
        <v>141636</v>
      </c>
    </row>
    <row r="122" spans="1:10" x14ac:dyDescent="0.3">
      <c r="A122" t="s">
        <v>443</v>
      </c>
      <c r="B122" t="s">
        <v>753</v>
      </c>
      <c r="C122">
        <v>0</v>
      </c>
      <c r="D122">
        <v>635</v>
      </c>
      <c r="E122">
        <v>0</v>
      </c>
      <c r="F122">
        <v>635</v>
      </c>
      <c r="G122">
        <v>0</v>
      </c>
      <c r="H122">
        <v>0</v>
      </c>
      <c r="I122">
        <v>0</v>
      </c>
      <c r="J122">
        <v>635</v>
      </c>
    </row>
    <row r="123" spans="1:10" x14ac:dyDescent="0.3">
      <c r="A123" t="s">
        <v>655</v>
      </c>
      <c r="B123" t="s">
        <v>264</v>
      </c>
      <c r="C123">
        <v>0</v>
      </c>
      <c r="D123">
        <v>24219</v>
      </c>
      <c r="E123">
        <v>0</v>
      </c>
      <c r="F123">
        <v>24219</v>
      </c>
      <c r="G123">
        <v>0</v>
      </c>
      <c r="H123">
        <v>0</v>
      </c>
      <c r="I123">
        <v>0</v>
      </c>
      <c r="J123">
        <v>24219</v>
      </c>
    </row>
    <row r="124" spans="1:10" x14ac:dyDescent="0.3">
      <c r="A124" t="s">
        <v>936</v>
      </c>
      <c r="B124" t="s">
        <v>1088</v>
      </c>
      <c r="C124">
        <v>0</v>
      </c>
      <c r="D124">
        <v>6538</v>
      </c>
      <c r="E124">
        <v>0</v>
      </c>
      <c r="F124">
        <v>6538</v>
      </c>
      <c r="G124">
        <v>0</v>
      </c>
      <c r="H124">
        <v>0</v>
      </c>
      <c r="I124">
        <v>0</v>
      </c>
      <c r="J124">
        <v>6538</v>
      </c>
    </row>
    <row r="125" spans="1:10" x14ac:dyDescent="0.3">
      <c r="A125" t="s">
        <v>1074</v>
      </c>
      <c r="B125" t="s">
        <v>135</v>
      </c>
      <c r="C125">
        <v>0</v>
      </c>
      <c r="D125">
        <v>3231</v>
      </c>
      <c r="E125">
        <v>0</v>
      </c>
      <c r="F125">
        <v>3231</v>
      </c>
      <c r="G125">
        <v>0</v>
      </c>
      <c r="H125">
        <v>0</v>
      </c>
      <c r="I125">
        <v>0</v>
      </c>
      <c r="J125">
        <v>3231</v>
      </c>
    </row>
    <row r="126" spans="1:10" x14ac:dyDescent="0.3">
      <c r="A126" t="s">
        <v>800</v>
      </c>
      <c r="B126" t="s">
        <v>1312</v>
      </c>
      <c r="C126">
        <v>0</v>
      </c>
      <c r="D126">
        <v>4949</v>
      </c>
      <c r="E126">
        <v>0</v>
      </c>
      <c r="F126">
        <v>4949</v>
      </c>
      <c r="G126">
        <v>0</v>
      </c>
      <c r="H126">
        <v>0</v>
      </c>
      <c r="I126">
        <v>0</v>
      </c>
      <c r="J126">
        <v>4949</v>
      </c>
    </row>
    <row r="127" spans="1:10" x14ac:dyDescent="0.3">
      <c r="A127" t="s">
        <v>940</v>
      </c>
      <c r="B127" t="s">
        <v>932</v>
      </c>
      <c r="C127">
        <v>0</v>
      </c>
      <c r="D127">
        <v>0</v>
      </c>
      <c r="E127">
        <v>0</v>
      </c>
      <c r="F127">
        <v>0</v>
      </c>
      <c r="G127">
        <v>10384</v>
      </c>
      <c r="H127">
        <v>0</v>
      </c>
      <c r="I127">
        <v>10384</v>
      </c>
      <c r="J127">
        <v>-10384</v>
      </c>
    </row>
    <row r="128" spans="1:10" x14ac:dyDescent="0.3">
      <c r="A128" t="s">
        <v>406</v>
      </c>
      <c r="B128" t="s">
        <v>7</v>
      </c>
      <c r="C128">
        <v>0</v>
      </c>
      <c r="D128">
        <v>50607</v>
      </c>
      <c r="E128">
        <v>0</v>
      </c>
      <c r="F128">
        <v>50607</v>
      </c>
      <c r="G128">
        <v>0</v>
      </c>
      <c r="H128">
        <v>0</v>
      </c>
      <c r="I128">
        <v>0</v>
      </c>
      <c r="J128">
        <v>50607</v>
      </c>
    </row>
    <row r="129" spans="1:10" x14ac:dyDescent="0.3">
      <c r="A129" t="s">
        <v>97</v>
      </c>
      <c r="B129" t="s">
        <v>170</v>
      </c>
      <c r="C129">
        <v>0</v>
      </c>
      <c r="D129">
        <v>3835</v>
      </c>
      <c r="E129">
        <v>0</v>
      </c>
      <c r="F129">
        <v>3835</v>
      </c>
      <c r="G129">
        <v>0</v>
      </c>
      <c r="H129">
        <v>0</v>
      </c>
      <c r="I129">
        <v>0</v>
      </c>
      <c r="J129">
        <v>3835</v>
      </c>
    </row>
    <row r="130" spans="1:10" x14ac:dyDescent="0.3">
      <c r="A130" t="s">
        <v>895</v>
      </c>
      <c r="B130" t="s">
        <v>664</v>
      </c>
      <c r="C130">
        <v>0</v>
      </c>
      <c r="D130">
        <v>698</v>
      </c>
      <c r="E130">
        <v>0</v>
      </c>
      <c r="F130">
        <v>698</v>
      </c>
      <c r="G130">
        <v>0</v>
      </c>
      <c r="H130">
        <v>0</v>
      </c>
      <c r="I130">
        <v>0</v>
      </c>
      <c r="J130">
        <v>698</v>
      </c>
    </row>
    <row r="131" spans="1:10" x14ac:dyDescent="0.3">
      <c r="A131" t="s">
        <v>177</v>
      </c>
      <c r="B131" t="s">
        <v>1156</v>
      </c>
      <c r="C131">
        <v>0</v>
      </c>
      <c r="D131">
        <v>185</v>
      </c>
      <c r="E131">
        <v>0</v>
      </c>
      <c r="F131">
        <v>185</v>
      </c>
      <c r="G131">
        <v>0</v>
      </c>
      <c r="H131">
        <v>0</v>
      </c>
      <c r="I131">
        <v>0</v>
      </c>
      <c r="J131">
        <v>185</v>
      </c>
    </row>
    <row r="132" spans="1:10" x14ac:dyDescent="0.3">
      <c r="A132" t="s">
        <v>1046</v>
      </c>
      <c r="B132" t="s">
        <v>288</v>
      </c>
      <c r="C132">
        <v>0</v>
      </c>
      <c r="D132">
        <v>17336</v>
      </c>
      <c r="E132">
        <v>0</v>
      </c>
      <c r="F132">
        <v>17336</v>
      </c>
      <c r="G132">
        <v>0</v>
      </c>
      <c r="H132">
        <v>0</v>
      </c>
      <c r="I132">
        <v>0</v>
      </c>
      <c r="J132">
        <v>17336</v>
      </c>
    </row>
    <row r="133" spans="1:10" x14ac:dyDescent="0.3">
      <c r="A133" t="s">
        <v>1037</v>
      </c>
      <c r="B133" t="s">
        <v>61</v>
      </c>
      <c r="C133">
        <v>0</v>
      </c>
      <c r="D133">
        <v>2101</v>
      </c>
      <c r="E133">
        <v>0</v>
      </c>
      <c r="F133">
        <v>2101</v>
      </c>
      <c r="G133">
        <v>0</v>
      </c>
      <c r="H133">
        <v>0</v>
      </c>
      <c r="I133">
        <v>0</v>
      </c>
      <c r="J133">
        <v>2101</v>
      </c>
    </row>
    <row r="134" spans="1:10" x14ac:dyDescent="0.3">
      <c r="A134" t="s">
        <v>722</v>
      </c>
      <c r="B134" t="s">
        <v>1131</v>
      </c>
      <c r="C134">
        <v>0</v>
      </c>
      <c r="D134">
        <v>46</v>
      </c>
      <c r="E134">
        <v>0</v>
      </c>
      <c r="F134">
        <v>46</v>
      </c>
      <c r="G134">
        <v>0</v>
      </c>
      <c r="H134">
        <v>0</v>
      </c>
      <c r="I134">
        <v>0</v>
      </c>
      <c r="J134">
        <v>46</v>
      </c>
    </row>
    <row r="135" spans="1:10" x14ac:dyDescent="0.3">
      <c r="A135" t="s">
        <v>363</v>
      </c>
      <c r="B135" t="s">
        <v>540</v>
      </c>
      <c r="C135">
        <v>0</v>
      </c>
      <c r="D135">
        <v>120792</v>
      </c>
      <c r="E135">
        <v>-1042</v>
      </c>
      <c r="F135">
        <v>119750</v>
      </c>
      <c r="G135">
        <v>0</v>
      </c>
      <c r="H135">
        <v>0</v>
      </c>
      <c r="I135">
        <v>0</v>
      </c>
      <c r="J135">
        <v>119750</v>
      </c>
    </row>
    <row r="136" spans="1:10" x14ac:dyDescent="0.3">
      <c r="A136" t="s">
        <v>844</v>
      </c>
      <c r="B136" t="s">
        <v>792</v>
      </c>
      <c r="C136">
        <v>0</v>
      </c>
      <c r="D136">
        <v>1093</v>
      </c>
      <c r="E136">
        <v>0</v>
      </c>
      <c r="F136">
        <v>1093</v>
      </c>
      <c r="G136">
        <v>0</v>
      </c>
      <c r="H136">
        <v>0</v>
      </c>
      <c r="I136">
        <v>0</v>
      </c>
      <c r="J136">
        <v>1093</v>
      </c>
    </row>
    <row r="137" spans="1:10" x14ac:dyDescent="0.3">
      <c r="A137" t="s">
        <v>145</v>
      </c>
      <c r="B137" t="s">
        <v>855</v>
      </c>
      <c r="C137">
        <v>0</v>
      </c>
      <c r="D137">
        <v>15280</v>
      </c>
      <c r="E137">
        <v>-1436</v>
      </c>
      <c r="F137">
        <v>13844</v>
      </c>
      <c r="G137">
        <v>0</v>
      </c>
      <c r="H137">
        <v>0</v>
      </c>
      <c r="I137">
        <v>0</v>
      </c>
      <c r="J137">
        <v>13844</v>
      </c>
    </row>
    <row r="138" spans="1:10" x14ac:dyDescent="0.3">
      <c r="A138" t="s">
        <v>921</v>
      </c>
      <c r="B138" t="s">
        <v>1003</v>
      </c>
      <c r="C138">
        <v>0</v>
      </c>
      <c r="D138">
        <v>318837</v>
      </c>
      <c r="E138">
        <v>-4680</v>
      </c>
      <c r="F138">
        <v>314157</v>
      </c>
      <c r="G138">
        <v>0</v>
      </c>
      <c r="H138">
        <v>0</v>
      </c>
      <c r="I138">
        <v>0</v>
      </c>
      <c r="J138">
        <v>314157</v>
      </c>
    </row>
    <row r="139" spans="1:10" x14ac:dyDescent="0.3">
      <c r="A139" t="s">
        <v>251</v>
      </c>
      <c r="B139" t="s">
        <v>236</v>
      </c>
      <c r="C139">
        <v>0</v>
      </c>
      <c r="D139">
        <v>8133</v>
      </c>
      <c r="E139">
        <v>0</v>
      </c>
      <c r="F139">
        <v>8133</v>
      </c>
      <c r="G139">
        <v>0</v>
      </c>
      <c r="H139">
        <v>0</v>
      </c>
      <c r="I139">
        <v>0</v>
      </c>
      <c r="J139">
        <v>8133</v>
      </c>
    </row>
    <row r="140" spans="1:10" x14ac:dyDescent="0.3">
      <c r="A140" t="s">
        <v>179</v>
      </c>
      <c r="B140" t="s">
        <v>615</v>
      </c>
      <c r="C140">
        <v>0</v>
      </c>
      <c r="D140">
        <v>18977</v>
      </c>
      <c r="E140">
        <v>-267</v>
      </c>
      <c r="F140">
        <v>18710</v>
      </c>
      <c r="G140">
        <v>95</v>
      </c>
      <c r="H140">
        <v>0</v>
      </c>
      <c r="I140">
        <v>95</v>
      </c>
      <c r="J140">
        <v>18615</v>
      </c>
    </row>
    <row r="141" spans="1:10" x14ac:dyDescent="0.3">
      <c r="A141" t="s">
        <v>517</v>
      </c>
      <c r="B141" t="s">
        <v>1159</v>
      </c>
      <c r="C141">
        <v>0</v>
      </c>
      <c r="D141">
        <v>8222</v>
      </c>
      <c r="E141">
        <v>0</v>
      </c>
      <c r="F141">
        <v>8222</v>
      </c>
      <c r="G141">
        <v>0</v>
      </c>
      <c r="H141">
        <v>0</v>
      </c>
      <c r="I141">
        <v>0</v>
      </c>
      <c r="J141">
        <v>8222</v>
      </c>
    </row>
    <row r="142" spans="1:10" x14ac:dyDescent="0.3">
      <c r="A142" t="s">
        <v>402</v>
      </c>
      <c r="B142" t="s">
        <v>85</v>
      </c>
      <c r="C142">
        <v>0</v>
      </c>
      <c r="D142">
        <v>36700</v>
      </c>
      <c r="E142">
        <v>0</v>
      </c>
      <c r="F142">
        <v>36700</v>
      </c>
      <c r="G142">
        <v>0</v>
      </c>
      <c r="H142">
        <v>0</v>
      </c>
      <c r="I142">
        <v>0</v>
      </c>
      <c r="J142">
        <v>36700</v>
      </c>
    </row>
    <row r="143" spans="1:10" x14ac:dyDescent="0.3">
      <c r="A143" t="s">
        <v>31</v>
      </c>
      <c r="B143" t="s">
        <v>708</v>
      </c>
      <c r="C143">
        <v>0</v>
      </c>
      <c r="D143">
        <v>4499</v>
      </c>
      <c r="E143">
        <v>0</v>
      </c>
      <c r="F143">
        <v>4499</v>
      </c>
      <c r="G143">
        <v>0</v>
      </c>
      <c r="H143">
        <v>0</v>
      </c>
      <c r="I143">
        <v>0</v>
      </c>
      <c r="J143">
        <v>4499</v>
      </c>
    </row>
    <row r="144" spans="1:10" x14ac:dyDescent="0.3">
      <c r="A144" t="s">
        <v>1054</v>
      </c>
      <c r="B144" t="s">
        <v>897</v>
      </c>
      <c r="C144">
        <v>0</v>
      </c>
      <c r="D144">
        <v>1208</v>
      </c>
      <c r="E144">
        <v>0</v>
      </c>
      <c r="F144">
        <v>1208</v>
      </c>
      <c r="G144">
        <v>0</v>
      </c>
      <c r="H144">
        <v>0</v>
      </c>
      <c r="I144">
        <v>0</v>
      </c>
      <c r="J144">
        <v>1208</v>
      </c>
    </row>
    <row r="145" spans="1:10" x14ac:dyDescent="0.3">
      <c r="A145" t="s">
        <v>609</v>
      </c>
      <c r="B145" t="s">
        <v>1066</v>
      </c>
      <c r="C145">
        <v>0</v>
      </c>
      <c r="D145">
        <v>34114</v>
      </c>
      <c r="E145">
        <v>0</v>
      </c>
      <c r="F145">
        <v>34114</v>
      </c>
      <c r="G145">
        <v>0</v>
      </c>
      <c r="H145">
        <v>0</v>
      </c>
      <c r="I145">
        <v>0</v>
      </c>
      <c r="J145">
        <v>34114</v>
      </c>
    </row>
    <row r="146" spans="1:10" x14ac:dyDescent="0.3">
      <c r="A146" t="s">
        <v>435</v>
      </c>
      <c r="B146" t="s">
        <v>539</v>
      </c>
      <c r="C146">
        <v>0</v>
      </c>
      <c r="D146">
        <v>73397</v>
      </c>
      <c r="E146">
        <v>-705</v>
      </c>
      <c r="F146">
        <v>72692</v>
      </c>
      <c r="G146">
        <v>0</v>
      </c>
      <c r="H146">
        <v>0</v>
      </c>
      <c r="I146">
        <v>0</v>
      </c>
      <c r="J146">
        <v>72692</v>
      </c>
    </row>
    <row r="147" spans="1:10" x14ac:dyDescent="0.3">
      <c r="A147" t="s">
        <v>69</v>
      </c>
      <c r="B147" t="s">
        <v>605</v>
      </c>
      <c r="C147">
        <v>0</v>
      </c>
      <c r="D147">
        <v>67646</v>
      </c>
      <c r="E147">
        <v>-4800</v>
      </c>
      <c r="F147">
        <v>62846</v>
      </c>
      <c r="G147">
        <v>0</v>
      </c>
      <c r="H147">
        <v>0</v>
      </c>
      <c r="I147">
        <v>0</v>
      </c>
      <c r="J147">
        <v>62846</v>
      </c>
    </row>
    <row r="148" spans="1:10" x14ac:dyDescent="0.3">
      <c r="A148" t="s">
        <v>670</v>
      </c>
      <c r="B148" t="s">
        <v>1197</v>
      </c>
      <c r="C148">
        <v>0</v>
      </c>
      <c r="D148">
        <v>49296</v>
      </c>
      <c r="E148">
        <v>-1320</v>
      </c>
      <c r="F148">
        <v>47976</v>
      </c>
      <c r="G148">
        <v>0</v>
      </c>
      <c r="H148">
        <v>0</v>
      </c>
      <c r="I148">
        <v>0</v>
      </c>
      <c r="J148">
        <v>47976</v>
      </c>
    </row>
    <row r="149" spans="1:10" x14ac:dyDescent="0.3">
      <c r="A149" t="s">
        <v>823</v>
      </c>
      <c r="B149" t="s">
        <v>1123</v>
      </c>
      <c r="C149">
        <v>0</v>
      </c>
      <c r="D149">
        <v>1093953</v>
      </c>
      <c r="E149">
        <v>0</v>
      </c>
      <c r="F149">
        <v>1093953</v>
      </c>
      <c r="G149">
        <v>26035</v>
      </c>
      <c r="H149">
        <v>0</v>
      </c>
      <c r="I149">
        <v>26035</v>
      </c>
      <c r="J149">
        <v>1067918</v>
      </c>
    </row>
    <row r="150" spans="1:10" x14ac:dyDescent="0.3">
      <c r="A150" t="s">
        <v>645</v>
      </c>
      <c r="B150" t="s">
        <v>15</v>
      </c>
      <c r="C150">
        <v>0</v>
      </c>
      <c r="D150">
        <v>20820</v>
      </c>
      <c r="E150">
        <v>0</v>
      </c>
      <c r="F150">
        <v>20820</v>
      </c>
      <c r="G150">
        <v>0</v>
      </c>
      <c r="H150">
        <v>0</v>
      </c>
      <c r="I150">
        <v>0</v>
      </c>
      <c r="J150">
        <v>20820</v>
      </c>
    </row>
    <row r="151" spans="1:10" x14ac:dyDescent="0.3">
      <c r="A151" t="s">
        <v>915</v>
      </c>
      <c r="B151" t="s">
        <v>624</v>
      </c>
      <c r="C151">
        <v>0</v>
      </c>
      <c r="D151">
        <v>371675</v>
      </c>
      <c r="E151">
        <v>-103</v>
      </c>
      <c r="F151">
        <v>371572</v>
      </c>
      <c r="G151">
        <v>12287</v>
      </c>
      <c r="H151">
        <v>0</v>
      </c>
      <c r="I151">
        <v>12287</v>
      </c>
      <c r="J151">
        <v>359285</v>
      </c>
    </row>
    <row r="152" spans="1:10" x14ac:dyDescent="0.3">
      <c r="A152" t="s">
        <v>1093</v>
      </c>
      <c r="B152" t="s">
        <v>911</v>
      </c>
      <c r="C152">
        <v>0</v>
      </c>
      <c r="D152">
        <v>417</v>
      </c>
      <c r="E152">
        <v>0</v>
      </c>
      <c r="F152">
        <v>417</v>
      </c>
      <c r="G152">
        <v>0</v>
      </c>
      <c r="H152">
        <v>0</v>
      </c>
      <c r="I152">
        <v>0</v>
      </c>
      <c r="J152">
        <v>417</v>
      </c>
    </row>
    <row r="153" spans="1:10" x14ac:dyDescent="0.3">
      <c r="A153" t="s">
        <v>389</v>
      </c>
      <c r="B153" t="s">
        <v>1036</v>
      </c>
      <c r="C153">
        <v>0</v>
      </c>
      <c r="D153">
        <v>40822</v>
      </c>
      <c r="E153">
        <v>0</v>
      </c>
      <c r="F153">
        <v>40822</v>
      </c>
      <c r="G153">
        <v>0</v>
      </c>
      <c r="H153">
        <v>0</v>
      </c>
      <c r="I153">
        <v>0</v>
      </c>
      <c r="J153">
        <v>40822</v>
      </c>
    </row>
    <row r="154" spans="1:10" x14ac:dyDescent="0.3">
      <c r="A154" t="s">
        <v>175</v>
      </c>
      <c r="B154" t="s">
        <v>801</v>
      </c>
      <c r="C154">
        <v>0</v>
      </c>
      <c r="D154">
        <v>5683</v>
      </c>
      <c r="E154">
        <v>0</v>
      </c>
      <c r="F154">
        <v>5683</v>
      </c>
      <c r="G154">
        <v>0</v>
      </c>
      <c r="H154">
        <v>0</v>
      </c>
      <c r="I154">
        <v>0</v>
      </c>
      <c r="J154">
        <v>5683</v>
      </c>
    </row>
    <row r="155" spans="1:10" x14ac:dyDescent="0.3">
      <c r="A155" t="s">
        <v>253</v>
      </c>
      <c r="B155" t="s">
        <v>384</v>
      </c>
      <c r="C155">
        <v>0</v>
      </c>
      <c r="D155">
        <v>9089</v>
      </c>
      <c r="E155">
        <v>0</v>
      </c>
      <c r="F155">
        <v>9089</v>
      </c>
      <c r="G155">
        <v>0</v>
      </c>
      <c r="H155">
        <v>0</v>
      </c>
      <c r="I155">
        <v>0</v>
      </c>
      <c r="J155">
        <v>9089</v>
      </c>
    </row>
    <row r="156" spans="1:10" x14ac:dyDescent="0.3">
      <c r="A156" t="s">
        <v>939</v>
      </c>
      <c r="B156" t="s">
        <v>1120</v>
      </c>
      <c r="C156">
        <v>0</v>
      </c>
      <c r="D156">
        <v>5724</v>
      </c>
      <c r="E156">
        <v>0</v>
      </c>
      <c r="F156">
        <v>5724</v>
      </c>
      <c r="G156">
        <v>0</v>
      </c>
      <c r="H156">
        <v>0</v>
      </c>
      <c r="I156">
        <v>0</v>
      </c>
      <c r="J156">
        <v>5724</v>
      </c>
    </row>
    <row r="157" spans="1:10" x14ac:dyDescent="0.3">
      <c r="A157" t="s">
        <v>832</v>
      </c>
      <c r="B157" t="s">
        <v>418</v>
      </c>
      <c r="C157">
        <v>0</v>
      </c>
      <c r="D157">
        <v>62672</v>
      </c>
      <c r="E157">
        <v>0</v>
      </c>
      <c r="F157">
        <v>62672</v>
      </c>
      <c r="G157">
        <v>0</v>
      </c>
      <c r="H157">
        <v>0</v>
      </c>
      <c r="I157">
        <v>0</v>
      </c>
      <c r="J157">
        <v>62672</v>
      </c>
    </row>
    <row r="158" spans="1:10" x14ac:dyDescent="0.3">
      <c r="A158" t="s">
        <v>1323</v>
      </c>
      <c r="B158" t="s">
        <v>533</v>
      </c>
      <c r="C158">
        <v>0</v>
      </c>
      <c r="D158">
        <v>7780</v>
      </c>
      <c r="E158">
        <v>0</v>
      </c>
      <c r="F158">
        <v>7780</v>
      </c>
      <c r="G158">
        <v>0</v>
      </c>
      <c r="H158">
        <v>0</v>
      </c>
      <c r="I158">
        <v>0</v>
      </c>
      <c r="J158">
        <v>7780</v>
      </c>
    </row>
    <row r="159" spans="1:10" x14ac:dyDescent="0.3">
      <c r="A159" t="s">
        <v>102</v>
      </c>
      <c r="B159" t="s">
        <v>35</v>
      </c>
      <c r="C159">
        <v>0</v>
      </c>
      <c r="D159">
        <v>35326</v>
      </c>
      <c r="E159">
        <v>-33624</v>
      </c>
      <c r="F159">
        <v>1702</v>
      </c>
      <c r="G159">
        <v>0</v>
      </c>
      <c r="H159">
        <v>0</v>
      </c>
      <c r="I159">
        <v>0</v>
      </c>
      <c r="J159">
        <v>1702</v>
      </c>
    </row>
    <row r="160" spans="1:10" x14ac:dyDescent="0.3">
      <c r="A160" t="s">
        <v>246</v>
      </c>
      <c r="B160" t="s">
        <v>1158</v>
      </c>
      <c r="C160">
        <v>0</v>
      </c>
      <c r="D160">
        <v>379</v>
      </c>
      <c r="E160">
        <v>0</v>
      </c>
      <c r="F160">
        <v>379</v>
      </c>
      <c r="G160">
        <v>0</v>
      </c>
      <c r="H160">
        <v>0</v>
      </c>
      <c r="I160">
        <v>0</v>
      </c>
      <c r="J160">
        <v>379</v>
      </c>
    </row>
    <row r="161" spans="1:10" x14ac:dyDescent="0.3">
      <c r="A161" t="s">
        <v>1064</v>
      </c>
      <c r="B161" t="s">
        <v>552</v>
      </c>
      <c r="C161">
        <v>0</v>
      </c>
      <c r="D161">
        <v>5517</v>
      </c>
      <c r="E161">
        <v>0</v>
      </c>
      <c r="F161">
        <v>5517</v>
      </c>
      <c r="G161">
        <v>0</v>
      </c>
      <c r="H161">
        <v>0</v>
      </c>
      <c r="I161">
        <v>0</v>
      </c>
      <c r="J161">
        <v>5517</v>
      </c>
    </row>
    <row r="162" spans="1:10" x14ac:dyDescent="0.3">
      <c r="A162" t="s">
        <v>876</v>
      </c>
      <c r="B162" t="s">
        <v>636</v>
      </c>
      <c r="C162">
        <v>0</v>
      </c>
      <c r="D162">
        <v>1451</v>
      </c>
      <c r="E162">
        <v>0</v>
      </c>
      <c r="F162">
        <v>1451</v>
      </c>
      <c r="G162">
        <v>0</v>
      </c>
      <c r="H162">
        <v>0</v>
      </c>
      <c r="I162">
        <v>0</v>
      </c>
      <c r="J162">
        <v>1451</v>
      </c>
    </row>
    <row r="163" spans="1:10" x14ac:dyDescent="0.3">
      <c r="A163" t="s">
        <v>1318</v>
      </c>
      <c r="B163" t="s">
        <v>347</v>
      </c>
      <c r="C163">
        <v>0</v>
      </c>
      <c r="D163">
        <v>956</v>
      </c>
      <c r="E163">
        <v>0</v>
      </c>
      <c r="F163">
        <v>956</v>
      </c>
      <c r="G163">
        <v>0</v>
      </c>
      <c r="H163">
        <v>0</v>
      </c>
      <c r="I163">
        <v>0</v>
      </c>
      <c r="J163">
        <v>956</v>
      </c>
    </row>
    <row r="164" spans="1:10" x14ac:dyDescent="0.3">
      <c r="A164" t="s">
        <v>317</v>
      </c>
      <c r="B164" t="s">
        <v>1328</v>
      </c>
      <c r="C164">
        <v>0</v>
      </c>
      <c r="D164">
        <v>1566892</v>
      </c>
      <c r="E164">
        <v>0</v>
      </c>
      <c r="F164">
        <v>1566892</v>
      </c>
      <c r="G164">
        <v>0</v>
      </c>
      <c r="H164">
        <v>0</v>
      </c>
      <c r="I164">
        <v>0</v>
      </c>
      <c r="J164">
        <v>1566892</v>
      </c>
    </row>
    <row r="165" spans="1:10" x14ac:dyDescent="0.3">
      <c r="A165" t="s">
        <v>1132</v>
      </c>
      <c r="B165" t="s">
        <v>156</v>
      </c>
      <c r="C165">
        <v>0</v>
      </c>
      <c r="D165">
        <v>1395710</v>
      </c>
      <c r="E165">
        <v>0</v>
      </c>
      <c r="F165">
        <v>1395710</v>
      </c>
      <c r="G165">
        <v>10701</v>
      </c>
      <c r="H165">
        <v>0</v>
      </c>
      <c r="I165">
        <v>10701</v>
      </c>
      <c r="J165">
        <v>1385009</v>
      </c>
    </row>
    <row r="166" spans="1:10" x14ac:dyDescent="0.3">
      <c r="A166" t="s">
        <v>959</v>
      </c>
      <c r="B166" t="s">
        <v>625</v>
      </c>
      <c r="C166">
        <v>0</v>
      </c>
      <c r="D166">
        <v>368</v>
      </c>
      <c r="E166">
        <v>0</v>
      </c>
      <c r="F166">
        <v>368</v>
      </c>
      <c r="G166">
        <v>0</v>
      </c>
      <c r="H166">
        <v>0</v>
      </c>
      <c r="I166">
        <v>0</v>
      </c>
      <c r="J166">
        <v>368</v>
      </c>
    </row>
    <row r="167" spans="1:10" x14ac:dyDescent="0.3">
      <c r="A167" t="s">
        <v>63</v>
      </c>
      <c r="B167" t="s">
        <v>148</v>
      </c>
      <c r="C167">
        <v>0</v>
      </c>
      <c r="D167">
        <v>34</v>
      </c>
      <c r="E167">
        <v>0</v>
      </c>
      <c r="F167">
        <v>34</v>
      </c>
      <c r="G167">
        <v>0</v>
      </c>
      <c r="H167">
        <v>0</v>
      </c>
      <c r="I167">
        <v>0</v>
      </c>
      <c r="J167">
        <v>34</v>
      </c>
    </row>
    <row r="168" spans="1:10" x14ac:dyDescent="0.3">
      <c r="A168" t="s">
        <v>603</v>
      </c>
      <c r="B168" t="s">
        <v>1020</v>
      </c>
      <c r="C168">
        <v>0</v>
      </c>
      <c r="D168">
        <v>2800</v>
      </c>
      <c r="E168">
        <v>0</v>
      </c>
      <c r="F168">
        <v>2800</v>
      </c>
      <c r="G168">
        <v>0</v>
      </c>
      <c r="H168">
        <v>0</v>
      </c>
      <c r="I168">
        <v>0</v>
      </c>
      <c r="J168">
        <v>2800</v>
      </c>
    </row>
    <row r="169" spans="1:10" x14ac:dyDescent="0.3">
      <c r="A169" t="s">
        <v>709</v>
      </c>
      <c r="B169" t="s">
        <v>362</v>
      </c>
      <c r="C169">
        <v>0</v>
      </c>
      <c r="D169">
        <v>5231</v>
      </c>
      <c r="E169">
        <v>0</v>
      </c>
      <c r="F169">
        <v>5231</v>
      </c>
      <c r="G169">
        <v>0</v>
      </c>
      <c r="H169">
        <v>0</v>
      </c>
      <c r="I169">
        <v>0</v>
      </c>
      <c r="J169">
        <v>5231</v>
      </c>
    </row>
    <row r="170" spans="1:10" x14ac:dyDescent="0.3">
      <c r="A170" t="s">
        <v>1212</v>
      </c>
      <c r="B170" t="s">
        <v>1002</v>
      </c>
      <c r="C170">
        <v>0</v>
      </c>
      <c r="D170">
        <v>0</v>
      </c>
      <c r="E170">
        <v>-2380</v>
      </c>
      <c r="F170">
        <v>-2380</v>
      </c>
      <c r="G170">
        <v>0</v>
      </c>
      <c r="H170">
        <v>0</v>
      </c>
      <c r="I170">
        <v>0</v>
      </c>
      <c r="J170">
        <v>-2380</v>
      </c>
    </row>
    <row r="171" spans="1:10" x14ac:dyDescent="0.3">
      <c r="A171" t="s">
        <v>223</v>
      </c>
      <c r="B171" t="s">
        <v>711</v>
      </c>
      <c r="C171">
        <v>0</v>
      </c>
      <c r="D171">
        <v>120</v>
      </c>
      <c r="E171">
        <v>0</v>
      </c>
      <c r="F171">
        <v>120</v>
      </c>
      <c r="G171">
        <v>26</v>
      </c>
      <c r="H171">
        <v>0</v>
      </c>
      <c r="I171">
        <v>26</v>
      </c>
      <c r="J171">
        <v>94</v>
      </c>
    </row>
    <row r="172" spans="1:10" x14ac:dyDescent="0.3">
      <c r="A172" t="s">
        <v>1244</v>
      </c>
      <c r="B172" t="s">
        <v>84</v>
      </c>
      <c r="C172">
        <v>0</v>
      </c>
      <c r="D172">
        <v>983</v>
      </c>
      <c r="E172">
        <v>0</v>
      </c>
      <c r="F172">
        <v>983</v>
      </c>
      <c r="G172">
        <v>0</v>
      </c>
      <c r="H172">
        <v>0</v>
      </c>
      <c r="I172">
        <v>0</v>
      </c>
      <c r="J172">
        <v>983</v>
      </c>
    </row>
    <row r="173" spans="1:10" x14ac:dyDescent="0.3">
      <c r="A173" t="s">
        <v>1162</v>
      </c>
      <c r="B173" t="s">
        <v>1231</v>
      </c>
      <c r="C173">
        <v>0</v>
      </c>
      <c r="D173">
        <v>1315</v>
      </c>
      <c r="E173">
        <v>0</v>
      </c>
      <c r="F173">
        <v>1315</v>
      </c>
      <c r="G173">
        <v>0</v>
      </c>
      <c r="H173">
        <v>0</v>
      </c>
      <c r="I173">
        <v>0</v>
      </c>
      <c r="J173">
        <v>1315</v>
      </c>
    </row>
    <row r="174" spans="1:10" x14ac:dyDescent="0.3">
      <c r="A174" t="s">
        <v>497</v>
      </c>
      <c r="B174" t="s">
        <v>1084</v>
      </c>
      <c r="C174">
        <v>0</v>
      </c>
      <c r="D174">
        <v>939</v>
      </c>
      <c r="E174">
        <v>0</v>
      </c>
      <c r="F174">
        <v>939</v>
      </c>
      <c r="G174">
        <v>0</v>
      </c>
      <c r="H174">
        <v>0</v>
      </c>
      <c r="I174">
        <v>0</v>
      </c>
      <c r="J174">
        <v>939</v>
      </c>
    </row>
    <row r="175" spans="1:10" x14ac:dyDescent="0.3">
      <c r="A175" t="s">
        <v>601</v>
      </c>
      <c r="B175" t="s">
        <v>639</v>
      </c>
      <c r="C175">
        <v>0</v>
      </c>
      <c r="D175">
        <v>42160</v>
      </c>
      <c r="E175">
        <v>0</v>
      </c>
      <c r="F175">
        <v>42160</v>
      </c>
      <c r="G175">
        <v>0</v>
      </c>
      <c r="H175">
        <v>0</v>
      </c>
      <c r="I175">
        <v>0</v>
      </c>
      <c r="J175">
        <v>42160</v>
      </c>
    </row>
    <row r="176" spans="1:10" x14ac:dyDescent="0.3">
      <c r="A176" t="s">
        <v>312</v>
      </c>
      <c r="B176" t="s">
        <v>222</v>
      </c>
      <c r="C176">
        <v>0</v>
      </c>
      <c r="D176">
        <v>2139</v>
      </c>
      <c r="E176">
        <v>0</v>
      </c>
      <c r="F176">
        <v>2139</v>
      </c>
      <c r="G176">
        <v>0</v>
      </c>
      <c r="H176">
        <v>0</v>
      </c>
      <c r="I176">
        <v>0</v>
      </c>
      <c r="J176">
        <v>2139</v>
      </c>
    </row>
    <row r="177" spans="1:10" x14ac:dyDescent="0.3">
      <c r="A177" t="s">
        <v>62</v>
      </c>
      <c r="B177" t="s">
        <v>634</v>
      </c>
      <c r="C177">
        <v>0</v>
      </c>
      <c r="D177">
        <v>212</v>
      </c>
      <c r="E177">
        <v>0</v>
      </c>
      <c r="F177">
        <v>212</v>
      </c>
      <c r="G177">
        <v>0</v>
      </c>
      <c r="H177">
        <v>0</v>
      </c>
      <c r="I177">
        <v>0</v>
      </c>
      <c r="J177">
        <v>212</v>
      </c>
    </row>
    <row r="178" spans="1:10" x14ac:dyDescent="0.3">
      <c r="A178" t="s">
        <v>1134</v>
      </c>
      <c r="B178" t="s">
        <v>1329</v>
      </c>
      <c r="C178">
        <v>0</v>
      </c>
      <c r="D178">
        <v>945837</v>
      </c>
      <c r="E178">
        <v>-1486</v>
      </c>
      <c r="F178">
        <v>944351</v>
      </c>
      <c r="G178">
        <v>0</v>
      </c>
      <c r="H178">
        <v>0</v>
      </c>
      <c r="I178">
        <v>0</v>
      </c>
      <c r="J178">
        <v>944351</v>
      </c>
    </row>
    <row r="179" spans="1:10" x14ac:dyDescent="0.3">
      <c r="A179" t="s">
        <v>745</v>
      </c>
      <c r="B179" t="s">
        <v>209</v>
      </c>
      <c r="C179">
        <v>0</v>
      </c>
      <c r="D179">
        <v>363494</v>
      </c>
      <c r="E179">
        <v>0</v>
      </c>
      <c r="F179">
        <v>363494</v>
      </c>
      <c r="G179">
        <v>0</v>
      </c>
      <c r="H179">
        <v>0</v>
      </c>
      <c r="I179">
        <v>0</v>
      </c>
      <c r="J179">
        <v>363494</v>
      </c>
    </row>
    <row r="180" spans="1:10" x14ac:dyDescent="0.3">
      <c r="A180" t="s">
        <v>977</v>
      </c>
      <c r="B180" t="s">
        <v>1207</v>
      </c>
      <c r="C180">
        <v>0</v>
      </c>
      <c r="D180">
        <v>116764</v>
      </c>
      <c r="E180">
        <v>0</v>
      </c>
      <c r="F180">
        <v>116764</v>
      </c>
      <c r="G180">
        <v>0</v>
      </c>
      <c r="H180">
        <v>0</v>
      </c>
      <c r="I180">
        <v>0</v>
      </c>
      <c r="J180">
        <v>116764</v>
      </c>
    </row>
    <row r="181" spans="1:10" x14ac:dyDescent="0.3">
      <c r="A181" t="s">
        <v>1109</v>
      </c>
      <c r="B181" t="s">
        <v>958</v>
      </c>
      <c r="C181">
        <v>0</v>
      </c>
      <c r="D181">
        <v>2556</v>
      </c>
      <c r="E181">
        <v>0</v>
      </c>
      <c r="F181">
        <v>2556</v>
      </c>
      <c r="G181">
        <v>0</v>
      </c>
      <c r="H181">
        <v>0</v>
      </c>
      <c r="I181">
        <v>0</v>
      </c>
      <c r="J181">
        <v>2556</v>
      </c>
    </row>
    <row r="182" spans="1:10" x14ac:dyDescent="0.3">
      <c r="A182" t="s">
        <v>760</v>
      </c>
      <c r="B182" t="s">
        <v>36</v>
      </c>
      <c r="C182">
        <v>0</v>
      </c>
      <c r="D182">
        <v>24</v>
      </c>
      <c r="E182">
        <v>0</v>
      </c>
      <c r="F182">
        <v>24</v>
      </c>
      <c r="G182">
        <v>0</v>
      </c>
      <c r="H182">
        <v>0</v>
      </c>
      <c r="I182">
        <v>0</v>
      </c>
      <c r="J182">
        <v>24</v>
      </c>
    </row>
    <row r="183" spans="1:10" x14ac:dyDescent="0.3">
      <c r="A183" t="s">
        <v>483</v>
      </c>
      <c r="B183" t="s">
        <v>297</v>
      </c>
      <c r="C183">
        <v>0</v>
      </c>
      <c r="D183">
        <v>0</v>
      </c>
      <c r="E183">
        <v>0</v>
      </c>
      <c r="F183">
        <v>0</v>
      </c>
      <c r="G183">
        <v>8210622</v>
      </c>
      <c r="H183">
        <v>-1880</v>
      </c>
      <c r="I183">
        <v>8208742</v>
      </c>
      <c r="J183">
        <v>-8208742</v>
      </c>
    </row>
    <row r="184" spans="1:10" x14ac:dyDescent="0.3">
      <c r="A184" t="s">
        <v>80</v>
      </c>
      <c r="B184" t="s">
        <v>1133</v>
      </c>
      <c r="C184">
        <v>0</v>
      </c>
      <c r="D184">
        <v>0</v>
      </c>
      <c r="E184">
        <v>0</v>
      </c>
      <c r="F184">
        <v>0</v>
      </c>
      <c r="G184">
        <v>4507214</v>
      </c>
      <c r="H184">
        <v>0</v>
      </c>
      <c r="I184">
        <v>4507214</v>
      </c>
      <c r="J184">
        <v>-4507214</v>
      </c>
    </row>
    <row r="185" spans="1:10" x14ac:dyDescent="0.3">
      <c r="A185" t="s">
        <v>553</v>
      </c>
      <c r="B185" t="s">
        <v>812</v>
      </c>
      <c r="C185">
        <v>0</v>
      </c>
      <c r="D185">
        <v>0</v>
      </c>
      <c r="E185">
        <v>0</v>
      </c>
      <c r="F185">
        <v>0</v>
      </c>
      <c r="G185">
        <v>3219</v>
      </c>
      <c r="H185">
        <v>0</v>
      </c>
      <c r="I185">
        <v>3219</v>
      </c>
      <c r="J185">
        <v>-3219</v>
      </c>
    </row>
    <row r="186" spans="1:10" x14ac:dyDescent="0.3">
      <c r="A186" t="s">
        <v>343</v>
      </c>
      <c r="B186" t="s">
        <v>368</v>
      </c>
      <c r="C186">
        <v>0</v>
      </c>
      <c r="D186">
        <v>0</v>
      </c>
      <c r="E186">
        <v>0</v>
      </c>
      <c r="F186">
        <v>0</v>
      </c>
      <c r="G186">
        <v>4949</v>
      </c>
      <c r="H186">
        <v>0</v>
      </c>
      <c r="I186">
        <v>4949</v>
      </c>
      <c r="J186">
        <v>-4949</v>
      </c>
    </row>
    <row r="187" spans="1:10" x14ac:dyDescent="0.3">
      <c r="A187" t="s">
        <v>44</v>
      </c>
      <c r="B187" t="s">
        <v>496</v>
      </c>
      <c r="C187">
        <v>0</v>
      </c>
      <c r="D187">
        <v>3575205</v>
      </c>
      <c r="E187">
        <v>-89531</v>
      </c>
      <c r="F187">
        <v>3485674</v>
      </c>
      <c r="G187">
        <v>3668490</v>
      </c>
      <c r="H187">
        <v>-1331</v>
      </c>
      <c r="I187">
        <v>3667159</v>
      </c>
      <c r="J187">
        <v>-181485</v>
      </c>
    </row>
    <row r="188" spans="1:10" x14ac:dyDescent="0.3">
      <c r="A188" t="s">
        <v>591</v>
      </c>
      <c r="B188" t="s">
        <v>108</v>
      </c>
      <c r="C188">
        <v>0</v>
      </c>
      <c r="D188">
        <v>8818957</v>
      </c>
      <c r="E188">
        <v>-25843</v>
      </c>
      <c r="F188">
        <v>8793114</v>
      </c>
      <c r="G188">
        <v>9027334</v>
      </c>
      <c r="H188">
        <v>-228702</v>
      </c>
      <c r="I188">
        <v>8798632</v>
      </c>
      <c r="J188">
        <v>-5518</v>
      </c>
    </row>
    <row r="189" spans="1:10" x14ac:dyDescent="0.3">
      <c r="A189" t="s">
        <v>1322</v>
      </c>
      <c r="B189" t="s">
        <v>473</v>
      </c>
      <c r="C189">
        <v>0</v>
      </c>
      <c r="D189">
        <v>0</v>
      </c>
      <c r="E189">
        <v>0</v>
      </c>
      <c r="F189">
        <v>0</v>
      </c>
      <c r="G189">
        <v>12208</v>
      </c>
      <c r="H189">
        <v>0</v>
      </c>
      <c r="I189">
        <v>12208</v>
      </c>
      <c r="J189">
        <v>-12208</v>
      </c>
    </row>
    <row r="190" spans="1:10" x14ac:dyDescent="0.3">
      <c r="A190" t="s">
        <v>815</v>
      </c>
      <c r="B190" t="s">
        <v>987</v>
      </c>
      <c r="C190">
        <v>0</v>
      </c>
      <c r="D190">
        <v>0</v>
      </c>
      <c r="E190">
        <v>0</v>
      </c>
      <c r="F190">
        <v>0</v>
      </c>
      <c r="G190">
        <v>1144281</v>
      </c>
      <c r="H190">
        <v>0</v>
      </c>
      <c r="I190">
        <v>1144281</v>
      </c>
      <c r="J190">
        <v>-1144281</v>
      </c>
    </row>
    <row r="191" spans="1:10" x14ac:dyDescent="0.3">
      <c r="A191" t="s">
        <v>654</v>
      </c>
      <c r="B191" t="s">
        <v>896</v>
      </c>
      <c r="C191">
        <v>0</v>
      </c>
      <c r="D191">
        <v>0</v>
      </c>
      <c r="E191">
        <v>0</v>
      </c>
      <c r="F191">
        <v>0</v>
      </c>
      <c r="G191">
        <v>44101</v>
      </c>
      <c r="H191">
        <v>0</v>
      </c>
      <c r="I191">
        <v>44101</v>
      </c>
      <c r="J191">
        <v>-44101</v>
      </c>
    </row>
    <row r="192" spans="1:10" x14ac:dyDescent="0.3">
      <c r="A192" t="s">
        <v>204</v>
      </c>
      <c r="B192" t="s">
        <v>1146</v>
      </c>
      <c r="C192">
        <v>0</v>
      </c>
      <c r="D192">
        <v>0</v>
      </c>
      <c r="E192">
        <v>0</v>
      </c>
      <c r="F192">
        <v>0</v>
      </c>
      <c r="G192">
        <v>1712880</v>
      </c>
      <c r="H192">
        <v>0</v>
      </c>
      <c r="I192">
        <v>1712880</v>
      </c>
      <c r="J192">
        <v>-1712880</v>
      </c>
    </row>
    <row r="193" spans="1:10" x14ac:dyDescent="0.3">
      <c r="A193" t="s">
        <v>169</v>
      </c>
      <c r="B193" t="s">
        <v>941</v>
      </c>
      <c r="C193">
        <v>0</v>
      </c>
      <c r="D193">
        <v>0</v>
      </c>
      <c r="E193">
        <v>-23</v>
      </c>
      <c r="F193">
        <v>-23</v>
      </c>
      <c r="G193">
        <v>27249</v>
      </c>
      <c r="H193">
        <v>0</v>
      </c>
      <c r="I193">
        <v>27249</v>
      </c>
      <c r="J193">
        <v>-27272</v>
      </c>
    </row>
    <row r="194" spans="1:10" x14ac:dyDescent="0.3">
      <c r="A194" t="s">
        <v>755</v>
      </c>
      <c r="B194" t="s">
        <v>759</v>
      </c>
      <c r="C194">
        <v>0</v>
      </c>
      <c r="D194">
        <v>0</v>
      </c>
      <c r="E194">
        <v>0</v>
      </c>
      <c r="F194">
        <v>0</v>
      </c>
      <c r="G194">
        <v>51</v>
      </c>
      <c r="H194">
        <v>0</v>
      </c>
      <c r="I194">
        <v>51</v>
      </c>
      <c r="J194">
        <v>-51</v>
      </c>
    </row>
    <row r="195" spans="1:10" x14ac:dyDescent="0.3">
      <c r="A195" t="s">
        <v>390</v>
      </c>
      <c r="B195" t="s">
        <v>187</v>
      </c>
      <c r="C195">
        <v>0</v>
      </c>
      <c r="D195">
        <v>0</v>
      </c>
      <c r="E195">
        <v>0</v>
      </c>
      <c r="F195">
        <v>0</v>
      </c>
      <c r="G195">
        <v>29783</v>
      </c>
      <c r="H195">
        <v>0</v>
      </c>
      <c r="I195">
        <v>29783</v>
      </c>
      <c r="J195">
        <v>-29783</v>
      </c>
    </row>
    <row r="196" spans="1:10" x14ac:dyDescent="0.3">
      <c r="A196" t="s">
        <v>621</v>
      </c>
      <c r="B196" t="s">
        <v>1270</v>
      </c>
      <c r="C196">
        <v>0</v>
      </c>
      <c r="D196">
        <v>0</v>
      </c>
      <c r="E196">
        <v>0</v>
      </c>
      <c r="F196">
        <v>0</v>
      </c>
      <c r="G196">
        <v>367060</v>
      </c>
      <c r="H196">
        <v>0</v>
      </c>
      <c r="I196">
        <v>367060</v>
      </c>
      <c r="J196">
        <v>-367060</v>
      </c>
    </row>
    <row r="197" spans="1:10" x14ac:dyDescent="0.3">
      <c r="A197" t="s">
        <v>1026</v>
      </c>
      <c r="B197" t="s">
        <v>941</v>
      </c>
      <c r="C197">
        <v>0</v>
      </c>
      <c r="D197">
        <v>0</v>
      </c>
      <c r="E197">
        <v>0</v>
      </c>
      <c r="F197">
        <v>0</v>
      </c>
      <c r="G197">
        <v>12336</v>
      </c>
      <c r="H197">
        <v>0</v>
      </c>
      <c r="I197">
        <v>12336</v>
      </c>
      <c r="J197">
        <v>-12336</v>
      </c>
    </row>
    <row r="198" spans="1:10" x14ac:dyDescent="0.3">
      <c r="A198" t="s">
        <v>140</v>
      </c>
      <c r="B198" t="s">
        <v>1207</v>
      </c>
      <c r="C198">
        <v>0</v>
      </c>
      <c r="D198">
        <v>0</v>
      </c>
      <c r="E198">
        <v>0</v>
      </c>
      <c r="F198">
        <v>0</v>
      </c>
      <c r="G198">
        <v>39</v>
      </c>
      <c r="H198">
        <v>0</v>
      </c>
      <c r="I198">
        <v>39</v>
      </c>
      <c r="J198">
        <v>-39</v>
      </c>
    </row>
    <row r="199" spans="1:10" x14ac:dyDescent="0.3">
      <c r="A199" t="s">
        <v>679</v>
      </c>
      <c r="B199" t="s">
        <v>657</v>
      </c>
      <c r="C199">
        <v>0</v>
      </c>
      <c r="D199">
        <v>66</v>
      </c>
      <c r="E199">
        <v>0</v>
      </c>
      <c r="F199">
        <v>66</v>
      </c>
      <c r="G199">
        <v>160</v>
      </c>
      <c r="H199">
        <v>0</v>
      </c>
      <c r="I199">
        <v>160</v>
      </c>
      <c r="J199">
        <v>-94</v>
      </c>
    </row>
    <row r="200" spans="1:10" x14ac:dyDescent="0.3">
      <c r="A200" t="s">
        <v>227</v>
      </c>
      <c r="B200" t="s">
        <v>829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 x14ac:dyDescent="0.3">
      <c r="A201" t="s">
        <v>1280</v>
      </c>
      <c r="B201" t="s">
        <v>213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 x14ac:dyDescent="0.3">
      <c r="A202" t="s">
        <v>681</v>
      </c>
      <c r="B202" t="s">
        <v>660</v>
      </c>
      <c r="C202">
        <v>0</v>
      </c>
      <c r="D202">
        <v>18</v>
      </c>
      <c r="E202">
        <v>0</v>
      </c>
      <c r="F202">
        <v>18</v>
      </c>
      <c r="G202">
        <v>0</v>
      </c>
      <c r="H202">
        <v>0</v>
      </c>
      <c r="I202">
        <v>0</v>
      </c>
      <c r="J202">
        <v>18</v>
      </c>
    </row>
    <row r="203" spans="1:10" x14ac:dyDescent="0.3">
      <c r="A203" t="s">
        <v>230</v>
      </c>
      <c r="B203" t="s">
        <v>828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 x14ac:dyDescent="0.3">
      <c r="A204" t="s">
        <v>1280</v>
      </c>
      <c r="B204" t="s">
        <v>213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5"/>
  <sheetViews>
    <sheetView workbookViewId="0">
      <selection sqref="A1:IV65536"/>
    </sheetView>
  </sheetViews>
  <sheetFormatPr defaultColWidth="9.109375" defaultRowHeight="14.4" x14ac:dyDescent="0.3"/>
  <cols>
    <col min="1" max="1" width="6.88671875" style="77" customWidth="1"/>
    <col min="2" max="2" width="51.5546875" style="77" customWidth="1"/>
    <col min="3" max="3" width="9" style="77" customWidth="1"/>
    <col min="4" max="4" width="10.109375" style="77" customWidth="1"/>
    <col min="5" max="5" width="11.33203125" style="77" customWidth="1"/>
    <col min="6" max="6" width="11" style="77" customWidth="1"/>
    <col min="7" max="7" width="9.33203125" style="77" customWidth="1"/>
    <col min="8" max="8" width="9.5546875" style="77" customWidth="1"/>
    <col min="9" max="9" width="9.33203125" style="77" customWidth="1"/>
    <col min="10" max="10" width="10" style="77" customWidth="1"/>
    <col min="11" max="16384" width="9.109375" style="77"/>
  </cols>
  <sheetData>
    <row r="1" spans="1:10" x14ac:dyDescent="0.3">
      <c r="A1" s="77" t="s">
        <v>1264</v>
      </c>
      <c r="B1" s="77" t="s">
        <v>611</v>
      </c>
      <c r="C1" s="77" t="s">
        <v>153</v>
      </c>
      <c r="D1" s="77" t="s">
        <v>433</v>
      </c>
      <c r="E1" s="77" t="s">
        <v>914</v>
      </c>
      <c r="F1" s="77" t="s">
        <v>1138</v>
      </c>
      <c r="G1" s="77" t="s">
        <v>1154</v>
      </c>
      <c r="H1" s="77" t="s">
        <v>538</v>
      </c>
      <c r="I1" s="77" t="s">
        <v>184</v>
      </c>
      <c r="J1" s="77" t="s">
        <v>702</v>
      </c>
    </row>
    <row r="2" spans="1:10" x14ac:dyDescent="0.3">
      <c r="A2" s="77" t="s">
        <v>604</v>
      </c>
      <c r="B2" s="77" t="s">
        <v>562</v>
      </c>
      <c r="C2" s="77">
        <v>3035</v>
      </c>
      <c r="D2" s="77">
        <v>0</v>
      </c>
      <c r="E2" s="77">
        <v>0</v>
      </c>
      <c r="F2" s="77">
        <v>0</v>
      </c>
      <c r="G2" s="77">
        <v>0</v>
      </c>
      <c r="H2" s="77">
        <v>0</v>
      </c>
      <c r="I2" s="77">
        <v>0</v>
      </c>
      <c r="J2" s="77">
        <v>3035</v>
      </c>
    </row>
    <row r="3" spans="1:10" x14ac:dyDescent="0.3">
      <c r="A3" s="77" t="s">
        <v>254</v>
      </c>
      <c r="B3" s="77" t="s">
        <v>294</v>
      </c>
      <c r="C3" s="77">
        <v>1306466</v>
      </c>
      <c r="D3" s="77">
        <v>39829</v>
      </c>
      <c r="E3" s="77">
        <v>0</v>
      </c>
      <c r="F3" s="77">
        <v>39829</v>
      </c>
      <c r="G3" s="77">
        <v>0</v>
      </c>
      <c r="H3" s="77">
        <v>0</v>
      </c>
      <c r="I3" s="77">
        <v>0</v>
      </c>
      <c r="J3" s="77">
        <v>1346295</v>
      </c>
    </row>
    <row r="4" spans="1:10" x14ac:dyDescent="0.3">
      <c r="A4" s="77" t="s">
        <v>1051</v>
      </c>
      <c r="B4" s="77" t="s">
        <v>262</v>
      </c>
      <c r="C4" s="77">
        <v>72678</v>
      </c>
      <c r="D4" s="77">
        <v>0</v>
      </c>
      <c r="E4" s="77">
        <v>0</v>
      </c>
      <c r="F4" s="77">
        <v>0</v>
      </c>
      <c r="G4" s="77">
        <v>0</v>
      </c>
      <c r="H4" s="77">
        <v>0</v>
      </c>
      <c r="I4" s="77">
        <v>0</v>
      </c>
      <c r="J4" s="77">
        <v>72678</v>
      </c>
    </row>
    <row r="5" spans="1:10" x14ac:dyDescent="0.3">
      <c r="A5" s="77" t="s">
        <v>850</v>
      </c>
      <c r="B5" s="77" t="s">
        <v>142</v>
      </c>
      <c r="C5" s="77">
        <v>20950</v>
      </c>
      <c r="D5" s="77">
        <v>25615</v>
      </c>
      <c r="E5" s="77">
        <v>0</v>
      </c>
      <c r="F5" s="77">
        <v>25615</v>
      </c>
      <c r="G5" s="77">
        <v>0</v>
      </c>
      <c r="H5" s="77">
        <v>0</v>
      </c>
      <c r="I5" s="77">
        <v>0</v>
      </c>
      <c r="J5" s="77">
        <v>46565</v>
      </c>
    </row>
    <row r="6" spans="1:10" x14ac:dyDescent="0.3">
      <c r="A6" s="77" t="s">
        <v>920</v>
      </c>
      <c r="B6" s="77" t="s">
        <v>1317</v>
      </c>
      <c r="C6" s="77">
        <v>1410286</v>
      </c>
      <c r="D6" s="77">
        <v>1474321</v>
      </c>
      <c r="E6" s="77">
        <v>0</v>
      </c>
      <c r="F6" s="77">
        <v>1474321</v>
      </c>
      <c r="G6" s="77">
        <v>0</v>
      </c>
      <c r="H6" s="77">
        <v>0</v>
      </c>
      <c r="I6" s="77">
        <v>0</v>
      </c>
      <c r="J6" s="77">
        <v>2884607</v>
      </c>
    </row>
    <row r="7" spans="1:10" x14ac:dyDescent="0.3">
      <c r="A7" s="77" t="s">
        <v>278</v>
      </c>
      <c r="B7" s="77" t="s">
        <v>43</v>
      </c>
      <c r="C7" s="77">
        <v>47732</v>
      </c>
      <c r="D7" s="77">
        <v>25453</v>
      </c>
      <c r="E7" s="77">
        <v>0</v>
      </c>
      <c r="F7" s="77">
        <v>25453</v>
      </c>
      <c r="G7" s="77">
        <v>0</v>
      </c>
      <c r="H7" s="77">
        <v>0</v>
      </c>
      <c r="I7" s="77">
        <v>0</v>
      </c>
      <c r="J7" s="77">
        <v>73185</v>
      </c>
    </row>
    <row r="8" spans="1:10" x14ac:dyDescent="0.3">
      <c r="A8" s="77" t="s">
        <v>845</v>
      </c>
      <c r="B8" s="77" t="s">
        <v>527</v>
      </c>
      <c r="C8" s="77">
        <v>764000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764000</v>
      </c>
    </row>
    <row r="9" spans="1:10" x14ac:dyDescent="0.3">
      <c r="A9" s="77" t="s">
        <v>556</v>
      </c>
      <c r="B9" s="77" t="s">
        <v>1294</v>
      </c>
      <c r="C9" s="77">
        <v>326106</v>
      </c>
      <c r="D9" s="77">
        <v>1639110</v>
      </c>
      <c r="E9" s="77">
        <v>0</v>
      </c>
      <c r="F9" s="77">
        <v>1639110</v>
      </c>
      <c r="G9" s="77">
        <v>1568339</v>
      </c>
      <c r="H9" s="77">
        <v>0</v>
      </c>
      <c r="I9" s="77">
        <v>1568339</v>
      </c>
      <c r="J9" s="77">
        <v>396877</v>
      </c>
    </row>
    <row r="10" spans="1:10" x14ac:dyDescent="0.3">
      <c r="A10" s="77" t="s">
        <v>1125</v>
      </c>
      <c r="B10" s="77" t="s">
        <v>891</v>
      </c>
      <c r="C10" s="77">
        <v>893147</v>
      </c>
      <c r="D10" s="77">
        <v>76533</v>
      </c>
      <c r="E10" s="77">
        <v>0</v>
      </c>
      <c r="F10" s="77">
        <v>76533</v>
      </c>
      <c r="G10" s="77">
        <v>893147</v>
      </c>
      <c r="H10" s="77">
        <v>0</v>
      </c>
      <c r="I10" s="77">
        <v>893147</v>
      </c>
      <c r="J10" s="77">
        <v>76533</v>
      </c>
    </row>
    <row r="11" spans="1:10" x14ac:dyDescent="0.3">
      <c r="A11" s="77" t="s">
        <v>27</v>
      </c>
      <c r="B11" s="77" t="s">
        <v>500</v>
      </c>
      <c r="C11" s="77">
        <v>-16675</v>
      </c>
      <c r="D11" s="77">
        <v>17848</v>
      </c>
      <c r="E11" s="77">
        <v>0</v>
      </c>
      <c r="F11" s="77">
        <v>17848</v>
      </c>
      <c r="G11" s="77">
        <v>1174</v>
      </c>
      <c r="H11" s="77">
        <v>0</v>
      </c>
      <c r="I11" s="77">
        <v>1174</v>
      </c>
      <c r="J11" s="77">
        <v>-1</v>
      </c>
    </row>
    <row r="12" spans="1:10" x14ac:dyDescent="0.3">
      <c r="A12" s="77" t="s">
        <v>1102</v>
      </c>
      <c r="B12" s="77" t="s">
        <v>1168</v>
      </c>
      <c r="C12" s="77">
        <v>-1369</v>
      </c>
      <c r="D12" s="77">
        <v>0</v>
      </c>
      <c r="E12" s="77">
        <v>0</v>
      </c>
      <c r="F12" s="77">
        <v>0</v>
      </c>
      <c r="G12" s="77">
        <v>760</v>
      </c>
      <c r="H12" s="77">
        <v>0</v>
      </c>
      <c r="I12" s="77">
        <v>760</v>
      </c>
      <c r="J12" s="77">
        <v>-2129</v>
      </c>
    </row>
    <row r="13" spans="1:10" x14ac:dyDescent="0.3">
      <c r="A13" s="77" t="s">
        <v>756</v>
      </c>
      <c r="B13" s="77" t="s">
        <v>1044</v>
      </c>
      <c r="C13" s="77">
        <v>-146042</v>
      </c>
      <c r="D13" s="77">
        <v>0</v>
      </c>
      <c r="E13" s="77">
        <v>0</v>
      </c>
      <c r="F13" s="77">
        <v>0</v>
      </c>
      <c r="G13" s="77">
        <v>67140</v>
      </c>
      <c r="H13" s="77">
        <v>0</v>
      </c>
      <c r="I13" s="77">
        <v>67140</v>
      </c>
      <c r="J13" s="77">
        <v>-213182</v>
      </c>
    </row>
    <row r="14" spans="1:10" x14ac:dyDescent="0.3">
      <c r="A14" s="77" t="s">
        <v>545</v>
      </c>
      <c r="B14" s="77" t="s">
        <v>1243</v>
      </c>
      <c r="C14" s="77">
        <v>-48290</v>
      </c>
      <c r="D14" s="77">
        <v>0</v>
      </c>
      <c r="E14" s="77">
        <v>0</v>
      </c>
      <c r="F14" s="77">
        <v>0</v>
      </c>
      <c r="G14" s="77">
        <v>16266</v>
      </c>
      <c r="H14" s="77">
        <v>0</v>
      </c>
      <c r="I14" s="77">
        <v>16266</v>
      </c>
      <c r="J14" s="77">
        <v>-64556</v>
      </c>
    </row>
    <row r="15" spans="1:10" x14ac:dyDescent="0.3">
      <c r="A15" s="77" t="s">
        <v>345</v>
      </c>
      <c r="B15" s="77" t="s">
        <v>308</v>
      </c>
      <c r="C15" s="77">
        <v>-7857</v>
      </c>
      <c r="D15" s="77">
        <v>0</v>
      </c>
      <c r="E15" s="77">
        <v>0</v>
      </c>
      <c r="F15" s="77">
        <v>0</v>
      </c>
      <c r="G15" s="77">
        <v>6847</v>
      </c>
      <c r="H15" s="77">
        <v>0</v>
      </c>
      <c r="I15" s="77">
        <v>6847</v>
      </c>
      <c r="J15" s="77">
        <v>-14704</v>
      </c>
    </row>
    <row r="16" spans="1:10" x14ac:dyDescent="0.3">
      <c r="A16" s="77" t="s">
        <v>60</v>
      </c>
      <c r="B16" s="77" t="s">
        <v>890</v>
      </c>
      <c r="C16" s="77">
        <v>-211897</v>
      </c>
      <c r="D16" s="77">
        <v>0</v>
      </c>
      <c r="E16" s="77">
        <v>0</v>
      </c>
      <c r="F16" s="77">
        <v>0</v>
      </c>
      <c r="G16" s="77">
        <v>281808</v>
      </c>
      <c r="H16" s="77">
        <v>0</v>
      </c>
      <c r="I16" s="77">
        <v>281808</v>
      </c>
      <c r="J16" s="77">
        <v>-493705</v>
      </c>
    </row>
    <row r="17" spans="1:10" x14ac:dyDescent="0.3">
      <c r="A17" s="77" t="s">
        <v>787</v>
      </c>
      <c r="B17" s="77" t="s">
        <v>960</v>
      </c>
      <c r="C17" s="77">
        <v>-17377</v>
      </c>
      <c r="D17" s="77">
        <v>0</v>
      </c>
      <c r="E17" s="77">
        <v>0</v>
      </c>
      <c r="F17" s="77">
        <v>0</v>
      </c>
      <c r="G17" s="77">
        <v>15460</v>
      </c>
      <c r="H17" s="77">
        <v>0</v>
      </c>
      <c r="I17" s="77">
        <v>15460</v>
      </c>
      <c r="J17" s="77">
        <v>-32837</v>
      </c>
    </row>
    <row r="18" spans="1:10" x14ac:dyDescent="0.3">
      <c r="A18" s="77" t="s">
        <v>514</v>
      </c>
      <c r="B18" s="77" t="s">
        <v>141</v>
      </c>
      <c r="C18" s="77">
        <v>0</v>
      </c>
      <c r="D18" s="77">
        <v>13872144</v>
      </c>
      <c r="E18" s="77">
        <v>-84048</v>
      </c>
      <c r="F18" s="77">
        <v>13788096</v>
      </c>
      <c r="G18" s="77">
        <v>14445143</v>
      </c>
      <c r="H18" s="77">
        <v>-657047</v>
      </c>
      <c r="I18" s="77">
        <v>13788096</v>
      </c>
      <c r="J18" s="77">
        <v>0</v>
      </c>
    </row>
    <row r="19" spans="1:10" x14ac:dyDescent="0.3">
      <c r="A19" s="77" t="s">
        <v>186</v>
      </c>
      <c r="B19" s="77" t="s">
        <v>984</v>
      </c>
      <c r="C19" s="77">
        <v>0</v>
      </c>
      <c r="D19" s="77">
        <v>1176730</v>
      </c>
      <c r="E19" s="77">
        <v>-7633</v>
      </c>
      <c r="F19" s="77">
        <v>1169097</v>
      </c>
      <c r="G19" s="77">
        <v>1251083</v>
      </c>
      <c r="H19" s="77">
        <v>-81986</v>
      </c>
      <c r="I19" s="77">
        <v>1169097</v>
      </c>
      <c r="J19" s="77">
        <v>0</v>
      </c>
    </row>
    <row r="20" spans="1:10" x14ac:dyDescent="0.3">
      <c r="A20" s="77" t="s">
        <v>942</v>
      </c>
      <c r="B20" s="77" t="s">
        <v>86</v>
      </c>
      <c r="C20" s="77">
        <v>1213181</v>
      </c>
      <c r="D20" s="77">
        <v>14320621</v>
      </c>
      <c r="E20" s="77">
        <v>-583490</v>
      </c>
      <c r="F20" s="77">
        <v>13737131</v>
      </c>
      <c r="G20" s="77">
        <v>12998567</v>
      </c>
      <c r="H20" s="77">
        <v>-769113</v>
      </c>
      <c r="I20" s="77">
        <v>12229454</v>
      </c>
      <c r="J20" s="77">
        <v>2720858</v>
      </c>
    </row>
    <row r="21" spans="1:10" x14ac:dyDescent="0.3">
      <c r="A21" s="77" t="s">
        <v>241</v>
      </c>
      <c r="B21" s="77" t="s">
        <v>1050</v>
      </c>
      <c r="C21" s="77">
        <v>0</v>
      </c>
      <c r="D21" s="77">
        <v>346647</v>
      </c>
      <c r="E21" s="77">
        <v>-13</v>
      </c>
      <c r="F21" s="77">
        <v>346634</v>
      </c>
      <c r="G21" s="77">
        <v>346647</v>
      </c>
      <c r="H21" s="77">
        <v>-13</v>
      </c>
      <c r="I21" s="77">
        <v>346634</v>
      </c>
      <c r="J21" s="77">
        <v>0</v>
      </c>
    </row>
    <row r="22" spans="1:10" x14ac:dyDescent="0.3">
      <c r="A22" s="77" t="s">
        <v>1272</v>
      </c>
      <c r="B22" s="77" t="s">
        <v>1301</v>
      </c>
      <c r="C22" s="77">
        <v>149725</v>
      </c>
      <c r="D22" s="77">
        <v>1197577</v>
      </c>
      <c r="E22" s="77">
        <v>0</v>
      </c>
      <c r="F22" s="77">
        <v>1197577</v>
      </c>
      <c r="G22" s="77">
        <v>1113632</v>
      </c>
      <c r="H22" s="77">
        <v>0</v>
      </c>
      <c r="I22" s="77">
        <v>1113632</v>
      </c>
      <c r="J22" s="77">
        <v>233670</v>
      </c>
    </row>
    <row r="23" spans="1:10" x14ac:dyDescent="0.3">
      <c r="A23" s="77" t="s">
        <v>630</v>
      </c>
      <c r="B23" s="77" t="s">
        <v>935</v>
      </c>
      <c r="C23" s="77">
        <v>1904</v>
      </c>
      <c r="D23" s="77">
        <v>3402</v>
      </c>
      <c r="E23" s="77">
        <v>0</v>
      </c>
      <c r="F23" s="77">
        <v>3402</v>
      </c>
      <c r="G23" s="77">
        <v>5307</v>
      </c>
      <c r="H23" s="77">
        <v>0</v>
      </c>
      <c r="I23" s="77">
        <v>5307</v>
      </c>
      <c r="J23" s="77">
        <v>-1</v>
      </c>
    </row>
    <row r="24" spans="1:10" x14ac:dyDescent="0.3">
      <c r="A24" s="77" t="s">
        <v>947</v>
      </c>
      <c r="B24" s="77" t="s">
        <v>329</v>
      </c>
      <c r="C24" s="77">
        <v>1200152</v>
      </c>
      <c r="D24" s="77">
        <v>1210335</v>
      </c>
      <c r="E24" s="77">
        <v>0</v>
      </c>
      <c r="F24" s="77">
        <v>1210335</v>
      </c>
      <c r="G24" s="77">
        <v>1202397</v>
      </c>
      <c r="H24" s="77">
        <v>0</v>
      </c>
      <c r="I24" s="77">
        <v>1202397</v>
      </c>
      <c r="J24" s="77">
        <v>1208090</v>
      </c>
    </row>
    <row r="25" spans="1:10" x14ac:dyDescent="0.3">
      <c r="A25" s="77" t="s">
        <v>526</v>
      </c>
      <c r="B25" s="77" t="s">
        <v>1055</v>
      </c>
      <c r="C25" s="77">
        <v>0</v>
      </c>
      <c r="D25" s="77">
        <v>3337585</v>
      </c>
      <c r="E25" s="77">
        <v>-416295</v>
      </c>
      <c r="F25" s="77">
        <v>2921290</v>
      </c>
      <c r="G25" s="77">
        <v>2991664</v>
      </c>
      <c r="H25" s="77">
        <v>-120593</v>
      </c>
      <c r="I25" s="77">
        <v>2871071</v>
      </c>
      <c r="J25" s="77">
        <v>50219</v>
      </c>
    </row>
    <row r="26" spans="1:10" x14ac:dyDescent="0.3">
      <c r="A26" s="77" t="s">
        <v>1293</v>
      </c>
      <c r="B26" s="77" t="s">
        <v>799</v>
      </c>
      <c r="C26" s="77">
        <v>0</v>
      </c>
      <c r="D26" s="77">
        <v>19997</v>
      </c>
      <c r="E26" s="77">
        <v>0</v>
      </c>
      <c r="F26" s="77">
        <v>19997</v>
      </c>
      <c r="G26" s="77">
        <v>0</v>
      </c>
      <c r="H26" s="77">
        <v>0</v>
      </c>
      <c r="I26" s="77">
        <v>0</v>
      </c>
      <c r="J26" s="77">
        <v>19997</v>
      </c>
    </row>
    <row r="27" spans="1:10" x14ac:dyDescent="0.3">
      <c r="A27" s="77" t="s">
        <v>25</v>
      </c>
      <c r="B27" s="77" t="s">
        <v>385</v>
      </c>
      <c r="C27" s="77">
        <v>64979</v>
      </c>
      <c r="D27" s="77">
        <v>12974283</v>
      </c>
      <c r="E27" s="77">
        <v>-864744</v>
      </c>
      <c r="F27" s="77">
        <v>12109539</v>
      </c>
      <c r="G27" s="77">
        <v>12197215</v>
      </c>
      <c r="H27" s="77">
        <v>-311196</v>
      </c>
      <c r="I27" s="77">
        <v>11886019</v>
      </c>
      <c r="J27" s="77">
        <v>288499</v>
      </c>
    </row>
    <row r="28" spans="1:10" x14ac:dyDescent="0.3">
      <c r="A28" s="77" t="s">
        <v>805</v>
      </c>
      <c r="B28" s="77" t="s">
        <v>606</v>
      </c>
      <c r="C28" s="77">
        <v>0</v>
      </c>
      <c r="D28" s="77">
        <v>105374</v>
      </c>
      <c r="E28" s="77">
        <v>0</v>
      </c>
      <c r="F28" s="77">
        <v>105374</v>
      </c>
      <c r="G28" s="77">
        <v>0</v>
      </c>
      <c r="H28" s="77">
        <v>0</v>
      </c>
      <c r="I28" s="77">
        <v>0</v>
      </c>
      <c r="J28" s="77">
        <v>105374</v>
      </c>
    </row>
    <row r="29" spans="1:10" x14ac:dyDescent="0.3">
      <c r="A29" s="77" t="s">
        <v>861</v>
      </c>
      <c r="B29" s="77" t="s">
        <v>208</v>
      </c>
      <c r="C29" s="77">
        <v>0</v>
      </c>
      <c r="D29" s="77">
        <v>0</v>
      </c>
      <c r="E29" s="77">
        <v>0</v>
      </c>
      <c r="F29" s="77">
        <v>0</v>
      </c>
      <c r="G29" s="77">
        <v>10384</v>
      </c>
      <c r="H29" s="77">
        <v>0</v>
      </c>
      <c r="I29" s="77">
        <v>10384</v>
      </c>
      <c r="J29" s="77">
        <v>-10384</v>
      </c>
    </row>
    <row r="30" spans="1:10" x14ac:dyDescent="0.3">
      <c r="A30" s="77" t="s">
        <v>930</v>
      </c>
      <c r="B30" s="77" t="s">
        <v>1305</v>
      </c>
      <c r="C30" s="77">
        <v>0</v>
      </c>
      <c r="D30" s="77">
        <v>0</v>
      </c>
      <c r="E30" s="77">
        <v>0</v>
      </c>
      <c r="F30" s="77">
        <v>0</v>
      </c>
      <c r="G30" s="77">
        <v>12208</v>
      </c>
      <c r="H30" s="77">
        <v>0</v>
      </c>
      <c r="I30" s="77">
        <v>12208</v>
      </c>
      <c r="J30" s="77">
        <v>-12208</v>
      </c>
    </row>
    <row r="31" spans="1:10" x14ac:dyDescent="0.3">
      <c r="A31" s="77" t="s">
        <v>1268</v>
      </c>
      <c r="B31" s="77" t="s">
        <v>397</v>
      </c>
      <c r="C31" s="77">
        <v>180</v>
      </c>
      <c r="D31" s="77">
        <v>44540</v>
      </c>
      <c r="E31" s="77">
        <v>0</v>
      </c>
      <c r="F31" s="77">
        <v>44540</v>
      </c>
      <c r="G31" s="77">
        <v>44581</v>
      </c>
      <c r="H31" s="77">
        <v>0</v>
      </c>
      <c r="I31" s="77">
        <v>44581</v>
      </c>
      <c r="J31" s="77">
        <v>139</v>
      </c>
    </row>
    <row r="32" spans="1:10" x14ac:dyDescent="0.3">
      <c r="A32" s="77" t="s">
        <v>910</v>
      </c>
      <c r="B32" s="77" t="s">
        <v>109</v>
      </c>
      <c r="C32" s="77">
        <v>0</v>
      </c>
      <c r="D32" s="77">
        <v>76</v>
      </c>
      <c r="E32" s="77">
        <v>0</v>
      </c>
      <c r="F32" s="77">
        <v>76</v>
      </c>
      <c r="G32" s="77">
        <v>76</v>
      </c>
      <c r="H32" s="77">
        <v>0</v>
      </c>
      <c r="I32" s="77">
        <v>76</v>
      </c>
      <c r="J32" s="77">
        <v>0</v>
      </c>
    </row>
    <row r="33" spans="1:10" x14ac:dyDescent="0.3">
      <c r="A33" s="77" t="s">
        <v>671</v>
      </c>
      <c r="B33" s="77" t="s">
        <v>773</v>
      </c>
      <c r="C33" s="77">
        <v>0</v>
      </c>
      <c r="D33" s="77">
        <v>101999</v>
      </c>
      <c r="E33" s="77">
        <v>0</v>
      </c>
      <c r="F33" s="77">
        <v>101999</v>
      </c>
      <c r="G33" s="77">
        <v>101806</v>
      </c>
      <c r="H33" s="77">
        <v>0</v>
      </c>
      <c r="I33" s="77">
        <v>101806</v>
      </c>
      <c r="J33" s="77">
        <v>193</v>
      </c>
    </row>
    <row r="34" spans="1:10" x14ac:dyDescent="0.3">
      <c r="A34" s="77" t="s">
        <v>193</v>
      </c>
      <c r="B34" s="77" t="s">
        <v>842</v>
      </c>
      <c r="C34" s="77">
        <v>576700</v>
      </c>
      <c r="D34" s="77">
        <v>20492938</v>
      </c>
      <c r="E34" s="77">
        <v>0</v>
      </c>
      <c r="F34" s="77">
        <v>20492938</v>
      </c>
      <c r="G34" s="77">
        <v>20228883</v>
      </c>
      <c r="H34" s="77">
        <v>0</v>
      </c>
      <c r="I34" s="77">
        <v>20228883</v>
      </c>
      <c r="J34" s="77">
        <v>840755</v>
      </c>
    </row>
    <row r="35" spans="1:10" x14ac:dyDescent="0.3">
      <c r="A35" s="77" t="s">
        <v>791</v>
      </c>
      <c r="B35" s="77" t="s">
        <v>477</v>
      </c>
      <c r="C35" s="77">
        <v>0</v>
      </c>
      <c r="D35" s="77">
        <v>0</v>
      </c>
      <c r="E35" s="77">
        <v>0</v>
      </c>
      <c r="F35" s="77">
        <v>0</v>
      </c>
      <c r="G35" s="77">
        <v>2179</v>
      </c>
      <c r="H35" s="77">
        <v>0</v>
      </c>
      <c r="I35" s="77">
        <v>2179</v>
      </c>
      <c r="J35" s="77">
        <v>-2179</v>
      </c>
    </row>
    <row r="36" spans="1:10" x14ac:dyDescent="0.3">
      <c r="A36" s="77" t="s">
        <v>1186</v>
      </c>
      <c r="B36" s="77" t="s">
        <v>455</v>
      </c>
      <c r="C36" s="77">
        <v>-192</v>
      </c>
      <c r="D36" s="77">
        <v>59253</v>
      </c>
      <c r="E36" s="77">
        <v>0</v>
      </c>
      <c r="F36" s="77">
        <v>59253</v>
      </c>
      <c r="G36" s="77">
        <v>59061</v>
      </c>
      <c r="H36" s="77">
        <v>0</v>
      </c>
      <c r="I36" s="77">
        <v>59061</v>
      </c>
      <c r="J36" s="77">
        <v>0</v>
      </c>
    </row>
    <row r="37" spans="1:10" x14ac:dyDescent="0.3">
      <c r="A37" s="77" t="s">
        <v>475</v>
      </c>
      <c r="B37" s="77" t="s">
        <v>934</v>
      </c>
      <c r="C37" s="77">
        <v>371945</v>
      </c>
      <c r="D37" s="77">
        <v>13135473</v>
      </c>
      <c r="E37" s="77">
        <v>-1937</v>
      </c>
      <c r="F37" s="77">
        <v>13133536</v>
      </c>
      <c r="G37" s="77">
        <v>12495465</v>
      </c>
      <c r="H37" s="77">
        <v>0</v>
      </c>
      <c r="I37" s="77">
        <v>12495465</v>
      </c>
      <c r="J37" s="77">
        <v>1010016</v>
      </c>
    </row>
    <row r="38" spans="1:10" x14ac:dyDescent="0.3">
      <c r="A38" s="77" t="s">
        <v>68</v>
      </c>
      <c r="B38" s="77" t="s">
        <v>210</v>
      </c>
      <c r="C38" s="77">
        <v>369968</v>
      </c>
      <c r="D38" s="77">
        <v>3775010</v>
      </c>
      <c r="E38" s="77">
        <v>-16265</v>
      </c>
      <c r="F38" s="77">
        <v>3758745</v>
      </c>
      <c r="G38" s="77">
        <v>3845682</v>
      </c>
      <c r="H38" s="77">
        <v>0</v>
      </c>
      <c r="I38" s="77">
        <v>3845682</v>
      </c>
      <c r="J38" s="77">
        <v>283031</v>
      </c>
    </row>
    <row r="39" spans="1:10" x14ac:dyDescent="0.3">
      <c r="A39" s="77" t="s">
        <v>568</v>
      </c>
      <c r="B39" s="77" t="s">
        <v>48</v>
      </c>
      <c r="C39" s="77">
        <v>0</v>
      </c>
      <c r="D39" s="77">
        <v>50144</v>
      </c>
      <c r="E39" s="77">
        <v>0</v>
      </c>
      <c r="F39" s="77">
        <v>50144</v>
      </c>
      <c r="G39" s="77">
        <v>48512</v>
      </c>
      <c r="H39" s="77">
        <v>0</v>
      </c>
      <c r="I39" s="77">
        <v>48512</v>
      </c>
      <c r="J39" s="77">
        <v>1632</v>
      </c>
    </row>
    <row r="40" spans="1:10" x14ac:dyDescent="0.3">
      <c r="A40" s="77" t="s">
        <v>979</v>
      </c>
      <c r="B40" s="77" t="s">
        <v>1005</v>
      </c>
      <c r="C40" s="77">
        <v>0</v>
      </c>
      <c r="D40" s="77">
        <v>4557</v>
      </c>
      <c r="E40" s="77">
        <v>0</v>
      </c>
      <c r="F40" s="77">
        <v>4557</v>
      </c>
      <c r="G40" s="77">
        <v>4557</v>
      </c>
      <c r="H40" s="77">
        <v>0</v>
      </c>
      <c r="I40" s="77">
        <v>4557</v>
      </c>
      <c r="J40" s="77">
        <v>0</v>
      </c>
    </row>
    <row r="41" spans="1:10" x14ac:dyDescent="0.3">
      <c r="A41" s="77" t="s">
        <v>13</v>
      </c>
      <c r="B41" s="77" t="s">
        <v>1279</v>
      </c>
      <c r="C41" s="77">
        <v>16530</v>
      </c>
      <c r="D41" s="77">
        <v>14400</v>
      </c>
      <c r="E41" s="77">
        <v>0</v>
      </c>
      <c r="F41" s="77">
        <v>14400</v>
      </c>
      <c r="G41" s="77">
        <v>3300</v>
      </c>
      <c r="H41" s="77">
        <v>0</v>
      </c>
      <c r="I41" s="77">
        <v>3300</v>
      </c>
      <c r="J41" s="77">
        <v>27630</v>
      </c>
    </row>
    <row r="42" spans="1:10" x14ac:dyDescent="0.3">
      <c r="A42" s="77" t="s">
        <v>729</v>
      </c>
      <c r="B42" s="77" t="s">
        <v>11</v>
      </c>
      <c r="C42" s="77">
        <v>-339477</v>
      </c>
      <c r="D42" s="77">
        <v>3631525</v>
      </c>
      <c r="E42" s="77">
        <v>0</v>
      </c>
      <c r="F42" s="77">
        <v>3631525</v>
      </c>
      <c r="G42" s="77">
        <v>3428210</v>
      </c>
      <c r="H42" s="77">
        <v>-2973</v>
      </c>
      <c r="I42" s="77">
        <v>3425237</v>
      </c>
      <c r="J42" s="77">
        <v>-133189</v>
      </c>
    </row>
    <row r="43" spans="1:10" x14ac:dyDescent="0.3">
      <c r="A43" s="77" t="s">
        <v>1164</v>
      </c>
      <c r="B43" s="77" t="s">
        <v>1098</v>
      </c>
      <c r="C43" s="77">
        <v>-3139086</v>
      </c>
      <c r="D43" s="77">
        <v>12432626</v>
      </c>
      <c r="E43" s="77">
        <v>0</v>
      </c>
      <c r="F43" s="77">
        <v>12432626</v>
      </c>
      <c r="G43" s="77">
        <v>14320159</v>
      </c>
      <c r="H43" s="77">
        <v>-8233</v>
      </c>
      <c r="I43" s="77">
        <v>14311926</v>
      </c>
      <c r="J43" s="77">
        <v>-5018386</v>
      </c>
    </row>
    <row r="44" spans="1:10" x14ac:dyDescent="0.3">
      <c r="A44" s="77" t="s">
        <v>1240</v>
      </c>
      <c r="B44" s="77" t="s">
        <v>1300</v>
      </c>
      <c r="C44" s="77">
        <v>-217655</v>
      </c>
      <c r="D44" s="77">
        <v>606401</v>
      </c>
      <c r="E44" s="77">
        <v>0</v>
      </c>
      <c r="F44" s="77">
        <v>606401</v>
      </c>
      <c r="G44" s="77">
        <v>1066703</v>
      </c>
      <c r="H44" s="77">
        <v>-2062</v>
      </c>
      <c r="I44" s="77">
        <v>1064641</v>
      </c>
      <c r="J44" s="77">
        <v>-675895</v>
      </c>
    </row>
    <row r="45" spans="1:10" x14ac:dyDescent="0.3">
      <c r="A45" s="77" t="s">
        <v>75</v>
      </c>
      <c r="B45" s="77" t="s">
        <v>1077</v>
      </c>
      <c r="C45" s="77">
        <v>-26074</v>
      </c>
      <c r="D45" s="77">
        <v>26074</v>
      </c>
      <c r="E45" s="77">
        <v>0</v>
      </c>
      <c r="F45" s="77">
        <v>26074</v>
      </c>
      <c r="G45" s="77">
        <v>38497</v>
      </c>
      <c r="H45" s="77">
        <v>0</v>
      </c>
      <c r="I45" s="77">
        <v>38497</v>
      </c>
      <c r="J45" s="77">
        <v>-38497</v>
      </c>
    </row>
    <row r="46" spans="1:10" x14ac:dyDescent="0.3">
      <c r="A46" s="77" t="s">
        <v>1108</v>
      </c>
      <c r="B46" s="77" t="s">
        <v>650</v>
      </c>
      <c r="C46" s="77">
        <v>0</v>
      </c>
      <c r="D46" s="77">
        <v>10592</v>
      </c>
      <c r="E46" s="77">
        <v>0</v>
      </c>
      <c r="F46" s="77">
        <v>10592</v>
      </c>
      <c r="G46" s="77">
        <v>10592</v>
      </c>
      <c r="H46" s="77">
        <v>0</v>
      </c>
      <c r="I46" s="77">
        <v>10592</v>
      </c>
      <c r="J46" s="77">
        <v>0</v>
      </c>
    </row>
    <row r="47" spans="1:10" x14ac:dyDescent="0.3">
      <c r="A47" s="77" t="s">
        <v>337</v>
      </c>
      <c r="B47" s="77" t="s">
        <v>152</v>
      </c>
      <c r="C47" s="77">
        <v>-21512</v>
      </c>
      <c r="D47" s="77">
        <v>22892</v>
      </c>
      <c r="E47" s="77">
        <v>-1380</v>
      </c>
      <c r="F47" s="77">
        <v>21512</v>
      </c>
      <c r="G47" s="77">
        <v>6916</v>
      </c>
      <c r="H47" s="77">
        <v>0</v>
      </c>
      <c r="I47" s="77">
        <v>6916</v>
      </c>
      <c r="J47" s="77">
        <v>-6916</v>
      </c>
    </row>
    <row r="48" spans="1:10" x14ac:dyDescent="0.3">
      <c r="A48" s="77" t="s">
        <v>304</v>
      </c>
      <c r="B48" s="77" t="s">
        <v>411</v>
      </c>
      <c r="C48" s="77">
        <v>-61452</v>
      </c>
      <c r="D48" s="77">
        <v>1493295</v>
      </c>
      <c r="E48" s="77">
        <v>-1184</v>
      </c>
      <c r="F48" s="77">
        <v>1492111</v>
      </c>
      <c r="G48" s="77">
        <v>1516936</v>
      </c>
      <c r="H48" s="77">
        <v>0</v>
      </c>
      <c r="I48" s="77">
        <v>1516936</v>
      </c>
      <c r="J48" s="77">
        <v>-86277</v>
      </c>
    </row>
    <row r="49" spans="1:10" x14ac:dyDescent="0.3">
      <c r="A49" s="77" t="s">
        <v>481</v>
      </c>
      <c r="B49" s="77" t="s">
        <v>1247</v>
      </c>
      <c r="C49" s="77">
        <v>0</v>
      </c>
      <c r="D49" s="77">
        <v>54169</v>
      </c>
      <c r="E49" s="77">
        <v>0</v>
      </c>
      <c r="F49" s="77">
        <v>54169</v>
      </c>
      <c r="G49" s="77">
        <v>61997</v>
      </c>
      <c r="H49" s="77">
        <v>0</v>
      </c>
      <c r="I49" s="77">
        <v>61997</v>
      </c>
      <c r="J49" s="77">
        <v>-7828</v>
      </c>
    </row>
    <row r="50" spans="1:10" x14ac:dyDescent="0.3">
      <c r="A50" s="77" t="s">
        <v>534</v>
      </c>
      <c r="B50" s="77" t="s">
        <v>245</v>
      </c>
      <c r="C50" s="77">
        <v>0</v>
      </c>
      <c r="D50" s="77">
        <v>4711</v>
      </c>
      <c r="E50" s="77">
        <v>0</v>
      </c>
      <c r="F50" s="77">
        <v>4711</v>
      </c>
      <c r="G50" s="77">
        <v>4711</v>
      </c>
      <c r="H50" s="77">
        <v>0</v>
      </c>
      <c r="I50" s="77">
        <v>4711</v>
      </c>
      <c r="J50" s="77">
        <v>0</v>
      </c>
    </row>
    <row r="51" spans="1:10" x14ac:dyDescent="0.3">
      <c r="A51" s="77" t="s">
        <v>336</v>
      </c>
      <c r="B51" s="77" t="s">
        <v>928</v>
      </c>
      <c r="C51" s="77">
        <v>0</v>
      </c>
      <c r="D51" s="77">
        <v>2238</v>
      </c>
      <c r="E51" s="77">
        <v>0</v>
      </c>
      <c r="F51" s="77">
        <v>2238</v>
      </c>
      <c r="G51" s="77">
        <v>2238</v>
      </c>
      <c r="H51" s="77">
        <v>0</v>
      </c>
      <c r="I51" s="77">
        <v>2238</v>
      </c>
      <c r="J51" s="77">
        <v>0</v>
      </c>
    </row>
    <row r="52" spans="1:10" x14ac:dyDescent="0.3">
      <c r="A52" s="77" t="s">
        <v>931</v>
      </c>
      <c r="B52" s="77" t="s">
        <v>113</v>
      </c>
      <c r="C52" s="77">
        <v>0</v>
      </c>
      <c r="D52" s="77">
        <v>716</v>
      </c>
      <c r="E52" s="77">
        <v>0</v>
      </c>
      <c r="F52" s="77">
        <v>716</v>
      </c>
      <c r="G52" s="77">
        <v>716</v>
      </c>
      <c r="H52" s="77">
        <v>0</v>
      </c>
      <c r="I52" s="77">
        <v>716</v>
      </c>
      <c r="J52" s="77">
        <v>0</v>
      </c>
    </row>
    <row r="53" spans="1:10" x14ac:dyDescent="0.3">
      <c r="A53" s="77" t="s">
        <v>67</v>
      </c>
      <c r="B53" s="77" t="s">
        <v>1030</v>
      </c>
      <c r="C53" s="77">
        <v>0</v>
      </c>
      <c r="D53" s="77">
        <v>5337</v>
      </c>
      <c r="E53" s="77">
        <v>0</v>
      </c>
      <c r="F53" s="77">
        <v>5337</v>
      </c>
      <c r="G53" s="77">
        <v>5337</v>
      </c>
      <c r="H53" s="77">
        <v>0</v>
      </c>
      <c r="I53" s="77">
        <v>5337</v>
      </c>
      <c r="J53" s="77">
        <v>0</v>
      </c>
    </row>
    <row r="54" spans="1:10" x14ac:dyDescent="0.3">
      <c r="A54" s="77" t="s">
        <v>840</v>
      </c>
      <c r="B54" s="77" t="s">
        <v>323</v>
      </c>
      <c r="C54" s="77">
        <v>0</v>
      </c>
      <c r="D54" s="77">
        <v>11390</v>
      </c>
      <c r="E54" s="77">
        <v>0</v>
      </c>
      <c r="F54" s="77">
        <v>11390</v>
      </c>
      <c r="G54" s="77">
        <v>11463</v>
      </c>
      <c r="H54" s="77">
        <v>-73</v>
      </c>
      <c r="I54" s="77">
        <v>11390</v>
      </c>
      <c r="J54" s="77">
        <v>0</v>
      </c>
    </row>
    <row r="55" spans="1:10" x14ac:dyDescent="0.3">
      <c r="A55" s="77" t="s">
        <v>202</v>
      </c>
      <c r="B55" s="77" t="s">
        <v>341</v>
      </c>
      <c r="C55" s="77">
        <v>0</v>
      </c>
      <c r="D55" s="77">
        <v>1813</v>
      </c>
      <c r="E55" s="77">
        <v>0</v>
      </c>
      <c r="F55" s="77">
        <v>1813</v>
      </c>
      <c r="G55" s="77">
        <v>1813</v>
      </c>
      <c r="H55" s="77">
        <v>0</v>
      </c>
      <c r="I55" s="77">
        <v>1813</v>
      </c>
      <c r="J55" s="77">
        <v>0</v>
      </c>
    </row>
    <row r="56" spans="1:10" x14ac:dyDescent="0.3">
      <c r="A56" s="77" t="s">
        <v>978</v>
      </c>
      <c r="B56" s="77" t="s">
        <v>735</v>
      </c>
      <c r="C56" s="77">
        <v>0</v>
      </c>
      <c r="D56" s="77">
        <v>2233</v>
      </c>
      <c r="E56" s="77">
        <v>0</v>
      </c>
      <c r="F56" s="77">
        <v>2233</v>
      </c>
      <c r="G56" s="77">
        <v>2233</v>
      </c>
      <c r="H56" s="77">
        <v>0</v>
      </c>
      <c r="I56" s="77">
        <v>2233</v>
      </c>
      <c r="J56" s="77">
        <v>0</v>
      </c>
    </row>
    <row r="57" spans="1:10" x14ac:dyDescent="0.3">
      <c r="A57" s="77" t="s">
        <v>117</v>
      </c>
      <c r="B57" s="77" t="s">
        <v>1321</v>
      </c>
      <c r="C57" s="77">
        <v>0</v>
      </c>
      <c r="D57" s="77">
        <v>1751</v>
      </c>
      <c r="E57" s="77">
        <v>0</v>
      </c>
      <c r="F57" s="77">
        <v>1751</v>
      </c>
      <c r="G57" s="77">
        <v>1751</v>
      </c>
      <c r="H57" s="77">
        <v>0</v>
      </c>
      <c r="I57" s="77">
        <v>1751</v>
      </c>
      <c r="J57" s="77">
        <v>0</v>
      </c>
    </row>
    <row r="58" spans="1:10" x14ac:dyDescent="0.3">
      <c r="A58" s="77" t="s">
        <v>752</v>
      </c>
      <c r="B58" s="77" t="s">
        <v>776</v>
      </c>
      <c r="C58" s="77">
        <v>0</v>
      </c>
      <c r="D58" s="77">
        <v>1737</v>
      </c>
      <c r="E58" s="77">
        <v>0</v>
      </c>
      <c r="F58" s="77">
        <v>1737</v>
      </c>
      <c r="G58" s="77">
        <v>1433</v>
      </c>
      <c r="H58" s="77">
        <v>-386</v>
      </c>
      <c r="I58" s="77">
        <v>1047</v>
      </c>
      <c r="J58" s="77">
        <v>690</v>
      </c>
    </row>
    <row r="59" spans="1:10" x14ac:dyDescent="0.3">
      <c r="A59" s="77" t="s">
        <v>1016</v>
      </c>
      <c r="B59" s="77" t="s">
        <v>1150</v>
      </c>
      <c r="C59" s="77">
        <v>0</v>
      </c>
      <c r="D59" s="77">
        <v>38345</v>
      </c>
      <c r="E59" s="77">
        <v>-41</v>
      </c>
      <c r="F59" s="77">
        <v>38304</v>
      </c>
      <c r="G59" s="77">
        <v>38304</v>
      </c>
      <c r="H59" s="77">
        <v>0</v>
      </c>
      <c r="I59" s="77">
        <v>38304</v>
      </c>
      <c r="J59" s="77">
        <v>0</v>
      </c>
    </row>
    <row r="60" spans="1:10" x14ac:dyDescent="0.3">
      <c r="A60" s="77" t="s">
        <v>1223</v>
      </c>
      <c r="B60" s="77" t="s">
        <v>1306</v>
      </c>
      <c r="C60" s="77">
        <v>0</v>
      </c>
      <c r="D60" s="77">
        <v>5029</v>
      </c>
      <c r="E60" s="77">
        <v>0</v>
      </c>
      <c r="F60" s="77">
        <v>5029</v>
      </c>
      <c r="G60" s="77">
        <v>1689</v>
      </c>
      <c r="H60" s="77">
        <v>0</v>
      </c>
      <c r="I60" s="77">
        <v>1689</v>
      </c>
      <c r="J60" s="77">
        <v>3340</v>
      </c>
    </row>
    <row r="61" spans="1:10" x14ac:dyDescent="0.3">
      <c r="A61" s="77" t="s">
        <v>770</v>
      </c>
      <c r="B61" s="77" t="s">
        <v>1265</v>
      </c>
      <c r="C61" s="77">
        <v>-7169</v>
      </c>
      <c r="D61" s="77">
        <v>138796</v>
      </c>
      <c r="E61" s="77">
        <v>0</v>
      </c>
      <c r="F61" s="77">
        <v>138796</v>
      </c>
      <c r="G61" s="77">
        <v>142634</v>
      </c>
      <c r="H61" s="77">
        <v>0</v>
      </c>
      <c r="I61" s="77">
        <v>142634</v>
      </c>
      <c r="J61" s="77">
        <v>-11007</v>
      </c>
    </row>
    <row r="62" spans="1:10" x14ac:dyDescent="0.3">
      <c r="A62" s="77" t="s">
        <v>1130</v>
      </c>
      <c r="B62" s="77" t="s">
        <v>178</v>
      </c>
      <c r="C62" s="77">
        <v>-2508</v>
      </c>
      <c r="D62" s="77">
        <v>35068</v>
      </c>
      <c r="E62" s="77">
        <v>0</v>
      </c>
      <c r="F62" s="77">
        <v>35068</v>
      </c>
      <c r="G62" s="77">
        <v>35485</v>
      </c>
      <c r="H62" s="77">
        <v>0</v>
      </c>
      <c r="I62" s="77">
        <v>35485</v>
      </c>
      <c r="J62" s="77">
        <v>-2925</v>
      </c>
    </row>
    <row r="63" spans="1:10" x14ac:dyDescent="0.3">
      <c r="A63" s="77" t="s">
        <v>1201</v>
      </c>
      <c r="B63" s="77" t="s">
        <v>431</v>
      </c>
      <c r="C63" s="77">
        <v>-1239</v>
      </c>
      <c r="D63" s="77">
        <v>27878</v>
      </c>
      <c r="E63" s="77">
        <v>0</v>
      </c>
      <c r="F63" s="77">
        <v>27878</v>
      </c>
      <c r="G63" s="77">
        <v>28635</v>
      </c>
      <c r="H63" s="77">
        <v>0</v>
      </c>
      <c r="I63" s="77">
        <v>28635</v>
      </c>
      <c r="J63" s="77">
        <v>-1996</v>
      </c>
    </row>
    <row r="64" spans="1:10" x14ac:dyDescent="0.3">
      <c r="A64" s="77" t="s">
        <v>451</v>
      </c>
      <c r="B64" s="77" t="s">
        <v>57</v>
      </c>
      <c r="C64" s="77">
        <v>-23848</v>
      </c>
      <c r="D64" s="77">
        <v>458568</v>
      </c>
      <c r="E64" s="77">
        <v>0</v>
      </c>
      <c r="F64" s="77">
        <v>458568</v>
      </c>
      <c r="G64" s="77">
        <v>471873</v>
      </c>
      <c r="H64" s="77">
        <v>0</v>
      </c>
      <c r="I64" s="77">
        <v>471873</v>
      </c>
      <c r="J64" s="77">
        <v>-37153</v>
      </c>
    </row>
    <row r="65" spans="1:10" x14ac:dyDescent="0.3">
      <c r="A65" s="77" t="s">
        <v>52</v>
      </c>
      <c r="B65" s="77" t="s">
        <v>704</v>
      </c>
      <c r="C65" s="77">
        <v>-15</v>
      </c>
      <c r="D65" s="77">
        <v>318</v>
      </c>
      <c r="E65" s="77">
        <v>0</v>
      </c>
      <c r="F65" s="77">
        <v>318</v>
      </c>
      <c r="G65" s="77">
        <v>321</v>
      </c>
      <c r="H65" s="77">
        <v>0</v>
      </c>
      <c r="I65" s="77">
        <v>321</v>
      </c>
      <c r="J65" s="77">
        <v>-18</v>
      </c>
    </row>
    <row r="66" spans="1:10" x14ac:dyDescent="0.3">
      <c r="A66" s="77" t="s">
        <v>228</v>
      </c>
      <c r="B66" s="77" t="s">
        <v>71</v>
      </c>
      <c r="C66" s="77">
        <v>-2880</v>
      </c>
      <c r="D66" s="77">
        <v>2880</v>
      </c>
      <c r="E66" s="77">
        <v>0</v>
      </c>
      <c r="F66" s="77">
        <v>2880</v>
      </c>
      <c r="G66" s="77">
        <v>2880</v>
      </c>
      <c r="H66" s="77">
        <v>0</v>
      </c>
      <c r="I66" s="77">
        <v>2880</v>
      </c>
      <c r="J66" s="77">
        <v>-2880</v>
      </c>
    </row>
    <row r="67" spans="1:10" x14ac:dyDescent="0.3">
      <c r="A67" s="77" t="s">
        <v>1080</v>
      </c>
      <c r="B67" s="77" t="s">
        <v>283</v>
      </c>
      <c r="C67" s="77">
        <v>-7194</v>
      </c>
      <c r="D67" s="77">
        <v>147189</v>
      </c>
      <c r="E67" s="77">
        <v>0</v>
      </c>
      <c r="F67" s="77">
        <v>147189</v>
      </c>
      <c r="G67" s="77">
        <v>151443</v>
      </c>
      <c r="H67" s="77">
        <v>0</v>
      </c>
      <c r="I67" s="77">
        <v>151443</v>
      </c>
      <c r="J67" s="77">
        <v>-11448</v>
      </c>
    </row>
    <row r="68" spans="1:10" x14ac:dyDescent="0.3">
      <c r="A68" s="77" t="s">
        <v>1144</v>
      </c>
      <c r="B68" s="77" t="s">
        <v>1043</v>
      </c>
      <c r="C68" s="77">
        <v>0</v>
      </c>
      <c r="D68" s="77">
        <v>16</v>
      </c>
      <c r="E68" s="77">
        <v>0</v>
      </c>
      <c r="F68" s="77">
        <v>16</v>
      </c>
      <c r="G68" s="77">
        <v>16</v>
      </c>
      <c r="H68" s="77">
        <v>0</v>
      </c>
      <c r="I68" s="77">
        <v>16</v>
      </c>
      <c r="J68" s="77">
        <v>0</v>
      </c>
    </row>
    <row r="69" spans="1:10" x14ac:dyDescent="0.3">
      <c r="A69" s="77" t="s">
        <v>933</v>
      </c>
      <c r="B69" s="77" t="s">
        <v>1101</v>
      </c>
      <c r="C69" s="77">
        <v>0</v>
      </c>
      <c r="D69" s="77">
        <v>415361</v>
      </c>
      <c r="E69" s="77">
        <v>-230</v>
      </c>
      <c r="F69" s="77">
        <v>415131</v>
      </c>
      <c r="G69" s="77">
        <v>415130</v>
      </c>
      <c r="H69" s="77">
        <v>0</v>
      </c>
      <c r="I69" s="77">
        <v>415130</v>
      </c>
      <c r="J69" s="77">
        <v>1</v>
      </c>
    </row>
    <row r="70" spans="1:10" x14ac:dyDescent="0.3">
      <c r="A70" s="77" t="s">
        <v>263</v>
      </c>
      <c r="B70" s="77" t="s">
        <v>454</v>
      </c>
      <c r="C70" s="77">
        <v>0</v>
      </c>
      <c r="D70" s="77">
        <v>3150558</v>
      </c>
      <c r="E70" s="77">
        <v>-2059</v>
      </c>
      <c r="F70" s="77">
        <v>3148499</v>
      </c>
      <c r="G70" s="77">
        <v>3148499</v>
      </c>
      <c r="H70" s="77">
        <v>0</v>
      </c>
      <c r="I70" s="77">
        <v>3148499</v>
      </c>
      <c r="J70" s="77">
        <v>0</v>
      </c>
    </row>
    <row r="71" spans="1:10" x14ac:dyDescent="0.3">
      <c r="A71" s="77" t="s">
        <v>1027</v>
      </c>
      <c r="B71" s="77" t="s">
        <v>862</v>
      </c>
      <c r="C71" s="77">
        <v>0</v>
      </c>
      <c r="D71" s="77">
        <v>2183677</v>
      </c>
      <c r="E71" s="77">
        <v>0</v>
      </c>
      <c r="F71" s="77">
        <v>2183677</v>
      </c>
      <c r="G71" s="77">
        <v>2183689</v>
      </c>
      <c r="H71" s="77">
        <v>-12</v>
      </c>
      <c r="I71" s="77">
        <v>2183677</v>
      </c>
      <c r="J71" s="77">
        <v>0</v>
      </c>
    </row>
    <row r="72" spans="1:10" x14ac:dyDescent="0.3">
      <c r="A72" s="77" t="s">
        <v>376</v>
      </c>
      <c r="B72" s="77" t="s">
        <v>454</v>
      </c>
      <c r="C72" s="77">
        <v>0</v>
      </c>
      <c r="D72" s="77">
        <v>3148499</v>
      </c>
      <c r="E72" s="77">
        <v>0</v>
      </c>
      <c r="F72" s="77">
        <v>3148499</v>
      </c>
      <c r="G72" s="77">
        <v>3150558</v>
      </c>
      <c r="H72" s="77">
        <v>-2059</v>
      </c>
      <c r="I72" s="77">
        <v>3148499</v>
      </c>
      <c r="J72" s="77">
        <v>0</v>
      </c>
    </row>
    <row r="73" spans="1:10" x14ac:dyDescent="0.3">
      <c r="A73" s="77" t="s">
        <v>125</v>
      </c>
      <c r="B73" s="77" t="s">
        <v>226</v>
      </c>
      <c r="C73" s="77">
        <v>-1206</v>
      </c>
      <c r="D73" s="77">
        <v>1625651</v>
      </c>
      <c r="E73" s="77">
        <v>0</v>
      </c>
      <c r="F73" s="77">
        <v>1625651</v>
      </c>
      <c r="G73" s="77">
        <v>1768530</v>
      </c>
      <c r="H73" s="77">
        <v>0</v>
      </c>
      <c r="I73" s="77">
        <v>1768530</v>
      </c>
      <c r="J73" s="77">
        <v>-144085</v>
      </c>
    </row>
    <row r="74" spans="1:10" x14ac:dyDescent="0.3">
      <c r="A74" s="77" t="s">
        <v>626</v>
      </c>
      <c r="B74" s="77" t="s">
        <v>636</v>
      </c>
      <c r="C74" s="77">
        <v>-357</v>
      </c>
      <c r="D74" s="77">
        <v>6113</v>
      </c>
      <c r="E74" s="77">
        <v>0</v>
      </c>
      <c r="F74" s="77">
        <v>6113</v>
      </c>
      <c r="G74" s="77">
        <v>6122</v>
      </c>
      <c r="H74" s="77">
        <v>0</v>
      </c>
      <c r="I74" s="77">
        <v>6122</v>
      </c>
      <c r="J74" s="77">
        <v>-366</v>
      </c>
    </row>
    <row r="75" spans="1:10" x14ac:dyDescent="0.3">
      <c r="A75" s="77" t="s">
        <v>1311</v>
      </c>
      <c r="B75" s="77" t="s">
        <v>257</v>
      </c>
      <c r="C75" s="77">
        <v>0</v>
      </c>
      <c r="D75" s="77">
        <v>7823</v>
      </c>
      <c r="E75" s="77">
        <v>0</v>
      </c>
      <c r="F75" s="77">
        <v>7823</v>
      </c>
      <c r="G75" s="77">
        <v>7823</v>
      </c>
      <c r="H75" s="77">
        <v>0</v>
      </c>
      <c r="I75" s="77">
        <v>7823</v>
      </c>
      <c r="J75" s="77">
        <v>0</v>
      </c>
    </row>
    <row r="76" spans="1:10" x14ac:dyDescent="0.3">
      <c r="A76" s="77" t="s">
        <v>814</v>
      </c>
      <c r="B76" s="77" t="s">
        <v>229</v>
      </c>
      <c r="C76" s="77">
        <v>0</v>
      </c>
      <c r="D76" s="77">
        <v>1000000</v>
      </c>
      <c r="E76" s="77">
        <v>0</v>
      </c>
      <c r="F76" s="77">
        <v>1000000</v>
      </c>
      <c r="G76" s="77">
        <v>1000000</v>
      </c>
      <c r="H76" s="77">
        <v>0</v>
      </c>
      <c r="I76" s="77">
        <v>1000000</v>
      </c>
      <c r="J76" s="77">
        <v>0</v>
      </c>
    </row>
    <row r="77" spans="1:10" x14ac:dyDescent="0.3">
      <c r="A77" s="77" t="s">
        <v>1038</v>
      </c>
      <c r="B77" s="77" t="s">
        <v>74</v>
      </c>
      <c r="C77" s="77">
        <v>1425</v>
      </c>
      <c r="D77" s="77">
        <v>1900</v>
      </c>
      <c r="E77" s="77">
        <v>0</v>
      </c>
      <c r="F77" s="77">
        <v>1900</v>
      </c>
      <c r="G77" s="77">
        <v>3325</v>
      </c>
      <c r="H77" s="77">
        <v>0</v>
      </c>
      <c r="I77" s="77">
        <v>3325</v>
      </c>
      <c r="J77" s="77">
        <v>0</v>
      </c>
    </row>
    <row r="78" spans="1:10" x14ac:dyDescent="0.3">
      <c r="A78" s="77" t="s">
        <v>391</v>
      </c>
      <c r="B78" s="77" t="s">
        <v>1337</v>
      </c>
      <c r="C78" s="77">
        <v>0</v>
      </c>
      <c r="D78" s="77">
        <v>0</v>
      </c>
      <c r="E78" s="77">
        <v>0</v>
      </c>
      <c r="F78" s="77">
        <v>0</v>
      </c>
      <c r="G78" s="77">
        <v>1009731</v>
      </c>
      <c r="H78" s="77">
        <v>0</v>
      </c>
      <c r="I78" s="77">
        <v>1009731</v>
      </c>
      <c r="J78" s="77">
        <v>-1009731</v>
      </c>
    </row>
    <row r="79" spans="1:10" x14ac:dyDescent="0.3">
      <c r="A79" s="77" t="s">
        <v>700</v>
      </c>
      <c r="B79" s="77" t="s">
        <v>412</v>
      </c>
      <c r="C79" s="77">
        <v>0</v>
      </c>
      <c r="D79" s="77">
        <v>12869</v>
      </c>
      <c r="E79" s="77">
        <v>0</v>
      </c>
      <c r="F79" s="77">
        <v>12869</v>
      </c>
      <c r="G79" s="77">
        <v>12869</v>
      </c>
      <c r="H79" s="77">
        <v>0</v>
      </c>
      <c r="I79" s="77">
        <v>12869</v>
      </c>
      <c r="J79" s="77">
        <v>0</v>
      </c>
    </row>
    <row r="80" spans="1:10" x14ac:dyDescent="0.3">
      <c r="A80" s="77" t="s">
        <v>238</v>
      </c>
      <c r="B80" s="77" t="s">
        <v>66</v>
      </c>
      <c r="C80" s="77">
        <v>1063</v>
      </c>
      <c r="D80" s="77">
        <v>0</v>
      </c>
      <c r="E80" s="77">
        <v>0</v>
      </c>
      <c r="F80" s="77">
        <v>0</v>
      </c>
      <c r="G80" s="77">
        <v>0</v>
      </c>
      <c r="H80" s="77">
        <v>0</v>
      </c>
      <c r="I80" s="77">
        <v>0</v>
      </c>
      <c r="J80" s="77">
        <v>1063</v>
      </c>
    </row>
    <row r="81" spans="1:10" x14ac:dyDescent="0.3">
      <c r="A81" s="77" t="s">
        <v>151</v>
      </c>
      <c r="B81" s="77" t="s">
        <v>588</v>
      </c>
      <c r="C81" s="77">
        <v>0</v>
      </c>
      <c r="D81" s="77">
        <v>28122</v>
      </c>
      <c r="E81" s="77">
        <v>0</v>
      </c>
      <c r="F81" s="77">
        <v>28122</v>
      </c>
      <c r="G81" s="77">
        <v>28122</v>
      </c>
      <c r="H81" s="77">
        <v>0</v>
      </c>
      <c r="I81" s="77">
        <v>28122</v>
      </c>
      <c r="J81" s="77">
        <v>0</v>
      </c>
    </row>
    <row r="82" spans="1:10" x14ac:dyDescent="0.3">
      <c r="A82" s="77" t="s">
        <v>379</v>
      </c>
      <c r="B82" s="77" t="s">
        <v>1019</v>
      </c>
      <c r="C82" s="77">
        <v>-3994</v>
      </c>
      <c r="D82" s="77">
        <v>33006</v>
      </c>
      <c r="E82" s="77">
        <v>0</v>
      </c>
      <c r="F82" s="77">
        <v>33006</v>
      </c>
      <c r="G82" s="77">
        <v>31939</v>
      </c>
      <c r="H82" s="77">
        <v>0</v>
      </c>
      <c r="I82" s="77">
        <v>31939</v>
      </c>
      <c r="J82" s="77">
        <v>-2927</v>
      </c>
    </row>
    <row r="83" spans="1:10" x14ac:dyDescent="0.3">
      <c r="A83" s="77" t="s">
        <v>635</v>
      </c>
      <c r="B83" s="77" t="s">
        <v>16</v>
      </c>
      <c r="C83" s="77">
        <v>-220</v>
      </c>
      <c r="D83" s="77">
        <v>9447</v>
      </c>
      <c r="E83" s="77">
        <v>0</v>
      </c>
      <c r="F83" s="77">
        <v>9447</v>
      </c>
      <c r="G83" s="77">
        <v>11597</v>
      </c>
      <c r="H83" s="77">
        <v>-148</v>
      </c>
      <c r="I83" s="77">
        <v>11449</v>
      </c>
      <c r="J83" s="77">
        <v>-2222</v>
      </c>
    </row>
    <row r="84" spans="1:10" x14ac:dyDescent="0.3">
      <c r="A84" s="77" t="s">
        <v>224</v>
      </c>
      <c r="B84" s="77" t="s">
        <v>1248</v>
      </c>
      <c r="C84" s="77">
        <v>17259</v>
      </c>
      <c r="D84" s="77">
        <v>6207</v>
      </c>
      <c r="E84" s="77">
        <v>-2844</v>
      </c>
      <c r="F84" s="77">
        <v>3363</v>
      </c>
      <c r="G84" s="77">
        <v>17259</v>
      </c>
      <c r="H84" s="77">
        <v>0</v>
      </c>
      <c r="I84" s="77">
        <v>17259</v>
      </c>
      <c r="J84" s="77">
        <v>3363</v>
      </c>
    </row>
    <row r="85" spans="1:10" x14ac:dyDescent="0.3">
      <c r="A85" s="77" t="s">
        <v>682</v>
      </c>
      <c r="B85" s="77" t="s">
        <v>555</v>
      </c>
      <c r="C85" s="77">
        <v>105</v>
      </c>
      <c r="D85" s="77">
        <v>0</v>
      </c>
      <c r="E85" s="77">
        <v>0</v>
      </c>
      <c r="F85" s="77">
        <v>0</v>
      </c>
      <c r="G85" s="77">
        <v>105</v>
      </c>
      <c r="H85" s="77">
        <v>0</v>
      </c>
      <c r="I85" s="77">
        <v>105</v>
      </c>
      <c r="J85" s="77">
        <v>0</v>
      </c>
    </row>
    <row r="86" spans="1:10" x14ac:dyDescent="0.3">
      <c r="A86" s="77" t="s">
        <v>416</v>
      </c>
      <c r="B86" s="77" t="s">
        <v>853</v>
      </c>
      <c r="C86" s="77">
        <v>122</v>
      </c>
      <c r="D86" s="77">
        <v>0</v>
      </c>
      <c r="E86" s="77">
        <v>0</v>
      </c>
      <c r="F86" s="77">
        <v>0</v>
      </c>
      <c r="G86" s="77">
        <v>122</v>
      </c>
      <c r="H86" s="77">
        <v>0</v>
      </c>
      <c r="I86" s="77">
        <v>122</v>
      </c>
      <c r="J86" s="77">
        <v>0</v>
      </c>
    </row>
    <row r="87" spans="1:10" x14ac:dyDescent="0.3">
      <c r="A87" s="77" t="s">
        <v>937</v>
      </c>
      <c r="B87" s="77" t="s">
        <v>580</v>
      </c>
      <c r="C87" s="77">
        <v>-1092</v>
      </c>
      <c r="D87" s="77">
        <v>1092</v>
      </c>
      <c r="E87" s="77">
        <v>0</v>
      </c>
      <c r="F87" s="77">
        <v>1092</v>
      </c>
      <c r="G87" s="77">
        <v>24447</v>
      </c>
      <c r="H87" s="77">
        <v>-9731</v>
      </c>
      <c r="I87" s="77">
        <v>14716</v>
      </c>
      <c r="J87" s="77">
        <v>-14716</v>
      </c>
    </row>
    <row r="88" spans="1:10" x14ac:dyDescent="0.3">
      <c r="A88" s="77" t="s">
        <v>119</v>
      </c>
      <c r="B88" s="77" t="s">
        <v>1031</v>
      </c>
      <c r="C88" s="77">
        <v>0</v>
      </c>
      <c r="D88" s="77">
        <v>248874</v>
      </c>
      <c r="E88" s="77">
        <v>0</v>
      </c>
      <c r="F88" s="77">
        <v>248874</v>
      </c>
      <c r="G88" s="77">
        <v>248874</v>
      </c>
      <c r="H88" s="77">
        <v>0</v>
      </c>
      <c r="I88" s="77">
        <v>248874</v>
      </c>
      <c r="J88" s="77">
        <v>0</v>
      </c>
    </row>
    <row r="89" spans="1:10" x14ac:dyDescent="0.3">
      <c r="A89" s="77" t="s">
        <v>629</v>
      </c>
      <c r="B89" s="77" t="s">
        <v>8</v>
      </c>
      <c r="C89" s="77">
        <v>100</v>
      </c>
      <c r="D89" s="77">
        <v>122013</v>
      </c>
      <c r="E89" s="77">
        <v>0</v>
      </c>
      <c r="F89" s="77">
        <v>122013</v>
      </c>
      <c r="G89" s="77">
        <v>100</v>
      </c>
      <c r="H89" s="77">
        <v>0</v>
      </c>
      <c r="I89" s="77">
        <v>100</v>
      </c>
      <c r="J89" s="77">
        <v>122013</v>
      </c>
    </row>
    <row r="90" spans="1:10" x14ac:dyDescent="0.3">
      <c r="A90" s="77" t="s">
        <v>811</v>
      </c>
      <c r="B90" s="77" t="s">
        <v>370</v>
      </c>
      <c r="C90" s="77">
        <v>0</v>
      </c>
      <c r="D90" s="77">
        <v>0</v>
      </c>
      <c r="E90" s="77">
        <v>0</v>
      </c>
      <c r="F90" s="77">
        <v>0</v>
      </c>
      <c r="G90" s="77">
        <v>2380</v>
      </c>
      <c r="H90" s="77">
        <v>0</v>
      </c>
      <c r="I90" s="77">
        <v>2380</v>
      </c>
      <c r="J90" s="77">
        <v>-2380</v>
      </c>
    </row>
    <row r="91" spans="1:10" x14ac:dyDescent="0.3">
      <c r="A91" s="77" t="s">
        <v>1045</v>
      </c>
      <c r="B91" s="77" t="s">
        <v>252</v>
      </c>
      <c r="C91" s="77">
        <v>0</v>
      </c>
      <c r="D91" s="77">
        <v>1697738</v>
      </c>
      <c r="E91" s="77">
        <v>0</v>
      </c>
      <c r="F91" s="77">
        <v>1697738</v>
      </c>
      <c r="G91" s="77">
        <v>1697738</v>
      </c>
      <c r="H91" s="77">
        <v>0</v>
      </c>
      <c r="I91" s="77">
        <v>1697738</v>
      </c>
      <c r="J91" s="77">
        <v>0</v>
      </c>
    </row>
    <row r="92" spans="1:10" x14ac:dyDescent="0.3">
      <c r="A92" s="77" t="s">
        <v>1252</v>
      </c>
      <c r="B92" s="77" t="s">
        <v>1325</v>
      </c>
      <c r="C92" s="77">
        <v>-2300000</v>
      </c>
      <c r="D92" s="77">
        <v>0</v>
      </c>
      <c r="E92" s="77">
        <v>0</v>
      </c>
      <c r="F92" s="77">
        <v>0</v>
      </c>
      <c r="G92" s="77">
        <v>1500000</v>
      </c>
      <c r="H92" s="77">
        <v>0</v>
      </c>
      <c r="I92" s="77">
        <v>1500000</v>
      </c>
      <c r="J92" s="77">
        <v>-3800000</v>
      </c>
    </row>
    <row r="93" spans="1:10" x14ac:dyDescent="0.3">
      <c r="A93" s="77" t="s">
        <v>563</v>
      </c>
      <c r="B93" s="77" t="s">
        <v>590</v>
      </c>
      <c r="C93" s="77">
        <v>0</v>
      </c>
      <c r="D93" s="77">
        <v>0</v>
      </c>
      <c r="E93" s="77">
        <v>0</v>
      </c>
      <c r="F93" s="77">
        <v>0</v>
      </c>
      <c r="G93" s="77">
        <v>1000000</v>
      </c>
      <c r="H93" s="77">
        <v>0</v>
      </c>
      <c r="I93" s="77">
        <v>1000000</v>
      </c>
      <c r="J93" s="77">
        <v>-1000000</v>
      </c>
    </row>
    <row r="94" spans="1:10" x14ac:dyDescent="0.3">
      <c r="A94" s="77" t="s">
        <v>14</v>
      </c>
      <c r="B94" s="77" t="s">
        <v>927</v>
      </c>
      <c r="C94" s="77">
        <v>0</v>
      </c>
      <c r="D94" s="77">
        <v>1500000</v>
      </c>
      <c r="E94" s="77">
        <v>0</v>
      </c>
      <c r="F94" s="77">
        <v>1500000</v>
      </c>
      <c r="G94" s="77">
        <v>1500000</v>
      </c>
      <c r="H94" s="77">
        <v>0</v>
      </c>
      <c r="I94" s="77">
        <v>1500000</v>
      </c>
      <c r="J94" s="77">
        <v>0</v>
      </c>
    </row>
    <row r="95" spans="1:10" x14ac:dyDescent="0.3">
      <c r="A95" s="77" t="s">
        <v>1105</v>
      </c>
      <c r="B95" s="77" t="s">
        <v>739</v>
      </c>
      <c r="C95" s="77">
        <v>1039215</v>
      </c>
      <c r="D95" s="77">
        <v>1118403</v>
      </c>
      <c r="E95" s="77">
        <v>0</v>
      </c>
      <c r="F95" s="77">
        <v>1118403</v>
      </c>
      <c r="G95" s="77">
        <v>0</v>
      </c>
      <c r="H95" s="77">
        <v>0</v>
      </c>
      <c r="I95" s="77">
        <v>0</v>
      </c>
      <c r="J95" s="77">
        <v>2157618</v>
      </c>
    </row>
    <row r="96" spans="1:10" x14ac:dyDescent="0.3">
      <c r="A96" s="77" t="s">
        <v>772</v>
      </c>
      <c r="B96" s="77" t="s">
        <v>730</v>
      </c>
      <c r="C96" s="77">
        <v>1118403</v>
      </c>
      <c r="D96" s="77">
        <v>0</v>
      </c>
      <c r="E96" s="77">
        <v>0</v>
      </c>
      <c r="F96" s="77">
        <v>0</v>
      </c>
      <c r="G96" s="77">
        <v>1118403</v>
      </c>
      <c r="H96" s="77">
        <v>0</v>
      </c>
      <c r="I96" s="77">
        <v>1118403</v>
      </c>
      <c r="J96" s="77">
        <v>0</v>
      </c>
    </row>
    <row r="97" spans="1:10" x14ac:dyDescent="0.3">
      <c r="A97" s="77" t="s">
        <v>1330</v>
      </c>
      <c r="B97" s="77" t="s">
        <v>410</v>
      </c>
      <c r="C97" s="77">
        <v>-4375556</v>
      </c>
      <c r="D97" s="77">
        <v>1446241</v>
      </c>
      <c r="E97" s="77">
        <v>0</v>
      </c>
      <c r="F97" s="77">
        <v>1446241</v>
      </c>
      <c r="G97" s="77">
        <v>1420685</v>
      </c>
      <c r="H97" s="77">
        <v>0</v>
      </c>
      <c r="I97" s="77">
        <v>1420685</v>
      </c>
      <c r="J97" s="77">
        <v>-4350000</v>
      </c>
    </row>
    <row r="98" spans="1:10" x14ac:dyDescent="0.3">
      <c r="A98" s="77" t="s">
        <v>434</v>
      </c>
      <c r="B98" s="77" t="s">
        <v>1115</v>
      </c>
      <c r="C98" s="77">
        <v>0</v>
      </c>
      <c r="D98" s="77">
        <v>1022098</v>
      </c>
      <c r="E98" s="77">
        <v>0</v>
      </c>
      <c r="F98" s="77">
        <v>1022098</v>
      </c>
      <c r="G98" s="77">
        <v>2022098</v>
      </c>
      <c r="H98" s="77">
        <v>-1000000</v>
      </c>
      <c r="I98" s="77">
        <v>1022098</v>
      </c>
      <c r="J98" s="77">
        <v>0</v>
      </c>
    </row>
    <row r="99" spans="1:10" x14ac:dyDescent="0.3">
      <c r="A99" s="77" t="s">
        <v>112</v>
      </c>
      <c r="B99" s="77" t="s">
        <v>452</v>
      </c>
      <c r="C99" s="77">
        <v>0</v>
      </c>
      <c r="D99" s="77">
        <v>0</v>
      </c>
      <c r="E99" s="77">
        <v>0</v>
      </c>
      <c r="F99" s="77">
        <v>0</v>
      </c>
      <c r="G99" s="77">
        <v>3300</v>
      </c>
      <c r="H99" s="77">
        <v>-3300</v>
      </c>
      <c r="I99" s="77">
        <v>0</v>
      </c>
      <c r="J99" s="77">
        <v>0</v>
      </c>
    </row>
    <row r="100" spans="1:10" x14ac:dyDescent="0.3">
      <c r="A100" s="77" t="s">
        <v>880</v>
      </c>
      <c r="B100" s="77" t="s">
        <v>1261</v>
      </c>
      <c r="C100" s="77">
        <v>0</v>
      </c>
      <c r="D100" s="77">
        <v>8811</v>
      </c>
      <c r="E100" s="77">
        <v>0</v>
      </c>
      <c r="F100" s="77">
        <v>8811</v>
      </c>
      <c r="G100" s="77">
        <v>8811</v>
      </c>
      <c r="H100" s="77">
        <v>0</v>
      </c>
      <c r="I100" s="77">
        <v>8811</v>
      </c>
      <c r="J100" s="77">
        <v>0</v>
      </c>
    </row>
    <row r="101" spans="1:10" x14ac:dyDescent="0.3">
      <c r="A101" s="77" t="s">
        <v>696</v>
      </c>
      <c r="B101" s="77" t="s">
        <v>428</v>
      </c>
      <c r="C101" s="77">
        <v>-2285</v>
      </c>
      <c r="D101" s="77">
        <v>2285</v>
      </c>
      <c r="E101" s="77">
        <v>0</v>
      </c>
      <c r="F101" s="77">
        <v>2285</v>
      </c>
      <c r="G101" s="77">
        <v>0</v>
      </c>
      <c r="H101" s="77">
        <v>0</v>
      </c>
      <c r="I101" s="77">
        <v>0</v>
      </c>
      <c r="J101" s="77">
        <v>0</v>
      </c>
    </row>
    <row r="102" spans="1:10" x14ac:dyDescent="0.3">
      <c r="A102" s="77" t="s">
        <v>353</v>
      </c>
      <c r="B102" s="77" t="s">
        <v>1232</v>
      </c>
      <c r="C102" s="77">
        <v>0</v>
      </c>
      <c r="D102" s="77">
        <v>2762</v>
      </c>
      <c r="E102" s="77">
        <v>0</v>
      </c>
      <c r="F102" s="77">
        <v>2762</v>
      </c>
      <c r="G102" s="77">
        <v>2762</v>
      </c>
      <c r="H102" s="77">
        <v>0</v>
      </c>
      <c r="I102" s="77">
        <v>2762</v>
      </c>
      <c r="J102" s="77">
        <v>0</v>
      </c>
    </row>
    <row r="103" spans="1:10" x14ac:dyDescent="0.3">
      <c r="A103" s="77" t="s">
        <v>237</v>
      </c>
      <c r="B103" s="77" t="s">
        <v>509</v>
      </c>
      <c r="C103" s="77">
        <v>-2840</v>
      </c>
      <c r="D103" s="77">
        <v>2840</v>
      </c>
      <c r="E103" s="77">
        <v>0</v>
      </c>
      <c r="F103" s="77">
        <v>2840</v>
      </c>
      <c r="G103" s="77">
        <v>0</v>
      </c>
      <c r="H103" s="77">
        <v>0</v>
      </c>
      <c r="I103" s="77">
        <v>0</v>
      </c>
      <c r="J103" s="77">
        <v>0</v>
      </c>
    </row>
    <row r="104" spans="1:10" x14ac:dyDescent="0.3">
      <c r="A104" s="77" t="s">
        <v>564</v>
      </c>
      <c r="B104" s="77" t="s">
        <v>754</v>
      </c>
      <c r="C104" s="77">
        <v>0</v>
      </c>
      <c r="D104" s="77">
        <v>3475</v>
      </c>
      <c r="E104" s="77">
        <v>0</v>
      </c>
      <c r="F104" s="77">
        <v>3475</v>
      </c>
      <c r="G104" s="77">
        <v>3475</v>
      </c>
      <c r="H104" s="77">
        <v>0</v>
      </c>
      <c r="I104" s="77">
        <v>3475</v>
      </c>
      <c r="J104" s="77">
        <v>0</v>
      </c>
    </row>
    <row r="105" spans="1:10" x14ac:dyDescent="0.3">
      <c r="A105" s="77" t="s">
        <v>91</v>
      </c>
      <c r="B105" s="77" t="s">
        <v>992</v>
      </c>
      <c r="C105" s="77">
        <v>0</v>
      </c>
      <c r="D105" s="77">
        <v>659</v>
      </c>
      <c r="E105" s="77">
        <v>0</v>
      </c>
      <c r="F105" s="77">
        <v>659</v>
      </c>
      <c r="G105" s="77">
        <v>2966</v>
      </c>
      <c r="H105" s="77">
        <v>0</v>
      </c>
      <c r="I105" s="77">
        <v>2966</v>
      </c>
      <c r="J105" s="77">
        <v>-2307</v>
      </c>
    </row>
    <row r="106" spans="1:10" x14ac:dyDescent="0.3">
      <c r="A106" s="77" t="s">
        <v>851</v>
      </c>
      <c r="B106" s="77" t="s">
        <v>1211</v>
      </c>
      <c r="C106" s="77">
        <v>0</v>
      </c>
      <c r="D106" s="77">
        <v>0</v>
      </c>
      <c r="E106" s="77">
        <v>0</v>
      </c>
      <c r="F106" s="77">
        <v>0</v>
      </c>
      <c r="G106" s="77">
        <v>37887</v>
      </c>
      <c r="H106" s="77">
        <v>-37887</v>
      </c>
      <c r="I106" s="77">
        <v>0</v>
      </c>
      <c r="J106" s="77">
        <v>0</v>
      </c>
    </row>
    <row r="107" spans="1:10" x14ac:dyDescent="0.3">
      <c r="A107" s="77" t="s">
        <v>1304</v>
      </c>
      <c r="B107" s="77" t="s">
        <v>718</v>
      </c>
      <c r="C107" s="77">
        <v>0</v>
      </c>
      <c r="D107" s="77">
        <v>12562458</v>
      </c>
      <c r="E107" s="77">
        <v>-769126</v>
      </c>
      <c r="F107" s="77">
        <v>11793332</v>
      </c>
      <c r="G107" s="77">
        <v>0</v>
      </c>
      <c r="H107" s="77">
        <v>0</v>
      </c>
      <c r="I107" s="77">
        <v>0</v>
      </c>
      <c r="J107" s="77">
        <v>11793332</v>
      </c>
    </row>
    <row r="108" spans="1:10" x14ac:dyDescent="0.3">
      <c r="A108" s="77" t="s">
        <v>988</v>
      </c>
      <c r="B108" s="77" t="s">
        <v>515</v>
      </c>
      <c r="C108" s="77">
        <v>0</v>
      </c>
      <c r="D108" s="77">
        <v>1112327</v>
      </c>
      <c r="E108" s="77">
        <v>-170785</v>
      </c>
      <c r="F108" s="77">
        <v>941542</v>
      </c>
      <c r="G108" s="77">
        <v>0</v>
      </c>
      <c r="H108" s="77">
        <v>0</v>
      </c>
      <c r="I108" s="77">
        <v>0</v>
      </c>
      <c r="J108" s="77">
        <v>941542</v>
      </c>
    </row>
    <row r="109" spans="1:10" x14ac:dyDescent="0.3">
      <c r="A109" s="77" t="s">
        <v>665</v>
      </c>
      <c r="B109" s="77" t="s">
        <v>904</v>
      </c>
      <c r="C109" s="77">
        <v>0</v>
      </c>
      <c r="D109" s="77">
        <v>176512</v>
      </c>
      <c r="E109" s="77">
        <v>-39</v>
      </c>
      <c r="F109" s="77">
        <v>176473</v>
      </c>
      <c r="G109" s="77">
        <v>0</v>
      </c>
      <c r="H109" s="77">
        <v>0</v>
      </c>
      <c r="I109" s="77">
        <v>0</v>
      </c>
      <c r="J109" s="77">
        <v>176473</v>
      </c>
    </row>
    <row r="110" spans="1:10" x14ac:dyDescent="0.3">
      <c r="A110" s="77" t="s">
        <v>331</v>
      </c>
      <c r="B110" s="77" t="s">
        <v>622</v>
      </c>
      <c r="C110" s="77">
        <v>0</v>
      </c>
      <c r="D110" s="77">
        <v>9422</v>
      </c>
      <c r="E110" s="77">
        <v>0</v>
      </c>
      <c r="F110" s="77">
        <v>9422</v>
      </c>
      <c r="G110" s="77">
        <v>2199</v>
      </c>
      <c r="H110" s="77">
        <v>0</v>
      </c>
      <c r="I110" s="77">
        <v>2199</v>
      </c>
      <c r="J110" s="77">
        <v>7223</v>
      </c>
    </row>
    <row r="111" spans="1:10" x14ac:dyDescent="0.3">
      <c r="A111" s="77" t="s">
        <v>1324</v>
      </c>
      <c r="B111" s="77" t="s">
        <v>289</v>
      </c>
      <c r="C111" s="77">
        <v>0</v>
      </c>
      <c r="D111" s="77">
        <v>88751</v>
      </c>
      <c r="E111" s="77">
        <v>-554</v>
      </c>
      <c r="F111" s="77">
        <v>88197</v>
      </c>
      <c r="G111" s="77">
        <v>0</v>
      </c>
      <c r="H111" s="77">
        <v>0</v>
      </c>
      <c r="I111" s="77">
        <v>0</v>
      </c>
      <c r="J111" s="77">
        <v>88197</v>
      </c>
    </row>
    <row r="112" spans="1:10" x14ac:dyDescent="0.3">
      <c r="A112" s="77" t="s">
        <v>1004</v>
      </c>
      <c r="B112" s="77" t="s">
        <v>831</v>
      </c>
      <c r="C112" s="77">
        <v>0</v>
      </c>
      <c r="D112" s="77">
        <v>205843</v>
      </c>
      <c r="E112" s="77">
        <v>-180</v>
      </c>
      <c r="F112" s="77">
        <v>205663</v>
      </c>
      <c r="G112" s="77">
        <v>112975</v>
      </c>
      <c r="H112" s="77">
        <v>0</v>
      </c>
      <c r="I112" s="77">
        <v>112975</v>
      </c>
      <c r="J112" s="77">
        <v>92688</v>
      </c>
    </row>
    <row r="113" spans="1:10" x14ac:dyDescent="0.3">
      <c r="A113" s="77" t="s">
        <v>689</v>
      </c>
      <c r="B113" s="77" t="s">
        <v>816</v>
      </c>
      <c r="C113" s="77">
        <v>0</v>
      </c>
      <c r="D113" s="77">
        <v>6577</v>
      </c>
      <c r="E113" s="77">
        <v>-16</v>
      </c>
      <c r="F113" s="77">
        <v>6561</v>
      </c>
      <c r="G113" s="77">
        <v>0</v>
      </c>
      <c r="H113" s="77">
        <v>0</v>
      </c>
      <c r="I113" s="77">
        <v>0</v>
      </c>
      <c r="J113" s="77">
        <v>6561</v>
      </c>
    </row>
    <row r="114" spans="1:10" x14ac:dyDescent="0.3">
      <c r="A114" s="77" t="s">
        <v>361</v>
      </c>
      <c r="B114" s="77" t="s">
        <v>330</v>
      </c>
      <c r="C114" s="77">
        <v>0</v>
      </c>
      <c r="D114" s="77">
        <v>46878</v>
      </c>
      <c r="E114" s="77">
        <v>0</v>
      </c>
      <c r="F114" s="77">
        <v>46878</v>
      </c>
      <c r="G114" s="77">
        <v>0</v>
      </c>
      <c r="H114" s="77">
        <v>0</v>
      </c>
      <c r="I114" s="77">
        <v>0</v>
      </c>
      <c r="J114" s="77">
        <v>46878</v>
      </c>
    </row>
    <row r="115" spans="1:10" x14ac:dyDescent="0.3">
      <c r="A115" s="77" t="s">
        <v>873</v>
      </c>
      <c r="B115" s="77" t="s">
        <v>767</v>
      </c>
      <c r="C115" s="77">
        <v>0</v>
      </c>
      <c r="D115" s="77">
        <v>19648</v>
      </c>
      <c r="E115" s="77">
        <v>0</v>
      </c>
      <c r="F115" s="77">
        <v>19648</v>
      </c>
      <c r="G115" s="77">
        <v>0</v>
      </c>
      <c r="H115" s="77">
        <v>0</v>
      </c>
      <c r="I115" s="77">
        <v>0</v>
      </c>
      <c r="J115" s="77">
        <v>19648</v>
      </c>
    </row>
    <row r="116" spans="1:10" x14ac:dyDescent="0.3">
      <c r="A116" s="77" t="s">
        <v>1190</v>
      </c>
      <c r="B116" s="77" t="s">
        <v>436</v>
      </c>
      <c r="C116" s="77">
        <v>0</v>
      </c>
      <c r="D116" s="77">
        <v>466</v>
      </c>
      <c r="E116" s="77">
        <v>0</v>
      </c>
      <c r="F116" s="77">
        <v>466</v>
      </c>
      <c r="G116" s="77">
        <v>0</v>
      </c>
      <c r="H116" s="77">
        <v>0</v>
      </c>
      <c r="I116" s="77">
        <v>0</v>
      </c>
      <c r="J116" s="77">
        <v>466</v>
      </c>
    </row>
    <row r="117" spans="1:10" x14ac:dyDescent="0.3">
      <c r="A117" s="77" t="s">
        <v>818</v>
      </c>
      <c r="B117" s="77" t="s">
        <v>1288</v>
      </c>
      <c r="C117" s="77">
        <v>0</v>
      </c>
      <c r="D117" s="77">
        <v>75464</v>
      </c>
      <c r="E117" s="77">
        <v>0</v>
      </c>
      <c r="F117" s="77">
        <v>75464</v>
      </c>
      <c r="G117" s="77">
        <v>0</v>
      </c>
      <c r="H117" s="77">
        <v>0</v>
      </c>
      <c r="I117" s="77">
        <v>0</v>
      </c>
      <c r="J117" s="77">
        <v>75464</v>
      </c>
    </row>
    <row r="118" spans="1:10" x14ac:dyDescent="0.3">
      <c r="A118" s="77" t="s">
        <v>103</v>
      </c>
      <c r="B118" s="77" t="s">
        <v>1053</v>
      </c>
      <c r="C118" s="77">
        <v>0</v>
      </c>
      <c r="D118" s="77">
        <v>1418</v>
      </c>
      <c r="E118" s="77">
        <v>0</v>
      </c>
      <c r="F118" s="77">
        <v>1418</v>
      </c>
      <c r="G118" s="77">
        <v>0</v>
      </c>
      <c r="H118" s="77">
        <v>0</v>
      </c>
      <c r="I118" s="77">
        <v>0</v>
      </c>
      <c r="J118" s="77">
        <v>1418</v>
      </c>
    </row>
    <row r="119" spans="1:10" x14ac:dyDescent="0.3">
      <c r="A119" s="77" t="s">
        <v>461</v>
      </c>
      <c r="B119" s="77" t="s">
        <v>299</v>
      </c>
      <c r="C119" s="77">
        <v>0</v>
      </c>
      <c r="D119" s="77">
        <v>520</v>
      </c>
      <c r="E119" s="77">
        <v>0</v>
      </c>
      <c r="F119" s="77">
        <v>520</v>
      </c>
      <c r="G119" s="77">
        <v>0</v>
      </c>
      <c r="H119" s="77">
        <v>0</v>
      </c>
      <c r="I119" s="77">
        <v>0</v>
      </c>
      <c r="J119" s="77">
        <v>520</v>
      </c>
    </row>
    <row r="120" spans="1:10" x14ac:dyDescent="0.3">
      <c r="A120" s="77" t="s">
        <v>498</v>
      </c>
      <c r="B120" s="77" t="s">
        <v>819</v>
      </c>
      <c r="C120" s="77">
        <v>0</v>
      </c>
      <c r="D120" s="77">
        <v>501</v>
      </c>
      <c r="E120" s="77">
        <v>0</v>
      </c>
      <c r="F120" s="77">
        <v>501</v>
      </c>
      <c r="G120" s="77">
        <v>0</v>
      </c>
      <c r="H120" s="77">
        <v>0</v>
      </c>
      <c r="I120" s="77">
        <v>0</v>
      </c>
      <c r="J120" s="77">
        <v>501</v>
      </c>
    </row>
    <row r="121" spans="1:10" x14ac:dyDescent="0.3">
      <c r="A121" s="77" t="s">
        <v>225</v>
      </c>
      <c r="B121" s="77" t="s">
        <v>342</v>
      </c>
      <c r="C121" s="77">
        <v>0</v>
      </c>
      <c r="D121" s="77">
        <v>1268</v>
      </c>
      <c r="E121" s="77">
        <v>0</v>
      </c>
      <c r="F121" s="77">
        <v>1268</v>
      </c>
      <c r="G121" s="77">
        <v>0</v>
      </c>
      <c r="H121" s="77">
        <v>0</v>
      </c>
      <c r="I121" s="77">
        <v>0</v>
      </c>
      <c r="J121" s="77">
        <v>1268</v>
      </c>
    </row>
    <row r="122" spans="1:10" x14ac:dyDescent="0.3">
      <c r="A122" s="77" t="s">
        <v>554</v>
      </c>
      <c r="B122" s="77" t="s">
        <v>715</v>
      </c>
      <c r="C122" s="77">
        <v>0</v>
      </c>
      <c r="D122" s="77">
        <v>255</v>
      </c>
      <c r="E122" s="77">
        <v>0</v>
      </c>
      <c r="F122" s="77">
        <v>255</v>
      </c>
      <c r="G122" s="77">
        <v>0</v>
      </c>
      <c r="H122" s="77">
        <v>0</v>
      </c>
      <c r="I122" s="77">
        <v>0</v>
      </c>
      <c r="J122" s="77">
        <v>255</v>
      </c>
    </row>
    <row r="123" spans="1:10" x14ac:dyDescent="0.3">
      <c r="A123" s="77" t="s">
        <v>592</v>
      </c>
      <c r="B123" s="77" t="s">
        <v>457</v>
      </c>
      <c r="C123" s="77">
        <v>0</v>
      </c>
      <c r="D123" s="77">
        <v>441</v>
      </c>
      <c r="E123" s="77">
        <v>0</v>
      </c>
      <c r="F123" s="77">
        <v>441</v>
      </c>
      <c r="G123" s="77">
        <v>0</v>
      </c>
      <c r="H123" s="77">
        <v>0</v>
      </c>
      <c r="I123" s="77">
        <v>0</v>
      </c>
      <c r="J123" s="77">
        <v>441</v>
      </c>
    </row>
    <row r="124" spans="1:10" x14ac:dyDescent="0.3">
      <c r="A124" s="77" t="s">
        <v>683</v>
      </c>
      <c r="B124" s="77" t="s">
        <v>993</v>
      </c>
      <c r="C124" s="77">
        <v>0</v>
      </c>
      <c r="D124" s="77">
        <v>1444</v>
      </c>
      <c r="E124" s="77">
        <v>0</v>
      </c>
      <c r="F124" s="77">
        <v>1444</v>
      </c>
      <c r="G124" s="77">
        <v>0</v>
      </c>
      <c r="H124" s="77">
        <v>0</v>
      </c>
      <c r="I124" s="77">
        <v>0</v>
      </c>
      <c r="J124" s="77">
        <v>1444</v>
      </c>
    </row>
    <row r="125" spans="1:10" x14ac:dyDescent="0.3">
      <c r="A125" s="77" t="s">
        <v>339</v>
      </c>
      <c r="B125" s="77" t="s">
        <v>586</v>
      </c>
      <c r="C125" s="77">
        <v>0</v>
      </c>
      <c r="D125" s="77">
        <v>315</v>
      </c>
      <c r="E125" s="77">
        <v>0</v>
      </c>
      <c r="F125" s="77">
        <v>315</v>
      </c>
      <c r="G125" s="77">
        <v>0</v>
      </c>
      <c r="H125" s="77">
        <v>0</v>
      </c>
      <c r="I125" s="77">
        <v>0</v>
      </c>
      <c r="J125" s="77">
        <v>315</v>
      </c>
    </row>
    <row r="126" spans="1:10" x14ac:dyDescent="0.3">
      <c r="A126" s="77" t="s">
        <v>298</v>
      </c>
      <c r="B126" s="77" t="s">
        <v>349</v>
      </c>
      <c r="C126" s="77">
        <v>0</v>
      </c>
      <c r="D126" s="77">
        <v>517</v>
      </c>
      <c r="E126" s="77">
        <v>0</v>
      </c>
      <c r="F126" s="77">
        <v>517</v>
      </c>
      <c r="G126" s="77">
        <v>0</v>
      </c>
      <c r="H126" s="77">
        <v>0</v>
      </c>
      <c r="I126" s="77">
        <v>0</v>
      </c>
      <c r="J126" s="77">
        <v>517</v>
      </c>
    </row>
    <row r="127" spans="1:10" x14ac:dyDescent="0.3">
      <c r="A127" s="77" t="s">
        <v>417</v>
      </c>
      <c r="B127" s="77" t="s">
        <v>771</v>
      </c>
      <c r="C127" s="77">
        <v>0</v>
      </c>
      <c r="D127" s="77">
        <v>17</v>
      </c>
      <c r="E127" s="77">
        <v>0</v>
      </c>
      <c r="F127" s="77">
        <v>17</v>
      </c>
      <c r="G127" s="77">
        <v>0</v>
      </c>
      <c r="H127" s="77">
        <v>0</v>
      </c>
      <c r="I127" s="77">
        <v>0</v>
      </c>
      <c r="J127" s="77">
        <v>17</v>
      </c>
    </row>
    <row r="128" spans="1:10" x14ac:dyDescent="0.3">
      <c r="A128" s="77" t="s">
        <v>366</v>
      </c>
      <c r="B128" s="77" t="s">
        <v>325</v>
      </c>
      <c r="C128" s="77">
        <v>0</v>
      </c>
      <c r="D128" s="77">
        <v>164</v>
      </c>
      <c r="E128" s="77">
        <v>0</v>
      </c>
      <c r="F128" s="77">
        <v>164</v>
      </c>
      <c r="G128" s="77">
        <v>0</v>
      </c>
      <c r="H128" s="77">
        <v>0</v>
      </c>
      <c r="I128" s="77">
        <v>0</v>
      </c>
      <c r="J128" s="77">
        <v>164</v>
      </c>
    </row>
    <row r="129" spans="1:10" x14ac:dyDescent="0.3">
      <c r="A129" s="77" t="s">
        <v>126</v>
      </c>
      <c r="B129" s="77" t="s">
        <v>279</v>
      </c>
      <c r="C129" s="77">
        <v>0</v>
      </c>
      <c r="D129" s="77">
        <v>177059</v>
      </c>
      <c r="E129" s="77">
        <v>-316</v>
      </c>
      <c r="F129" s="77">
        <v>176743</v>
      </c>
      <c r="G129" s="77">
        <v>0</v>
      </c>
      <c r="H129" s="77">
        <v>0</v>
      </c>
      <c r="I129" s="77">
        <v>0</v>
      </c>
      <c r="J129" s="77">
        <v>176743</v>
      </c>
    </row>
    <row r="130" spans="1:10" x14ac:dyDescent="0.3">
      <c r="A130" s="77" t="s">
        <v>443</v>
      </c>
      <c r="B130" s="77" t="s">
        <v>753</v>
      </c>
      <c r="C130" s="77">
        <v>0</v>
      </c>
      <c r="D130" s="77">
        <v>572</v>
      </c>
      <c r="E130" s="77">
        <v>0</v>
      </c>
      <c r="F130" s="77">
        <v>572</v>
      </c>
      <c r="G130" s="77">
        <v>0</v>
      </c>
      <c r="H130" s="77">
        <v>0</v>
      </c>
      <c r="I130" s="77">
        <v>0</v>
      </c>
      <c r="J130" s="77">
        <v>572</v>
      </c>
    </row>
    <row r="131" spans="1:10" x14ac:dyDescent="0.3">
      <c r="A131" s="77" t="s">
        <v>655</v>
      </c>
      <c r="B131" s="77" t="s">
        <v>264</v>
      </c>
      <c r="C131" s="77">
        <v>0</v>
      </c>
      <c r="D131" s="77">
        <v>10165</v>
      </c>
      <c r="E131" s="77">
        <v>0</v>
      </c>
      <c r="F131" s="77">
        <v>10165</v>
      </c>
      <c r="G131" s="77">
        <v>0</v>
      </c>
      <c r="H131" s="77">
        <v>0</v>
      </c>
      <c r="I131" s="77">
        <v>0</v>
      </c>
      <c r="J131" s="77">
        <v>10165</v>
      </c>
    </row>
    <row r="132" spans="1:10" x14ac:dyDescent="0.3">
      <c r="A132" s="77" t="s">
        <v>936</v>
      </c>
      <c r="B132" s="77" t="s">
        <v>1088</v>
      </c>
      <c r="C132" s="77">
        <v>0</v>
      </c>
      <c r="D132" s="77">
        <v>4376</v>
      </c>
      <c r="E132" s="77">
        <v>0</v>
      </c>
      <c r="F132" s="77">
        <v>4376</v>
      </c>
      <c r="G132" s="77">
        <v>0</v>
      </c>
      <c r="H132" s="77">
        <v>0</v>
      </c>
      <c r="I132" s="77">
        <v>0</v>
      </c>
      <c r="J132" s="77">
        <v>4376</v>
      </c>
    </row>
    <row r="133" spans="1:10" x14ac:dyDescent="0.3">
      <c r="A133" s="77" t="s">
        <v>940</v>
      </c>
      <c r="B133" s="77" t="s">
        <v>932</v>
      </c>
      <c r="C133" s="77">
        <v>0</v>
      </c>
      <c r="D133" s="77">
        <v>10384</v>
      </c>
      <c r="E133" s="77">
        <v>0</v>
      </c>
      <c r="F133" s="77">
        <v>10384</v>
      </c>
      <c r="G133" s="77">
        <v>0</v>
      </c>
      <c r="H133" s="77">
        <v>0</v>
      </c>
      <c r="I133" s="77">
        <v>0</v>
      </c>
      <c r="J133" s="77">
        <v>10384</v>
      </c>
    </row>
    <row r="134" spans="1:10" x14ac:dyDescent="0.3">
      <c r="A134" s="77" t="s">
        <v>406</v>
      </c>
      <c r="B134" s="77" t="s">
        <v>7</v>
      </c>
      <c r="C134" s="77">
        <v>0</v>
      </c>
      <c r="D134" s="77">
        <v>35023</v>
      </c>
      <c r="E134" s="77">
        <v>0</v>
      </c>
      <c r="F134" s="77">
        <v>35023</v>
      </c>
      <c r="G134" s="77">
        <v>0</v>
      </c>
      <c r="H134" s="77">
        <v>0</v>
      </c>
      <c r="I134" s="77">
        <v>0</v>
      </c>
      <c r="J134" s="77">
        <v>35023</v>
      </c>
    </row>
    <row r="135" spans="1:10" x14ac:dyDescent="0.3">
      <c r="A135" s="77" t="s">
        <v>895</v>
      </c>
      <c r="B135" s="77" t="s">
        <v>664</v>
      </c>
      <c r="C135" s="77">
        <v>0</v>
      </c>
      <c r="D135" s="77">
        <v>2204</v>
      </c>
      <c r="E135" s="77">
        <v>-386</v>
      </c>
      <c r="F135" s="77">
        <v>1818</v>
      </c>
      <c r="G135" s="77">
        <v>0</v>
      </c>
      <c r="H135" s="77">
        <v>0</v>
      </c>
      <c r="I135" s="77">
        <v>0</v>
      </c>
      <c r="J135" s="77">
        <v>1818</v>
      </c>
    </row>
    <row r="136" spans="1:10" x14ac:dyDescent="0.3">
      <c r="A136" s="77" t="s">
        <v>177</v>
      </c>
      <c r="B136" s="77" t="s">
        <v>1156</v>
      </c>
      <c r="C136" s="77">
        <v>0</v>
      </c>
      <c r="D136" s="77">
        <v>926</v>
      </c>
      <c r="E136" s="77">
        <v>-73</v>
      </c>
      <c r="F136" s="77">
        <v>853</v>
      </c>
      <c r="G136" s="77">
        <v>0</v>
      </c>
      <c r="H136" s="77">
        <v>0</v>
      </c>
      <c r="I136" s="77">
        <v>0</v>
      </c>
      <c r="J136" s="77">
        <v>853</v>
      </c>
    </row>
    <row r="137" spans="1:10" x14ac:dyDescent="0.3">
      <c r="A137" s="77" t="s">
        <v>1046</v>
      </c>
      <c r="B137" s="77" t="s">
        <v>288</v>
      </c>
      <c r="C137" s="77">
        <v>0</v>
      </c>
      <c r="D137" s="77">
        <v>23881</v>
      </c>
      <c r="E137" s="77">
        <v>0</v>
      </c>
      <c r="F137" s="77">
        <v>23881</v>
      </c>
      <c r="G137" s="77">
        <v>0</v>
      </c>
      <c r="H137" s="77">
        <v>0</v>
      </c>
      <c r="I137" s="77">
        <v>0</v>
      </c>
      <c r="J137" s="77">
        <v>23881</v>
      </c>
    </row>
    <row r="138" spans="1:10" x14ac:dyDescent="0.3">
      <c r="A138" s="77" t="s">
        <v>1037</v>
      </c>
      <c r="B138" s="77" t="s">
        <v>61</v>
      </c>
      <c r="C138" s="77">
        <v>0</v>
      </c>
      <c r="D138" s="77">
        <v>1735</v>
      </c>
      <c r="E138" s="77">
        <v>0</v>
      </c>
      <c r="F138" s="77">
        <v>1735</v>
      </c>
      <c r="G138" s="77">
        <v>0</v>
      </c>
      <c r="H138" s="77">
        <v>0</v>
      </c>
      <c r="I138" s="77">
        <v>0</v>
      </c>
      <c r="J138" s="77">
        <v>1735</v>
      </c>
    </row>
    <row r="139" spans="1:10" x14ac:dyDescent="0.3">
      <c r="A139" s="77" t="s">
        <v>722</v>
      </c>
      <c r="B139" s="77" t="s">
        <v>1131</v>
      </c>
      <c r="C139" s="77">
        <v>0</v>
      </c>
      <c r="D139" s="77">
        <v>41</v>
      </c>
      <c r="E139" s="77">
        <v>0</v>
      </c>
      <c r="F139" s="77">
        <v>41</v>
      </c>
      <c r="G139" s="77">
        <v>0</v>
      </c>
      <c r="H139" s="77">
        <v>0</v>
      </c>
      <c r="I139" s="77">
        <v>0</v>
      </c>
      <c r="J139" s="77">
        <v>41</v>
      </c>
    </row>
    <row r="140" spans="1:10" x14ac:dyDescent="0.3">
      <c r="A140" s="77" t="s">
        <v>369</v>
      </c>
      <c r="B140" s="77" t="s">
        <v>540</v>
      </c>
      <c r="C140" s="77">
        <v>0</v>
      </c>
      <c r="D140" s="77">
        <v>79226</v>
      </c>
      <c r="E140" s="77">
        <v>0</v>
      </c>
      <c r="F140" s="77">
        <v>79226</v>
      </c>
      <c r="G140" s="77">
        <v>0</v>
      </c>
      <c r="H140" s="77">
        <v>0</v>
      </c>
      <c r="I140" s="77">
        <v>0</v>
      </c>
      <c r="J140" s="77">
        <v>79226</v>
      </c>
    </row>
    <row r="141" spans="1:10" x14ac:dyDescent="0.3">
      <c r="A141" s="77" t="s">
        <v>844</v>
      </c>
      <c r="B141" s="77" t="s">
        <v>792</v>
      </c>
      <c r="C141" s="77">
        <v>0</v>
      </c>
      <c r="D141" s="77">
        <v>68</v>
      </c>
      <c r="E141" s="77">
        <v>0</v>
      </c>
      <c r="F141" s="77">
        <v>68</v>
      </c>
      <c r="G141" s="77">
        <v>0</v>
      </c>
      <c r="H141" s="77">
        <v>0</v>
      </c>
      <c r="I141" s="77">
        <v>0</v>
      </c>
      <c r="J141" s="77">
        <v>68</v>
      </c>
    </row>
    <row r="142" spans="1:10" x14ac:dyDescent="0.3">
      <c r="A142" s="77" t="s">
        <v>1155</v>
      </c>
      <c r="B142" s="77" t="s">
        <v>180</v>
      </c>
      <c r="C142" s="77">
        <v>0</v>
      </c>
      <c r="D142" s="77">
        <v>579</v>
      </c>
      <c r="E142" s="77">
        <v>0</v>
      </c>
      <c r="F142" s="77">
        <v>579</v>
      </c>
      <c r="G142" s="77">
        <v>0</v>
      </c>
      <c r="H142" s="77">
        <v>0</v>
      </c>
      <c r="I142" s="77">
        <v>0</v>
      </c>
      <c r="J142" s="77">
        <v>579</v>
      </c>
    </row>
    <row r="143" spans="1:10" x14ac:dyDescent="0.3">
      <c r="A143" s="77" t="s">
        <v>145</v>
      </c>
      <c r="B143" s="77" t="s">
        <v>855</v>
      </c>
      <c r="C143" s="77">
        <v>0</v>
      </c>
      <c r="D143" s="77">
        <v>10800</v>
      </c>
      <c r="E143" s="77">
        <v>0</v>
      </c>
      <c r="F143" s="77">
        <v>10800</v>
      </c>
      <c r="G143" s="77">
        <v>0</v>
      </c>
      <c r="H143" s="77">
        <v>0</v>
      </c>
      <c r="I143" s="77">
        <v>0</v>
      </c>
      <c r="J143" s="77">
        <v>10800</v>
      </c>
    </row>
    <row r="144" spans="1:10" x14ac:dyDescent="0.3">
      <c r="A144" s="77" t="s">
        <v>921</v>
      </c>
      <c r="B144" s="77" t="s">
        <v>1003</v>
      </c>
      <c r="C144" s="77">
        <v>0</v>
      </c>
      <c r="D144" s="77">
        <v>406165</v>
      </c>
      <c r="E144" s="77">
        <v>-600</v>
      </c>
      <c r="F144" s="77">
        <v>405565</v>
      </c>
      <c r="G144" s="77">
        <v>0</v>
      </c>
      <c r="H144" s="77">
        <v>0</v>
      </c>
      <c r="I144" s="77">
        <v>0</v>
      </c>
      <c r="J144" s="77">
        <v>405565</v>
      </c>
    </row>
    <row r="145" spans="1:10" x14ac:dyDescent="0.3">
      <c r="A145" s="77" t="s">
        <v>251</v>
      </c>
      <c r="B145" s="77" t="s">
        <v>236</v>
      </c>
      <c r="C145" s="77">
        <v>0</v>
      </c>
      <c r="D145" s="77">
        <v>4724</v>
      </c>
      <c r="E145" s="77">
        <v>0</v>
      </c>
      <c r="F145" s="77">
        <v>4724</v>
      </c>
      <c r="G145" s="77">
        <v>0</v>
      </c>
      <c r="H145" s="77">
        <v>0</v>
      </c>
      <c r="I145" s="77">
        <v>0</v>
      </c>
      <c r="J145" s="77">
        <v>4724</v>
      </c>
    </row>
    <row r="146" spans="1:10" x14ac:dyDescent="0.3">
      <c r="A146" s="77" t="s">
        <v>179</v>
      </c>
      <c r="B146" s="77" t="s">
        <v>615</v>
      </c>
      <c r="C146" s="77">
        <v>0</v>
      </c>
      <c r="D146" s="77">
        <v>16707</v>
      </c>
      <c r="E146" s="77">
        <v>-46</v>
      </c>
      <c r="F146" s="77">
        <v>16661</v>
      </c>
      <c r="G146" s="77">
        <v>0</v>
      </c>
      <c r="H146" s="77">
        <v>0</v>
      </c>
      <c r="I146" s="77">
        <v>0</v>
      </c>
      <c r="J146" s="77">
        <v>16661</v>
      </c>
    </row>
    <row r="147" spans="1:10" x14ac:dyDescent="0.3">
      <c r="A147" s="77" t="s">
        <v>517</v>
      </c>
      <c r="B147" s="77" t="s">
        <v>1159</v>
      </c>
      <c r="C147" s="77">
        <v>0</v>
      </c>
      <c r="D147" s="77">
        <v>8115</v>
      </c>
      <c r="E147" s="77">
        <v>0</v>
      </c>
      <c r="F147" s="77">
        <v>8115</v>
      </c>
      <c r="G147" s="77">
        <v>0</v>
      </c>
      <c r="H147" s="77">
        <v>0</v>
      </c>
      <c r="I147" s="77">
        <v>0</v>
      </c>
      <c r="J147" s="77">
        <v>8115</v>
      </c>
    </row>
    <row r="148" spans="1:10" x14ac:dyDescent="0.3">
      <c r="A148" s="77" t="s">
        <v>402</v>
      </c>
      <c r="B148" s="77" t="s">
        <v>85</v>
      </c>
      <c r="C148" s="77">
        <v>0</v>
      </c>
      <c r="D148" s="77">
        <v>37266</v>
      </c>
      <c r="E148" s="77">
        <v>0</v>
      </c>
      <c r="F148" s="77">
        <v>37266</v>
      </c>
      <c r="G148" s="77">
        <v>0</v>
      </c>
      <c r="H148" s="77">
        <v>0</v>
      </c>
      <c r="I148" s="77">
        <v>0</v>
      </c>
      <c r="J148" s="77">
        <v>37266</v>
      </c>
    </row>
    <row r="149" spans="1:10" x14ac:dyDescent="0.3">
      <c r="A149" s="77" t="s">
        <v>31</v>
      </c>
      <c r="B149" s="77" t="s">
        <v>708</v>
      </c>
      <c r="C149" s="77">
        <v>0</v>
      </c>
      <c r="D149" s="77">
        <v>2832</v>
      </c>
      <c r="E149" s="77">
        <v>0</v>
      </c>
      <c r="F149" s="77">
        <v>2832</v>
      </c>
      <c r="G149" s="77">
        <v>0</v>
      </c>
      <c r="H149" s="77">
        <v>0</v>
      </c>
      <c r="I149" s="77">
        <v>0</v>
      </c>
      <c r="J149" s="77">
        <v>2832</v>
      </c>
    </row>
    <row r="150" spans="1:10" x14ac:dyDescent="0.3">
      <c r="A150" s="77" t="s">
        <v>1054</v>
      </c>
      <c r="B150" s="77" t="s">
        <v>897</v>
      </c>
      <c r="C150" s="77">
        <v>0</v>
      </c>
      <c r="D150" s="77">
        <v>8843</v>
      </c>
      <c r="E150" s="77">
        <v>0</v>
      </c>
      <c r="F150" s="77">
        <v>8843</v>
      </c>
      <c r="G150" s="77">
        <v>0</v>
      </c>
      <c r="H150" s="77">
        <v>0</v>
      </c>
      <c r="I150" s="77">
        <v>0</v>
      </c>
      <c r="J150" s="77">
        <v>8843</v>
      </c>
    </row>
    <row r="151" spans="1:10" x14ac:dyDescent="0.3">
      <c r="A151" s="77" t="s">
        <v>609</v>
      </c>
      <c r="B151" s="77" t="s">
        <v>1066</v>
      </c>
      <c r="C151" s="77">
        <v>0</v>
      </c>
      <c r="D151" s="77">
        <v>4936</v>
      </c>
      <c r="E151" s="77">
        <v>0</v>
      </c>
      <c r="F151" s="77">
        <v>4936</v>
      </c>
      <c r="G151" s="77">
        <v>0</v>
      </c>
      <c r="H151" s="77">
        <v>0</v>
      </c>
      <c r="I151" s="77">
        <v>0</v>
      </c>
      <c r="J151" s="77">
        <v>4936</v>
      </c>
    </row>
    <row r="152" spans="1:10" x14ac:dyDescent="0.3">
      <c r="A152" s="77" t="s">
        <v>435</v>
      </c>
      <c r="B152" s="77" t="s">
        <v>539</v>
      </c>
      <c r="C152" s="77">
        <v>0</v>
      </c>
      <c r="D152" s="77">
        <v>211159</v>
      </c>
      <c r="E152" s="77">
        <v>0</v>
      </c>
      <c r="F152" s="77">
        <v>211159</v>
      </c>
      <c r="G152" s="77">
        <v>480</v>
      </c>
      <c r="H152" s="77">
        <v>0</v>
      </c>
      <c r="I152" s="77">
        <v>480</v>
      </c>
      <c r="J152" s="77">
        <v>210679</v>
      </c>
    </row>
    <row r="153" spans="1:10" x14ac:dyDescent="0.3">
      <c r="A153" s="77" t="s">
        <v>670</v>
      </c>
      <c r="B153" s="77" t="s">
        <v>1197</v>
      </c>
      <c r="C153" s="77">
        <v>0</v>
      </c>
      <c r="D153" s="77">
        <v>70133</v>
      </c>
      <c r="E153" s="77">
        <v>0</v>
      </c>
      <c r="F153" s="77">
        <v>70133</v>
      </c>
      <c r="G153" s="77">
        <v>0</v>
      </c>
      <c r="H153" s="77">
        <v>0</v>
      </c>
      <c r="I153" s="77">
        <v>0</v>
      </c>
      <c r="J153" s="77">
        <v>70133</v>
      </c>
    </row>
    <row r="154" spans="1:10" x14ac:dyDescent="0.3">
      <c r="A154" s="77" t="s">
        <v>825</v>
      </c>
      <c r="B154" s="77" t="s">
        <v>1123</v>
      </c>
      <c r="C154" s="77">
        <v>0</v>
      </c>
      <c r="D154" s="77">
        <v>1509663</v>
      </c>
      <c r="E154" s="77">
        <v>0</v>
      </c>
      <c r="F154" s="77">
        <v>1509663</v>
      </c>
      <c r="G154" s="77">
        <v>19989</v>
      </c>
      <c r="H154" s="77">
        <v>0</v>
      </c>
      <c r="I154" s="77">
        <v>19989</v>
      </c>
      <c r="J154" s="77">
        <v>1489674</v>
      </c>
    </row>
    <row r="155" spans="1:10" x14ac:dyDescent="0.3">
      <c r="A155" s="77" t="s">
        <v>645</v>
      </c>
      <c r="B155" s="77" t="s">
        <v>15</v>
      </c>
      <c r="C155" s="77">
        <v>0</v>
      </c>
      <c r="D155" s="77">
        <v>17733</v>
      </c>
      <c r="E155" s="77">
        <v>0</v>
      </c>
      <c r="F155" s="77">
        <v>17733</v>
      </c>
      <c r="G155" s="77">
        <v>0</v>
      </c>
      <c r="H155" s="77">
        <v>0</v>
      </c>
      <c r="I155" s="77">
        <v>0</v>
      </c>
      <c r="J155" s="77">
        <v>17733</v>
      </c>
    </row>
    <row r="156" spans="1:10" x14ac:dyDescent="0.3">
      <c r="A156" s="77" t="s">
        <v>915</v>
      </c>
      <c r="B156" s="77" t="s">
        <v>624</v>
      </c>
      <c r="C156" s="77">
        <v>0</v>
      </c>
      <c r="D156" s="77">
        <v>494194</v>
      </c>
      <c r="E156" s="77">
        <v>0</v>
      </c>
      <c r="F156" s="77">
        <v>494194</v>
      </c>
      <c r="G156" s="77">
        <v>9535</v>
      </c>
      <c r="H156" s="77">
        <v>0</v>
      </c>
      <c r="I156" s="77">
        <v>9535</v>
      </c>
      <c r="J156" s="77">
        <v>484659</v>
      </c>
    </row>
    <row r="157" spans="1:10" x14ac:dyDescent="0.3">
      <c r="A157" s="77" t="s">
        <v>1093</v>
      </c>
      <c r="B157" s="77" t="s">
        <v>911</v>
      </c>
      <c r="C157" s="77">
        <v>0</v>
      </c>
      <c r="D157" s="77">
        <v>321</v>
      </c>
      <c r="E157" s="77">
        <v>0</v>
      </c>
      <c r="F157" s="77">
        <v>321</v>
      </c>
      <c r="G157" s="77">
        <v>0</v>
      </c>
      <c r="H157" s="77">
        <v>0</v>
      </c>
      <c r="I157" s="77">
        <v>0</v>
      </c>
      <c r="J157" s="77">
        <v>321</v>
      </c>
    </row>
    <row r="158" spans="1:10" x14ac:dyDescent="0.3">
      <c r="A158" s="77" t="s">
        <v>389</v>
      </c>
      <c r="B158" s="77" t="s">
        <v>1036</v>
      </c>
      <c r="C158" s="77">
        <v>0</v>
      </c>
      <c r="D158" s="77">
        <v>60076</v>
      </c>
      <c r="E158" s="77">
        <v>0</v>
      </c>
      <c r="F158" s="77">
        <v>60076</v>
      </c>
      <c r="G158" s="77">
        <v>0</v>
      </c>
      <c r="H158" s="77">
        <v>0</v>
      </c>
      <c r="I158" s="77">
        <v>0</v>
      </c>
      <c r="J158" s="77">
        <v>60076</v>
      </c>
    </row>
    <row r="159" spans="1:10" x14ac:dyDescent="0.3">
      <c r="A159" s="77" t="s">
        <v>175</v>
      </c>
      <c r="B159" s="77" t="s">
        <v>801</v>
      </c>
      <c r="C159" s="77">
        <v>0</v>
      </c>
      <c r="D159" s="77">
        <v>8097</v>
      </c>
      <c r="E159" s="77">
        <v>0</v>
      </c>
      <c r="F159" s="77">
        <v>8097</v>
      </c>
      <c r="G159" s="77">
        <v>0</v>
      </c>
      <c r="H159" s="77">
        <v>0</v>
      </c>
      <c r="I159" s="77">
        <v>0</v>
      </c>
      <c r="J159" s="77">
        <v>8097</v>
      </c>
    </row>
    <row r="160" spans="1:10" x14ac:dyDescent="0.3">
      <c r="A160" s="77" t="s">
        <v>253</v>
      </c>
      <c r="B160" s="77" t="s">
        <v>384</v>
      </c>
      <c r="C160" s="77">
        <v>0</v>
      </c>
      <c r="D160" s="77">
        <v>10555</v>
      </c>
      <c r="E160" s="77">
        <v>0</v>
      </c>
      <c r="F160" s="77">
        <v>10555</v>
      </c>
      <c r="G160" s="77">
        <v>0</v>
      </c>
      <c r="H160" s="77">
        <v>0</v>
      </c>
      <c r="I160" s="77">
        <v>0</v>
      </c>
      <c r="J160" s="77">
        <v>10555</v>
      </c>
    </row>
    <row r="161" spans="1:10" x14ac:dyDescent="0.3">
      <c r="A161" s="77" t="s">
        <v>939</v>
      </c>
      <c r="B161" s="77" t="s">
        <v>1120</v>
      </c>
      <c r="C161" s="77">
        <v>0</v>
      </c>
      <c r="D161" s="77">
        <v>51594</v>
      </c>
      <c r="E161" s="77">
        <v>-46878</v>
      </c>
      <c r="F161" s="77">
        <v>4716</v>
      </c>
      <c r="G161" s="77">
        <v>0</v>
      </c>
      <c r="H161" s="77">
        <v>0</v>
      </c>
      <c r="I161" s="77">
        <v>0</v>
      </c>
      <c r="J161" s="77">
        <v>4716</v>
      </c>
    </row>
    <row r="162" spans="1:10" x14ac:dyDescent="0.3">
      <c r="A162" s="77" t="s">
        <v>1323</v>
      </c>
      <c r="B162" s="77" t="s">
        <v>533</v>
      </c>
      <c r="C162" s="77">
        <v>0</v>
      </c>
      <c r="D162" s="77">
        <v>18056</v>
      </c>
      <c r="E162" s="77">
        <v>0</v>
      </c>
      <c r="F162" s="77">
        <v>18056</v>
      </c>
      <c r="G162" s="77">
        <v>0</v>
      </c>
      <c r="H162" s="77">
        <v>0</v>
      </c>
      <c r="I162" s="77">
        <v>0</v>
      </c>
      <c r="J162" s="77">
        <v>18056</v>
      </c>
    </row>
    <row r="163" spans="1:10" x14ac:dyDescent="0.3">
      <c r="A163" s="77" t="s">
        <v>102</v>
      </c>
      <c r="B163" s="77" t="s">
        <v>35</v>
      </c>
      <c r="C163" s="77">
        <v>0</v>
      </c>
      <c r="D163" s="77">
        <v>50710</v>
      </c>
      <c r="E163" s="77">
        <v>-5123</v>
      </c>
      <c r="F163" s="77">
        <v>45587</v>
      </c>
      <c r="G163" s="77">
        <v>2700</v>
      </c>
      <c r="H163" s="77">
        <v>0</v>
      </c>
      <c r="I163" s="77">
        <v>2700</v>
      </c>
      <c r="J163" s="77">
        <v>42887</v>
      </c>
    </row>
    <row r="164" spans="1:10" x14ac:dyDescent="0.3">
      <c r="A164" s="77" t="s">
        <v>246</v>
      </c>
      <c r="B164" s="77" t="s">
        <v>1158</v>
      </c>
      <c r="C164" s="77">
        <v>0</v>
      </c>
      <c r="D164" s="77">
        <v>366</v>
      </c>
      <c r="E164" s="77">
        <v>0</v>
      </c>
      <c r="F164" s="77">
        <v>366</v>
      </c>
      <c r="G164" s="77">
        <v>0</v>
      </c>
      <c r="H164" s="77">
        <v>0</v>
      </c>
      <c r="I164" s="77">
        <v>0</v>
      </c>
      <c r="J164" s="77">
        <v>366</v>
      </c>
    </row>
    <row r="165" spans="1:10" x14ac:dyDescent="0.3">
      <c r="A165" s="77" t="s">
        <v>1064</v>
      </c>
      <c r="B165" s="77" t="s">
        <v>552</v>
      </c>
      <c r="C165" s="77">
        <v>0</v>
      </c>
      <c r="D165" s="77">
        <v>5517</v>
      </c>
      <c r="E165" s="77">
        <v>0</v>
      </c>
      <c r="F165" s="77">
        <v>5517</v>
      </c>
      <c r="G165" s="77">
        <v>0</v>
      </c>
      <c r="H165" s="77">
        <v>0</v>
      </c>
      <c r="I165" s="77">
        <v>0</v>
      </c>
      <c r="J165" s="77">
        <v>5517</v>
      </c>
    </row>
    <row r="166" spans="1:10" x14ac:dyDescent="0.3">
      <c r="A166" s="77" t="s">
        <v>876</v>
      </c>
      <c r="B166" s="77" t="s">
        <v>636</v>
      </c>
      <c r="C166" s="77">
        <v>0</v>
      </c>
      <c r="D166" s="77">
        <v>1409</v>
      </c>
      <c r="E166" s="77">
        <v>0</v>
      </c>
      <c r="F166" s="77">
        <v>1409</v>
      </c>
      <c r="G166" s="77">
        <v>0</v>
      </c>
      <c r="H166" s="77">
        <v>0</v>
      </c>
      <c r="I166" s="77">
        <v>0</v>
      </c>
      <c r="J166" s="77">
        <v>1409</v>
      </c>
    </row>
    <row r="167" spans="1:10" x14ac:dyDescent="0.3">
      <c r="A167" s="77" t="s">
        <v>1318</v>
      </c>
      <c r="B167" s="77" t="s">
        <v>347</v>
      </c>
      <c r="C167" s="77">
        <v>0</v>
      </c>
      <c r="D167" s="77">
        <v>956</v>
      </c>
      <c r="E167" s="77">
        <v>0</v>
      </c>
      <c r="F167" s="77">
        <v>956</v>
      </c>
      <c r="G167" s="77">
        <v>0</v>
      </c>
      <c r="H167" s="77">
        <v>0</v>
      </c>
      <c r="I167" s="77">
        <v>0</v>
      </c>
      <c r="J167" s="77">
        <v>956</v>
      </c>
    </row>
    <row r="168" spans="1:10" x14ac:dyDescent="0.3">
      <c r="A168" s="77" t="s">
        <v>1132</v>
      </c>
      <c r="B168" s="77" t="s">
        <v>156</v>
      </c>
      <c r="C168" s="77">
        <v>0</v>
      </c>
      <c r="D168" s="77">
        <v>34954</v>
      </c>
      <c r="E168" s="77">
        <v>0</v>
      </c>
      <c r="F168" s="77">
        <v>34954</v>
      </c>
      <c r="G168" s="77">
        <v>0</v>
      </c>
      <c r="H168" s="77">
        <v>0</v>
      </c>
      <c r="I168" s="77">
        <v>0</v>
      </c>
      <c r="J168" s="77">
        <v>34954</v>
      </c>
    </row>
    <row r="169" spans="1:10" x14ac:dyDescent="0.3">
      <c r="A169" s="77" t="s">
        <v>959</v>
      </c>
      <c r="B169" s="77" t="s">
        <v>625</v>
      </c>
      <c r="C169" s="77">
        <v>0</v>
      </c>
      <c r="D169" s="77">
        <v>1245</v>
      </c>
      <c r="E169" s="77">
        <v>-1245</v>
      </c>
      <c r="F169" s="77">
        <v>0</v>
      </c>
      <c r="G169" s="77">
        <v>0</v>
      </c>
      <c r="H169" s="77">
        <v>0</v>
      </c>
      <c r="I169" s="77">
        <v>0</v>
      </c>
      <c r="J169" s="77">
        <v>0</v>
      </c>
    </row>
    <row r="170" spans="1:10" x14ac:dyDescent="0.3">
      <c r="A170" s="77" t="s">
        <v>1212</v>
      </c>
      <c r="B170" s="77" t="s">
        <v>1002</v>
      </c>
      <c r="C170" s="77">
        <v>0</v>
      </c>
      <c r="D170" s="77">
        <v>2380</v>
      </c>
      <c r="E170" s="77">
        <v>0</v>
      </c>
      <c r="F170" s="77">
        <v>2380</v>
      </c>
      <c r="G170" s="77">
        <v>0</v>
      </c>
      <c r="H170" s="77">
        <v>0</v>
      </c>
      <c r="I170" s="77">
        <v>0</v>
      </c>
      <c r="J170" s="77">
        <v>2380</v>
      </c>
    </row>
    <row r="171" spans="1:10" x14ac:dyDescent="0.3">
      <c r="A171" s="77" t="s">
        <v>957</v>
      </c>
      <c r="B171" s="77" t="s">
        <v>65</v>
      </c>
      <c r="C171" s="77">
        <v>0</v>
      </c>
      <c r="D171" s="77">
        <v>227</v>
      </c>
      <c r="E171" s="77">
        <v>0</v>
      </c>
      <c r="F171" s="77">
        <v>227</v>
      </c>
      <c r="G171" s="77">
        <v>0</v>
      </c>
      <c r="H171" s="77">
        <v>0</v>
      </c>
      <c r="I171" s="77">
        <v>0</v>
      </c>
      <c r="J171" s="77">
        <v>227</v>
      </c>
    </row>
    <row r="172" spans="1:10" x14ac:dyDescent="0.3">
      <c r="A172" s="77" t="s">
        <v>223</v>
      </c>
      <c r="B172" s="77" t="s">
        <v>711</v>
      </c>
      <c r="C172" s="77">
        <v>0</v>
      </c>
      <c r="D172" s="77">
        <v>55</v>
      </c>
      <c r="E172" s="77">
        <v>0</v>
      </c>
      <c r="F172" s="77">
        <v>55</v>
      </c>
      <c r="G172" s="77">
        <v>2</v>
      </c>
      <c r="H172" s="77">
        <v>0</v>
      </c>
      <c r="I172" s="77">
        <v>2</v>
      </c>
      <c r="J172" s="77">
        <v>53</v>
      </c>
    </row>
    <row r="173" spans="1:10" x14ac:dyDescent="0.3">
      <c r="A173" s="77" t="s">
        <v>1244</v>
      </c>
      <c r="B173" s="77" t="s">
        <v>84</v>
      </c>
      <c r="C173" s="77">
        <v>0</v>
      </c>
      <c r="D173" s="77">
        <v>1180</v>
      </c>
      <c r="E173" s="77">
        <v>-148</v>
      </c>
      <c r="F173" s="77">
        <v>1032</v>
      </c>
      <c r="G173" s="77">
        <v>0</v>
      </c>
      <c r="H173" s="77">
        <v>0</v>
      </c>
      <c r="I173" s="77">
        <v>0</v>
      </c>
      <c r="J173" s="77">
        <v>1032</v>
      </c>
    </row>
    <row r="174" spans="1:10" x14ac:dyDescent="0.3">
      <c r="A174" s="77" t="s">
        <v>1162</v>
      </c>
      <c r="B174" s="77" t="s">
        <v>1231</v>
      </c>
      <c r="C174" s="77">
        <v>0</v>
      </c>
      <c r="D174" s="77">
        <v>973</v>
      </c>
      <c r="E174" s="77">
        <v>-8</v>
      </c>
      <c r="F174" s="77">
        <v>965</v>
      </c>
      <c r="G174" s="77">
        <v>0</v>
      </c>
      <c r="H174" s="77">
        <v>0</v>
      </c>
      <c r="I174" s="77">
        <v>0</v>
      </c>
      <c r="J174" s="77">
        <v>965</v>
      </c>
    </row>
    <row r="175" spans="1:10" x14ac:dyDescent="0.3">
      <c r="A175" s="77" t="s">
        <v>497</v>
      </c>
      <c r="B175" s="77" t="s">
        <v>1084</v>
      </c>
      <c r="C175" s="77">
        <v>0</v>
      </c>
      <c r="D175" s="77">
        <v>1224</v>
      </c>
      <c r="E175" s="77">
        <v>0</v>
      </c>
      <c r="F175" s="77">
        <v>1224</v>
      </c>
      <c r="G175" s="77">
        <v>0</v>
      </c>
      <c r="H175" s="77">
        <v>0</v>
      </c>
      <c r="I175" s="77">
        <v>0</v>
      </c>
      <c r="J175" s="77">
        <v>1224</v>
      </c>
    </row>
    <row r="176" spans="1:10" x14ac:dyDescent="0.3">
      <c r="A176" s="77" t="s">
        <v>601</v>
      </c>
      <c r="B176" s="77" t="s">
        <v>639</v>
      </c>
      <c r="C176" s="77">
        <v>0</v>
      </c>
      <c r="D176" s="77">
        <v>20534</v>
      </c>
      <c r="E176" s="77">
        <v>-211</v>
      </c>
      <c r="F176" s="77">
        <v>20323</v>
      </c>
      <c r="G176" s="77">
        <v>0</v>
      </c>
      <c r="H176" s="77">
        <v>0</v>
      </c>
      <c r="I176" s="77">
        <v>0</v>
      </c>
      <c r="J176" s="77">
        <v>20323</v>
      </c>
    </row>
    <row r="177" spans="1:10" x14ac:dyDescent="0.3">
      <c r="A177" s="77" t="s">
        <v>312</v>
      </c>
      <c r="B177" s="77" t="s">
        <v>222</v>
      </c>
      <c r="C177" s="77">
        <v>0</v>
      </c>
      <c r="D177" s="77">
        <v>4720</v>
      </c>
      <c r="E177" s="77">
        <v>0</v>
      </c>
      <c r="F177" s="77">
        <v>4720</v>
      </c>
      <c r="G177" s="77">
        <v>1476</v>
      </c>
      <c r="H177" s="77">
        <v>0</v>
      </c>
      <c r="I177" s="77">
        <v>1476</v>
      </c>
      <c r="J177" s="77">
        <v>3244</v>
      </c>
    </row>
    <row r="178" spans="1:10" x14ac:dyDescent="0.3">
      <c r="A178" s="77" t="s">
        <v>62</v>
      </c>
      <c r="B178" s="77" t="s">
        <v>634</v>
      </c>
      <c r="C178" s="77">
        <v>0</v>
      </c>
      <c r="D178" s="77">
        <v>780</v>
      </c>
      <c r="E178" s="77">
        <v>0</v>
      </c>
      <c r="F178" s="77">
        <v>780</v>
      </c>
      <c r="G178" s="77">
        <v>0</v>
      </c>
      <c r="H178" s="77">
        <v>0</v>
      </c>
      <c r="I178" s="77">
        <v>0</v>
      </c>
      <c r="J178" s="77">
        <v>780</v>
      </c>
    </row>
    <row r="179" spans="1:10" x14ac:dyDescent="0.3">
      <c r="A179" s="77" t="s">
        <v>1134</v>
      </c>
      <c r="B179" s="77" t="s">
        <v>1329</v>
      </c>
      <c r="C179" s="77">
        <v>0</v>
      </c>
      <c r="D179" s="77">
        <v>1287876</v>
      </c>
      <c r="E179" s="77">
        <v>0</v>
      </c>
      <c r="F179" s="77">
        <v>1287876</v>
      </c>
      <c r="G179" s="77">
        <v>0</v>
      </c>
      <c r="H179" s="77">
        <v>0</v>
      </c>
      <c r="I179" s="77">
        <v>0</v>
      </c>
      <c r="J179" s="77">
        <v>1287876</v>
      </c>
    </row>
    <row r="180" spans="1:10" x14ac:dyDescent="0.3">
      <c r="A180" s="77" t="s">
        <v>745</v>
      </c>
      <c r="B180" s="77" t="s">
        <v>209</v>
      </c>
      <c r="C180" s="77">
        <v>0</v>
      </c>
      <c r="D180" s="77">
        <v>388281</v>
      </c>
      <c r="E180" s="77">
        <v>0</v>
      </c>
      <c r="F180" s="77">
        <v>388281</v>
      </c>
      <c r="G180" s="77">
        <v>0</v>
      </c>
      <c r="H180" s="77">
        <v>0</v>
      </c>
      <c r="I180" s="77">
        <v>0</v>
      </c>
      <c r="J180" s="77">
        <v>388281</v>
      </c>
    </row>
    <row r="181" spans="1:10" x14ac:dyDescent="0.3">
      <c r="A181" s="77" t="s">
        <v>977</v>
      </c>
      <c r="B181" s="77" t="s">
        <v>1207</v>
      </c>
      <c r="C181" s="77">
        <v>0</v>
      </c>
      <c r="D181" s="77">
        <v>126478</v>
      </c>
      <c r="E181" s="77">
        <v>0</v>
      </c>
      <c r="F181" s="77">
        <v>126478</v>
      </c>
      <c r="G181" s="77">
        <v>0</v>
      </c>
      <c r="H181" s="77">
        <v>0</v>
      </c>
      <c r="I181" s="77">
        <v>0</v>
      </c>
      <c r="J181" s="77">
        <v>126478</v>
      </c>
    </row>
    <row r="182" spans="1:10" x14ac:dyDescent="0.3">
      <c r="A182" s="77" t="s">
        <v>1260</v>
      </c>
      <c r="B182" s="77" t="s">
        <v>1119</v>
      </c>
      <c r="C182" s="77">
        <v>0</v>
      </c>
      <c r="D182" s="77">
        <v>132</v>
      </c>
      <c r="E182" s="77">
        <v>0</v>
      </c>
      <c r="F182" s="77">
        <v>132</v>
      </c>
      <c r="G182" s="77">
        <v>0</v>
      </c>
      <c r="H182" s="77">
        <v>0</v>
      </c>
      <c r="I182" s="77">
        <v>0</v>
      </c>
      <c r="J182" s="77">
        <v>132</v>
      </c>
    </row>
    <row r="183" spans="1:10" x14ac:dyDescent="0.3">
      <c r="A183" s="77" t="s">
        <v>1112</v>
      </c>
      <c r="B183" s="77" t="s">
        <v>1104</v>
      </c>
      <c r="C183" s="77">
        <v>0</v>
      </c>
      <c r="D183" s="77">
        <v>4</v>
      </c>
      <c r="E183" s="77">
        <v>0</v>
      </c>
      <c r="F183" s="77">
        <v>4</v>
      </c>
      <c r="G183" s="77">
        <v>0</v>
      </c>
      <c r="H183" s="77">
        <v>0</v>
      </c>
      <c r="I183" s="77">
        <v>0</v>
      </c>
      <c r="J183" s="77">
        <v>4</v>
      </c>
    </row>
    <row r="184" spans="1:10" x14ac:dyDescent="0.3">
      <c r="A184" s="77" t="s">
        <v>1109</v>
      </c>
      <c r="B184" s="77" t="s">
        <v>958</v>
      </c>
      <c r="C184" s="77">
        <v>0</v>
      </c>
      <c r="D184" s="77">
        <v>4717</v>
      </c>
      <c r="E184" s="77">
        <v>0</v>
      </c>
      <c r="F184" s="77">
        <v>4717</v>
      </c>
      <c r="G184" s="77">
        <v>0</v>
      </c>
      <c r="H184" s="77">
        <v>0</v>
      </c>
      <c r="I184" s="77">
        <v>0</v>
      </c>
      <c r="J184" s="77">
        <v>4717</v>
      </c>
    </row>
    <row r="185" spans="1:10" x14ac:dyDescent="0.3">
      <c r="A185" s="77" t="s">
        <v>760</v>
      </c>
      <c r="B185" s="77" t="s">
        <v>36</v>
      </c>
      <c r="C185" s="77">
        <v>0</v>
      </c>
      <c r="D185" s="77">
        <v>24</v>
      </c>
      <c r="E185" s="77">
        <v>0</v>
      </c>
      <c r="F185" s="77">
        <v>24</v>
      </c>
      <c r="G185" s="77">
        <v>0</v>
      </c>
      <c r="H185" s="77">
        <v>0</v>
      </c>
      <c r="I185" s="77">
        <v>0</v>
      </c>
      <c r="J185" s="77">
        <v>24</v>
      </c>
    </row>
    <row r="186" spans="1:10" x14ac:dyDescent="0.3">
      <c r="A186" s="77" t="s">
        <v>746</v>
      </c>
      <c r="B186" s="77" t="s">
        <v>324</v>
      </c>
      <c r="C186" s="77">
        <v>0</v>
      </c>
      <c r="D186" s="77">
        <v>2880</v>
      </c>
      <c r="E186" s="77">
        <v>0</v>
      </c>
      <c r="F186" s="77">
        <v>2880</v>
      </c>
      <c r="G186" s="77">
        <v>0</v>
      </c>
      <c r="H186" s="77">
        <v>0</v>
      </c>
      <c r="I186" s="77">
        <v>0</v>
      </c>
      <c r="J186" s="77">
        <v>2880</v>
      </c>
    </row>
    <row r="187" spans="1:10" x14ac:dyDescent="0.3">
      <c r="A187" s="77" t="s">
        <v>1099</v>
      </c>
      <c r="B187" s="77" t="s">
        <v>916</v>
      </c>
      <c r="C187" s="77">
        <v>0</v>
      </c>
      <c r="D187" s="77">
        <v>7</v>
      </c>
      <c r="E187" s="77">
        <v>0</v>
      </c>
      <c r="F187" s="77">
        <v>7</v>
      </c>
      <c r="G187" s="77">
        <v>0</v>
      </c>
      <c r="H187" s="77">
        <v>0</v>
      </c>
      <c r="I187" s="77">
        <v>0</v>
      </c>
      <c r="J187" s="77">
        <v>7</v>
      </c>
    </row>
    <row r="188" spans="1:10" x14ac:dyDescent="0.3">
      <c r="A188" s="77" t="s">
        <v>570</v>
      </c>
      <c r="B188" s="77" t="s">
        <v>852</v>
      </c>
      <c r="C188" s="77">
        <v>0</v>
      </c>
      <c r="D188" s="77">
        <v>37887</v>
      </c>
      <c r="E188" s="77">
        <v>-37887</v>
      </c>
      <c r="F188" s="77">
        <v>0</v>
      </c>
      <c r="G188" s="77">
        <v>0</v>
      </c>
      <c r="H188" s="77">
        <v>0</v>
      </c>
      <c r="I188" s="77">
        <v>0</v>
      </c>
      <c r="J188" s="77">
        <v>0</v>
      </c>
    </row>
    <row r="189" spans="1:10" x14ac:dyDescent="0.3">
      <c r="A189" s="77" t="s">
        <v>483</v>
      </c>
      <c r="B189" s="77" t="s">
        <v>297</v>
      </c>
      <c r="C189" s="77">
        <v>0</v>
      </c>
      <c r="D189" s="77">
        <v>0</v>
      </c>
      <c r="E189" s="77">
        <v>0</v>
      </c>
      <c r="F189" s="77">
        <v>0</v>
      </c>
      <c r="G189" s="77">
        <v>10886187</v>
      </c>
      <c r="H189" s="77">
        <v>-59</v>
      </c>
      <c r="I189" s="77">
        <v>10886128</v>
      </c>
      <c r="J189" s="77">
        <v>-10886128</v>
      </c>
    </row>
    <row r="190" spans="1:10" x14ac:dyDescent="0.3">
      <c r="A190" s="77" t="s">
        <v>80</v>
      </c>
      <c r="B190" s="77" t="s">
        <v>1133</v>
      </c>
      <c r="C190" s="77">
        <v>0</v>
      </c>
      <c r="D190" s="77">
        <v>0</v>
      </c>
      <c r="E190" s="77">
        <v>0</v>
      </c>
      <c r="F190" s="77">
        <v>0</v>
      </c>
      <c r="G190" s="77">
        <v>3732265</v>
      </c>
      <c r="H190" s="77">
        <v>0</v>
      </c>
      <c r="I190" s="77">
        <v>3732265</v>
      </c>
      <c r="J190" s="77">
        <v>-3732265</v>
      </c>
    </row>
    <row r="191" spans="1:10" x14ac:dyDescent="0.3">
      <c r="A191" s="77" t="s">
        <v>553</v>
      </c>
      <c r="B191" s="77" t="s">
        <v>812</v>
      </c>
      <c r="C191" s="77">
        <v>0</v>
      </c>
      <c r="D191" s="77">
        <v>0</v>
      </c>
      <c r="E191" s="77">
        <v>0</v>
      </c>
      <c r="F191" s="77">
        <v>0</v>
      </c>
      <c r="G191" s="77">
        <v>34690</v>
      </c>
      <c r="H191" s="77">
        <v>-34690</v>
      </c>
      <c r="I191" s="77">
        <v>0</v>
      </c>
      <c r="J191" s="77">
        <v>0</v>
      </c>
    </row>
    <row r="192" spans="1:10" x14ac:dyDescent="0.3">
      <c r="A192" s="77" t="s">
        <v>343</v>
      </c>
      <c r="B192" s="77" t="s">
        <v>368</v>
      </c>
      <c r="C192" s="77">
        <v>0</v>
      </c>
      <c r="D192" s="77">
        <v>0</v>
      </c>
      <c r="E192" s="77">
        <v>0</v>
      </c>
      <c r="F192" s="77">
        <v>0</v>
      </c>
      <c r="G192" s="77">
        <v>9307</v>
      </c>
      <c r="H192" s="77">
        <v>-9307</v>
      </c>
      <c r="I192" s="77">
        <v>0</v>
      </c>
      <c r="J192" s="77">
        <v>0</v>
      </c>
    </row>
    <row r="193" spans="1:10" x14ac:dyDescent="0.3">
      <c r="A193" s="77" t="s">
        <v>44</v>
      </c>
      <c r="B193" s="77" t="s">
        <v>496</v>
      </c>
      <c r="C193" s="77">
        <v>0</v>
      </c>
      <c r="D193" s="77">
        <v>2585689</v>
      </c>
      <c r="E193" s="77">
        <v>-120593</v>
      </c>
      <c r="F193" s="77">
        <v>2465096</v>
      </c>
      <c r="G193" s="77">
        <v>3097690</v>
      </c>
      <c r="H193" s="77">
        <v>-416295</v>
      </c>
      <c r="I193" s="77">
        <v>2681395</v>
      </c>
      <c r="J193" s="77">
        <v>-216299</v>
      </c>
    </row>
    <row r="194" spans="1:10" x14ac:dyDescent="0.3">
      <c r="A194" s="77" t="s">
        <v>591</v>
      </c>
      <c r="B194" s="77" t="s">
        <v>108</v>
      </c>
      <c r="C194" s="77">
        <v>0</v>
      </c>
      <c r="D194" s="77">
        <v>11713086</v>
      </c>
      <c r="E194" s="77">
        <v>-28639</v>
      </c>
      <c r="F194" s="77">
        <v>11684447</v>
      </c>
      <c r="G194" s="77">
        <v>12909248</v>
      </c>
      <c r="H194" s="77">
        <v>-502015</v>
      </c>
      <c r="I194" s="77">
        <v>12407233</v>
      </c>
      <c r="J194" s="77">
        <v>-722786</v>
      </c>
    </row>
    <row r="195" spans="1:10" x14ac:dyDescent="0.3">
      <c r="A195" s="77" t="s">
        <v>1322</v>
      </c>
      <c r="B195" s="77" t="s">
        <v>335</v>
      </c>
      <c r="C195" s="77">
        <v>0</v>
      </c>
      <c r="D195" s="77">
        <v>12208</v>
      </c>
      <c r="E195" s="77">
        <v>0</v>
      </c>
      <c r="F195" s="77">
        <v>12208</v>
      </c>
      <c r="G195" s="77">
        <v>0</v>
      </c>
      <c r="H195" s="77">
        <v>0</v>
      </c>
      <c r="I195" s="77">
        <v>0</v>
      </c>
      <c r="J195" s="77">
        <v>12208</v>
      </c>
    </row>
    <row r="196" spans="1:10" x14ac:dyDescent="0.3">
      <c r="A196" s="77" t="s">
        <v>654</v>
      </c>
      <c r="B196" s="77" t="s">
        <v>896</v>
      </c>
      <c r="C196" s="77">
        <v>0</v>
      </c>
      <c r="D196" s="77">
        <v>0</v>
      </c>
      <c r="E196" s="77">
        <v>0</v>
      </c>
      <c r="F196" s="77">
        <v>0</v>
      </c>
      <c r="G196" s="77">
        <v>31046</v>
      </c>
      <c r="H196" s="77">
        <v>0</v>
      </c>
      <c r="I196" s="77">
        <v>31046</v>
      </c>
      <c r="J196" s="77">
        <v>-31046</v>
      </c>
    </row>
    <row r="197" spans="1:10" x14ac:dyDescent="0.3">
      <c r="A197" s="77" t="s">
        <v>204</v>
      </c>
      <c r="B197" s="77" t="s">
        <v>1146</v>
      </c>
      <c r="C197" s="77">
        <v>0</v>
      </c>
      <c r="D197" s="77">
        <v>0</v>
      </c>
      <c r="E197" s="77">
        <v>0</v>
      </c>
      <c r="F197" s="77">
        <v>0</v>
      </c>
      <c r="G197" s="77">
        <v>7559</v>
      </c>
      <c r="H197" s="77">
        <v>0</v>
      </c>
      <c r="I197" s="77">
        <v>7559</v>
      </c>
      <c r="J197" s="77">
        <v>-7559</v>
      </c>
    </row>
    <row r="198" spans="1:10" x14ac:dyDescent="0.3">
      <c r="A198" s="77" t="s">
        <v>169</v>
      </c>
      <c r="B198" s="77" t="s">
        <v>941</v>
      </c>
      <c r="C198" s="77">
        <v>0</v>
      </c>
      <c r="D198" s="77">
        <v>112975</v>
      </c>
      <c r="E198" s="77">
        <v>0</v>
      </c>
      <c r="F198" s="77">
        <v>112975</v>
      </c>
      <c r="G198" s="77">
        <v>218644</v>
      </c>
      <c r="H198" s="77">
        <v>-23254</v>
      </c>
      <c r="I198" s="77">
        <v>195390</v>
      </c>
      <c r="J198" s="77">
        <v>-82415</v>
      </c>
    </row>
    <row r="199" spans="1:10" x14ac:dyDescent="0.3">
      <c r="A199" s="77" t="s">
        <v>755</v>
      </c>
      <c r="B199" s="77" t="s">
        <v>759</v>
      </c>
      <c r="C199" s="77">
        <v>0</v>
      </c>
      <c r="D199" s="77">
        <v>0</v>
      </c>
      <c r="E199" s="77">
        <v>0</v>
      </c>
      <c r="F199" s="77">
        <v>0</v>
      </c>
      <c r="G199" s="77">
        <v>0</v>
      </c>
      <c r="H199" s="77">
        <v>0</v>
      </c>
      <c r="I199" s="77">
        <v>0</v>
      </c>
      <c r="J199" s="77">
        <v>0</v>
      </c>
    </row>
    <row r="200" spans="1:10" x14ac:dyDescent="0.3">
      <c r="A200" s="77" t="s">
        <v>621</v>
      </c>
      <c r="B200" s="77" t="s">
        <v>1270</v>
      </c>
      <c r="C200" s="77">
        <v>0</v>
      </c>
      <c r="D200" s="77">
        <v>0</v>
      </c>
      <c r="E200" s="77">
        <v>0</v>
      </c>
      <c r="F200" s="77">
        <v>0</v>
      </c>
      <c r="G200" s="77">
        <v>295622</v>
      </c>
      <c r="H200" s="77">
        <v>-38532</v>
      </c>
      <c r="I200" s="77">
        <v>257090</v>
      </c>
      <c r="J200" s="77">
        <v>-257090</v>
      </c>
    </row>
    <row r="201" spans="1:10" x14ac:dyDescent="0.3">
      <c r="A201" s="77" t="s">
        <v>1026</v>
      </c>
      <c r="B201" s="77" t="s">
        <v>941</v>
      </c>
      <c r="C201" s="77">
        <v>0</v>
      </c>
      <c r="D201" s="77">
        <v>0</v>
      </c>
      <c r="E201" s="77">
        <v>0</v>
      </c>
      <c r="F201" s="77">
        <v>0</v>
      </c>
      <c r="G201" s="77">
        <v>11450</v>
      </c>
      <c r="H201" s="77">
        <v>0</v>
      </c>
      <c r="I201" s="77">
        <v>11450</v>
      </c>
      <c r="J201" s="77">
        <v>-11450</v>
      </c>
    </row>
    <row r="202" spans="1:10" x14ac:dyDescent="0.3">
      <c r="A202" s="77" t="s">
        <v>140</v>
      </c>
      <c r="B202" s="77" t="s">
        <v>1207</v>
      </c>
      <c r="C202" s="77">
        <v>0</v>
      </c>
      <c r="D202" s="77">
        <v>0</v>
      </c>
      <c r="E202" s="77">
        <v>0</v>
      </c>
      <c r="F202" s="77">
        <v>0</v>
      </c>
      <c r="G202" s="77">
        <v>63</v>
      </c>
      <c r="H202" s="77">
        <v>0</v>
      </c>
      <c r="I202" s="77">
        <v>63</v>
      </c>
      <c r="J202" s="77">
        <v>-63</v>
      </c>
    </row>
    <row r="203" spans="1:10" x14ac:dyDescent="0.3">
      <c r="A203" s="77" t="s">
        <v>679</v>
      </c>
      <c r="B203" s="77" t="s">
        <v>657</v>
      </c>
      <c r="C203" s="77">
        <v>0</v>
      </c>
      <c r="D203" s="77">
        <v>18</v>
      </c>
      <c r="E203" s="77">
        <v>0</v>
      </c>
      <c r="F203" s="77">
        <v>18</v>
      </c>
      <c r="G203" s="77">
        <v>0</v>
      </c>
      <c r="H203" s="77">
        <v>0</v>
      </c>
      <c r="I203" s="77">
        <v>0</v>
      </c>
      <c r="J203" s="77">
        <v>18</v>
      </c>
    </row>
    <row r="204" spans="1:10" x14ac:dyDescent="0.3">
      <c r="A204" s="77" t="s">
        <v>227</v>
      </c>
      <c r="B204" s="77" t="s">
        <v>829</v>
      </c>
      <c r="C204" s="77">
        <v>0</v>
      </c>
      <c r="D204" s="77">
        <v>0</v>
      </c>
      <c r="E204" s="77">
        <v>0</v>
      </c>
      <c r="F204" s="77">
        <v>0</v>
      </c>
      <c r="G204" s="77">
        <v>0</v>
      </c>
      <c r="H204" s="77">
        <v>0</v>
      </c>
      <c r="I204" s="77">
        <v>0</v>
      </c>
      <c r="J204" s="77">
        <v>0</v>
      </c>
    </row>
    <row r="205" spans="1:10" x14ac:dyDescent="0.3">
      <c r="A205" s="77" t="s">
        <v>1280</v>
      </c>
      <c r="B205" s="77" t="s">
        <v>213</v>
      </c>
      <c r="C205" s="77">
        <v>0</v>
      </c>
      <c r="D205" s="77">
        <v>0</v>
      </c>
      <c r="E205" s="77">
        <v>0</v>
      </c>
      <c r="F205" s="77">
        <v>0</v>
      </c>
      <c r="G205" s="77">
        <v>0</v>
      </c>
      <c r="H205" s="77">
        <v>0</v>
      </c>
      <c r="I205" s="77">
        <v>0</v>
      </c>
      <c r="J205" s="7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IV65536"/>
    </sheetView>
  </sheetViews>
  <sheetFormatPr defaultRowHeight="14.4" x14ac:dyDescent="0.3"/>
  <cols>
    <col min="1" max="1" width="6.88671875" customWidth="1"/>
    <col min="2" max="2" width="32.33203125" customWidth="1"/>
    <col min="3" max="3" width="8.44140625" customWidth="1"/>
    <col min="4" max="4" width="9.44140625" customWidth="1"/>
    <col min="5" max="5" width="9.109375" customWidth="1"/>
    <col min="6" max="6" width="10.109375" customWidth="1"/>
    <col min="7" max="7" width="11.33203125" customWidth="1"/>
  </cols>
  <sheetData>
    <row r="1" spans="1:7" x14ac:dyDescent="0.3">
      <c r="A1" t="s">
        <v>1264</v>
      </c>
      <c r="B1" t="s">
        <v>611</v>
      </c>
      <c r="C1" t="s">
        <v>723</v>
      </c>
      <c r="D1" t="s">
        <v>548</v>
      </c>
      <c r="E1" t="s">
        <v>42</v>
      </c>
      <c r="F1" t="s">
        <v>1233</v>
      </c>
      <c r="G1" t="s">
        <v>1118</v>
      </c>
    </row>
    <row r="2" spans="1:7" x14ac:dyDescent="0.3">
      <c r="A2" t="s">
        <v>475</v>
      </c>
      <c r="B2" t="s">
        <v>934</v>
      </c>
      <c r="C2">
        <v>127002</v>
      </c>
      <c r="D2">
        <v>2640</v>
      </c>
      <c r="E2">
        <v>2640</v>
      </c>
      <c r="F2">
        <v>0</v>
      </c>
      <c r="G2">
        <v>0</v>
      </c>
    </row>
    <row r="3" spans="1:7" x14ac:dyDescent="0.3">
      <c r="A3" t="s">
        <v>68</v>
      </c>
      <c r="B3" t="s">
        <v>210</v>
      </c>
      <c r="C3">
        <v>371909</v>
      </c>
      <c r="D3">
        <v>8454</v>
      </c>
      <c r="E3">
        <v>7831</v>
      </c>
      <c r="F3">
        <v>623</v>
      </c>
      <c r="G3">
        <v>0</v>
      </c>
    </row>
    <row r="4" spans="1:7" x14ac:dyDescent="0.3">
      <c r="A4" t="s">
        <v>333</v>
      </c>
      <c r="B4" t="s">
        <v>476</v>
      </c>
      <c r="C4">
        <v>0</v>
      </c>
      <c r="D4">
        <v>495515</v>
      </c>
      <c r="E4">
        <v>495515</v>
      </c>
      <c r="F4">
        <v>0</v>
      </c>
      <c r="G4">
        <v>0</v>
      </c>
    </row>
    <row r="5" spans="1:7" x14ac:dyDescent="0.3">
      <c r="A5" t="s">
        <v>1012</v>
      </c>
      <c r="B5" t="s">
        <v>128</v>
      </c>
      <c r="C5">
        <v>165</v>
      </c>
      <c r="D5">
        <v>13010</v>
      </c>
      <c r="E5">
        <v>13010</v>
      </c>
      <c r="F5">
        <v>0</v>
      </c>
      <c r="G5">
        <v>0</v>
      </c>
    </row>
    <row r="6" spans="1:7" x14ac:dyDescent="0.3">
      <c r="A6" t="s">
        <v>729</v>
      </c>
      <c r="B6" t="s">
        <v>11</v>
      </c>
      <c r="C6">
        <v>-28650</v>
      </c>
      <c r="D6">
        <v>-3553</v>
      </c>
      <c r="E6">
        <v>-3553</v>
      </c>
      <c r="F6">
        <v>0</v>
      </c>
      <c r="G6">
        <v>0</v>
      </c>
    </row>
    <row r="7" spans="1:7" x14ac:dyDescent="0.3">
      <c r="A7" t="s">
        <v>1164</v>
      </c>
      <c r="B7" t="s">
        <v>1098</v>
      </c>
      <c r="C7">
        <v>-11724</v>
      </c>
      <c r="D7">
        <v>-3427651</v>
      </c>
      <c r="E7">
        <v>-3428365</v>
      </c>
      <c r="F7">
        <v>714</v>
      </c>
      <c r="G7">
        <v>0</v>
      </c>
    </row>
    <row r="8" spans="1:7" x14ac:dyDescent="0.3">
      <c r="A8" t="s">
        <v>1240</v>
      </c>
      <c r="B8" t="s">
        <v>1196</v>
      </c>
      <c r="C8">
        <v>0</v>
      </c>
      <c r="D8">
        <v>-1243871</v>
      </c>
      <c r="E8">
        <v>-720616</v>
      </c>
      <c r="F8">
        <v>-523254</v>
      </c>
      <c r="G8">
        <v>0</v>
      </c>
    </row>
    <row r="9" spans="1:7" x14ac:dyDescent="0.3">
      <c r="A9" t="s">
        <v>595</v>
      </c>
      <c r="B9" t="s">
        <v>373</v>
      </c>
      <c r="C9">
        <v>-441625</v>
      </c>
      <c r="D9">
        <v>-558087</v>
      </c>
      <c r="E9">
        <v>-558087</v>
      </c>
      <c r="F9">
        <v>0</v>
      </c>
      <c r="G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"/>
  <sheetViews>
    <sheetView workbookViewId="0">
      <selection activeCell="B13" sqref="B13"/>
    </sheetView>
  </sheetViews>
  <sheetFormatPr defaultRowHeight="14.4" x14ac:dyDescent="0.3"/>
  <cols>
    <col min="1" max="1" width="6.88671875" customWidth="1"/>
    <col min="2" max="2" width="47" customWidth="1"/>
    <col min="3" max="3" width="9" customWidth="1"/>
    <col min="4" max="4" width="9.44140625" customWidth="1"/>
    <col min="5" max="5" width="9.109375" customWidth="1"/>
    <col min="6" max="6" width="10.109375" customWidth="1"/>
    <col min="7" max="7" width="11.33203125" customWidth="1"/>
  </cols>
  <sheetData>
    <row r="1" spans="1:7" x14ac:dyDescent="0.3">
      <c r="A1" t="s">
        <v>1264</v>
      </c>
      <c r="B1" t="s">
        <v>611</v>
      </c>
      <c r="C1" t="s">
        <v>723</v>
      </c>
      <c r="D1" t="s">
        <v>548</v>
      </c>
      <c r="E1" t="s">
        <v>42</v>
      </c>
      <c r="F1" t="s">
        <v>1233</v>
      </c>
      <c r="G1" t="s">
        <v>1118</v>
      </c>
    </row>
    <row r="2" spans="1:7" x14ac:dyDescent="0.3">
      <c r="A2" t="s">
        <v>1125</v>
      </c>
      <c r="B2" t="s">
        <v>891</v>
      </c>
      <c r="C2">
        <v>0</v>
      </c>
      <c r="D2">
        <v>76533</v>
      </c>
      <c r="E2">
        <v>76533</v>
      </c>
      <c r="F2">
        <v>0</v>
      </c>
      <c r="G2">
        <v>0</v>
      </c>
    </row>
    <row r="3" spans="1:7" x14ac:dyDescent="0.3">
      <c r="A3" t="s">
        <v>475</v>
      </c>
      <c r="B3" t="s">
        <v>934</v>
      </c>
      <c r="C3">
        <v>1010015</v>
      </c>
      <c r="D3">
        <v>0</v>
      </c>
      <c r="E3">
        <v>0</v>
      </c>
      <c r="F3">
        <v>0</v>
      </c>
      <c r="G3">
        <v>0</v>
      </c>
    </row>
    <row r="4" spans="1:7" x14ac:dyDescent="0.3">
      <c r="A4" t="s">
        <v>68</v>
      </c>
      <c r="B4" t="s">
        <v>210</v>
      </c>
      <c r="C4">
        <v>279543</v>
      </c>
      <c r="D4">
        <v>3487</v>
      </c>
      <c r="E4">
        <v>707</v>
      </c>
      <c r="F4">
        <v>2781</v>
      </c>
      <c r="G4">
        <v>0</v>
      </c>
    </row>
    <row r="5" spans="1:7" x14ac:dyDescent="0.3">
      <c r="A5" t="s">
        <v>568</v>
      </c>
      <c r="B5" t="s">
        <v>48</v>
      </c>
      <c r="C5">
        <v>0</v>
      </c>
      <c r="D5">
        <v>1632</v>
      </c>
      <c r="E5">
        <v>1632</v>
      </c>
      <c r="F5">
        <v>0</v>
      </c>
      <c r="G5">
        <v>0</v>
      </c>
    </row>
    <row r="6" spans="1:7" x14ac:dyDescent="0.3">
      <c r="A6" t="s">
        <v>729</v>
      </c>
      <c r="B6" t="s">
        <v>11</v>
      </c>
      <c r="C6">
        <v>-145629</v>
      </c>
      <c r="D6">
        <v>12441</v>
      </c>
      <c r="E6">
        <v>12441</v>
      </c>
      <c r="F6">
        <v>0</v>
      </c>
      <c r="G6">
        <v>0</v>
      </c>
    </row>
    <row r="7" spans="1:7" x14ac:dyDescent="0.3">
      <c r="A7" t="s">
        <v>1164</v>
      </c>
      <c r="B7" t="s">
        <v>1098</v>
      </c>
      <c r="C7">
        <v>-3234476</v>
      </c>
      <c r="D7">
        <v>-1783911</v>
      </c>
      <c r="E7">
        <v>-1783911</v>
      </c>
      <c r="F7">
        <v>0</v>
      </c>
      <c r="G7">
        <v>0</v>
      </c>
    </row>
    <row r="8" spans="1:7" x14ac:dyDescent="0.3">
      <c r="A8" t="s">
        <v>1240</v>
      </c>
      <c r="B8" t="s">
        <v>1300</v>
      </c>
      <c r="C8">
        <v>-152641</v>
      </c>
      <c r="D8">
        <v>-523254</v>
      </c>
      <c r="E8">
        <v>-523254</v>
      </c>
      <c r="F8">
        <v>0</v>
      </c>
      <c r="G8">
        <v>0</v>
      </c>
    </row>
    <row r="9" spans="1:7" x14ac:dyDescent="0.3">
      <c r="A9" t="s">
        <v>1336</v>
      </c>
      <c r="B9" t="s">
        <v>1139</v>
      </c>
      <c r="C9">
        <v>-4609</v>
      </c>
      <c r="D9">
        <v>-26312</v>
      </c>
    </row>
    <row r="10" spans="1:7" x14ac:dyDescent="0.3">
      <c r="A10" t="s">
        <v>360</v>
      </c>
      <c r="B10" t="s">
        <v>549</v>
      </c>
      <c r="C10">
        <v>0</v>
      </c>
      <c r="D10">
        <v>-72880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49"/>
  <sheetViews>
    <sheetView tabSelected="1" view="pageBreakPreview" topLeftCell="A31" zoomScale="150" zoomScaleNormal="100" zoomScaleSheetLayoutView="150" workbookViewId="0">
      <selection activeCell="A47" sqref="A47:G48"/>
    </sheetView>
  </sheetViews>
  <sheetFormatPr defaultRowHeight="14.4" x14ac:dyDescent="0.3"/>
  <cols>
    <col min="1" max="31" width="2.6640625" customWidth="1"/>
    <col min="32" max="32" width="2.88671875" customWidth="1"/>
  </cols>
  <sheetData>
    <row r="1" spans="1:32" s="11" customFormat="1" x14ac:dyDescent="0.3"/>
    <row r="2" spans="1:32" s="11" customFormat="1" x14ac:dyDescent="0.3">
      <c r="W2" s="115" t="s">
        <v>1024</v>
      </c>
      <c r="X2" s="116"/>
      <c r="Y2" s="116"/>
      <c r="Z2" s="116"/>
      <c r="AA2" s="116"/>
      <c r="AB2" s="116"/>
      <c r="AC2" s="116"/>
      <c r="AD2" s="117"/>
    </row>
    <row r="4" spans="1:32" ht="23.4" x14ac:dyDescent="0.45">
      <c r="A4" s="120" t="s">
        <v>129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1:32" s="32" customFormat="1" ht="17.399999999999999" x14ac:dyDescent="0.35">
      <c r="A5" s="121" t="s">
        <v>116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6" spans="1:32" s="32" customFormat="1" ht="17.399999999999999" x14ac:dyDescent="0.35">
      <c r="L6" s="119" t="s">
        <v>285</v>
      </c>
      <c r="M6" s="119"/>
      <c r="N6" s="119"/>
      <c r="O6" s="119"/>
      <c r="P6" s="119"/>
      <c r="Q6" s="122" t="s">
        <v>1339</v>
      </c>
      <c r="R6" s="122"/>
      <c r="S6" s="122"/>
      <c r="T6" s="118">
        <v>20</v>
      </c>
      <c r="U6" s="118"/>
      <c r="V6" s="90">
        <v>1</v>
      </c>
      <c r="W6" s="32">
        <v>7</v>
      </c>
    </row>
    <row r="7" spans="1:32" s="11" customFormat="1" x14ac:dyDescent="0.3"/>
    <row r="8" spans="1:32" x14ac:dyDescent="0.3">
      <c r="H8" s="6"/>
    </row>
    <row r="9" spans="1:32" x14ac:dyDescent="0.3">
      <c r="N9" s="29"/>
      <c r="O9" s="2" t="s">
        <v>37</v>
      </c>
      <c r="P9" s="24" t="s">
        <v>502</v>
      </c>
      <c r="X9" s="29" t="s">
        <v>676</v>
      </c>
      <c r="Y9" s="2" t="s">
        <v>37</v>
      </c>
      <c r="Z9" s="24" t="s">
        <v>1078</v>
      </c>
    </row>
    <row r="11" spans="1:32" x14ac:dyDescent="0.3">
      <c r="N11" s="31" t="s">
        <v>338</v>
      </c>
      <c r="Q11" s="31" t="s">
        <v>584</v>
      </c>
      <c r="X11" s="31" t="s">
        <v>338</v>
      </c>
      <c r="AA11" s="31" t="s">
        <v>584</v>
      </c>
    </row>
    <row r="12" spans="1:32" x14ac:dyDescent="0.3">
      <c r="I12" s="31" t="s">
        <v>424</v>
      </c>
      <c r="M12" s="31" t="s">
        <v>249</v>
      </c>
      <c r="N12" s="29">
        <v>0</v>
      </c>
      <c r="O12" s="29">
        <v>1</v>
      </c>
      <c r="P12" s="11"/>
      <c r="Q12" s="29">
        <v>2</v>
      </c>
      <c r="R12" s="29">
        <v>0</v>
      </c>
      <c r="S12" s="29">
        <v>1</v>
      </c>
      <c r="T12" s="29">
        <v>7</v>
      </c>
      <c r="W12" s="31" t="s">
        <v>582</v>
      </c>
      <c r="X12" s="29">
        <v>1</v>
      </c>
      <c r="Y12" s="29">
        <v>2</v>
      </c>
      <c r="Z12" s="11"/>
      <c r="AA12" s="29">
        <v>2</v>
      </c>
      <c r="AB12" s="29">
        <v>0</v>
      </c>
      <c r="AC12" s="29">
        <v>1</v>
      </c>
      <c r="AD12" s="29">
        <v>7</v>
      </c>
    </row>
    <row r="14" spans="1:32" x14ac:dyDescent="0.3">
      <c r="F14" s="31" t="s">
        <v>581</v>
      </c>
      <c r="N14" s="31" t="s">
        <v>338</v>
      </c>
      <c r="Q14" s="31" t="s">
        <v>584</v>
      </c>
      <c r="X14" s="31" t="s">
        <v>338</v>
      </c>
      <c r="AA14" s="31" t="s">
        <v>584</v>
      </c>
    </row>
    <row r="15" spans="1:32" x14ac:dyDescent="0.3">
      <c r="F15" s="31" t="s">
        <v>395</v>
      </c>
      <c r="M15" s="31" t="s">
        <v>249</v>
      </c>
      <c r="N15" s="29">
        <v>0</v>
      </c>
      <c r="O15" s="29">
        <v>1</v>
      </c>
      <c r="P15" s="11"/>
      <c r="Q15" s="29">
        <v>2</v>
      </c>
      <c r="R15" s="29">
        <v>0</v>
      </c>
      <c r="S15" s="29">
        <v>1</v>
      </c>
      <c r="T15" s="29">
        <v>6</v>
      </c>
      <c r="W15" s="31" t="s">
        <v>582</v>
      </c>
      <c r="X15" s="29">
        <v>1</v>
      </c>
      <c r="Y15" s="29">
        <v>2</v>
      </c>
      <c r="Z15" s="11"/>
      <c r="AA15" s="29">
        <v>2</v>
      </c>
      <c r="AB15" s="29">
        <v>0</v>
      </c>
      <c r="AC15" s="29">
        <v>1</v>
      </c>
      <c r="AD15" s="29">
        <v>6</v>
      </c>
    </row>
    <row r="18" spans="1:31" s="3" customFormat="1" x14ac:dyDescent="0.3">
      <c r="A18" s="31" t="s">
        <v>744</v>
      </c>
      <c r="P18" s="31" t="s">
        <v>826</v>
      </c>
      <c r="W18" s="31" t="s">
        <v>826</v>
      </c>
    </row>
    <row r="19" spans="1:31" x14ac:dyDescent="0.3">
      <c r="A19" s="29">
        <v>1</v>
      </c>
      <c r="B19" s="29">
        <v>1</v>
      </c>
      <c r="D19" s="29">
        <v>0</v>
      </c>
      <c r="E19" s="29">
        <v>5</v>
      </c>
      <c r="G19" s="29">
        <v>2</v>
      </c>
      <c r="H19" s="29">
        <v>0</v>
      </c>
      <c r="I19" s="29">
        <v>1</v>
      </c>
      <c r="J19" s="29">
        <v>3</v>
      </c>
      <c r="P19" s="29" t="s">
        <v>676</v>
      </c>
      <c r="Q19" s="2" t="s">
        <v>37</v>
      </c>
      <c r="R19" s="24" t="s">
        <v>1135</v>
      </c>
      <c r="W19" s="29" t="s">
        <v>676</v>
      </c>
      <c r="X19" s="2" t="s">
        <v>37</v>
      </c>
      <c r="Y19" s="24" t="s">
        <v>1171</v>
      </c>
    </row>
    <row r="20" spans="1:31" x14ac:dyDescent="0.3">
      <c r="P20" s="29"/>
      <c r="Q20" s="2" t="s">
        <v>37</v>
      </c>
      <c r="R20" s="24" t="s">
        <v>423</v>
      </c>
      <c r="W20" s="29"/>
      <c r="X20" s="2" t="s">
        <v>37</v>
      </c>
      <c r="Y20" s="24" t="s">
        <v>860</v>
      </c>
    </row>
    <row r="21" spans="1:31" x14ac:dyDescent="0.3">
      <c r="P21" s="29"/>
      <c r="Q21" s="2" t="s">
        <v>37</v>
      </c>
      <c r="R21" s="24" t="s">
        <v>1338</v>
      </c>
    </row>
    <row r="23" spans="1:31" s="31" customFormat="1" ht="12" x14ac:dyDescent="0.25">
      <c r="A23" s="31" t="s">
        <v>1006</v>
      </c>
      <c r="J23" s="31" t="s">
        <v>64</v>
      </c>
      <c r="V23" s="31" t="s">
        <v>685</v>
      </c>
    </row>
    <row r="24" spans="1:31" x14ac:dyDescent="0.3">
      <c r="A24" s="29">
        <v>4</v>
      </c>
      <c r="B24" s="29">
        <v>7</v>
      </c>
      <c r="C24" s="29">
        <v>1</v>
      </c>
      <c r="D24" s="29">
        <v>5</v>
      </c>
      <c r="E24" s="29">
        <v>4</v>
      </c>
      <c r="F24" s="29">
        <v>3</v>
      </c>
      <c r="G24" s="29">
        <v>3</v>
      </c>
      <c r="H24" s="29">
        <v>1</v>
      </c>
      <c r="J24" s="29">
        <v>2</v>
      </c>
      <c r="K24" s="29">
        <v>0</v>
      </c>
      <c r="L24" s="29">
        <v>2</v>
      </c>
      <c r="M24" s="29">
        <v>3</v>
      </c>
      <c r="N24" s="29">
        <v>7</v>
      </c>
      <c r="O24" s="29">
        <v>7</v>
      </c>
      <c r="P24" s="29">
        <v>2</v>
      </c>
      <c r="Q24" s="29">
        <v>8</v>
      </c>
      <c r="R24" s="29">
        <v>1</v>
      </c>
      <c r="S24" s="29">
        <v>7</v>
      </c>
      <c r="T24" s="29"/>
      <c r="V24" s="29">
        <v>2</v>
      </c>
      <c r="W24" s="29">
        <v>9</v>
      </c>
      <c r="X24" s="2"/>
      <c r="Y24" s="29">
        <v>3</v>
      </c>
      <c r="Z24" s="29">
        <v>2</v>
      </c>
      <c r="AA24" s="2"/>
      <c r="AB24" s="29">
        <v>0</v>
      </c>
    </row>
    <row r="26" spans="1:31" s="31" customFormat="1" ht="12" x14ac:dyDescent="0.25">
      <c r="A26" s="31" t="s">
        <v>1290</v>
      </c>
    </row>
    <row r="27" spans="1:31" s="11" customFormat="1" x14ac:dyDescent="0.3">
      <c r="A27" s="29" t="s">
        <v>1400</v>
      </c>
      <c r="B27" s="29" t="s">
        <v>1001</v>
      </c>
      <c r="C27" s="29" t="s">
        <v>1401</v>
      </c>
      <c r="D27" s="29" t="s">
        <v>1402</v>
      </c>
      <c r="E27" s="29" t="s">
        <v>1403</v>
      </c>
      <c r="F27" s="29" t="s">
        <v>1403</v>
      </c>
      <c r="G27" s="29"/>
      <c r="H27" s="29" t="s">
        <v>1400</v>
      </c>
      <c r="I27" s="29" t="s">
        <v>1404</v>
      </c>
      <c r="J27" s="29" t="s">
        <v>1403</v>
      </c>
      <c r="K27" s="29" t="s">
        <v>1405</v>
      </c>
      <c r="L27" s="29" t="s">
        <v>1001</v>
      </c>
      <c r="M27" s="29" t="s">
        <v>1406</v>
      </c>
      <c r="N27" s="29" t="s">
        <v>778</v>
      </c>
      <c r="O27" s="29" t="s">
        <v>1001</v>
      </c>
      <c r="P27" s="29" t="s">
        <v>1407</v>
      </c>
      <c r="Q27" s="29" t="s">
        <v>1408</v>
      </c>
      <c r="R27" s="29" t="s">
        <v>1007</v>
      </c>
      <c r="S27" s="29" t="s">
        <v>1409</v>
      </c>
      <c r="T27" s="29" t="s">
        <v>1007</v>
      </c>
      <c r="U27" s="29" t="s">
        <v>1403</v>
      </c>
      <c r="V27" s="29" t="s">
        <v>1007</v>
      </c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11" customFormat="1" x14ac:dyDescent="0.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30" spans="1:31" s="24" customFormat="1" ht="12" x14ac:dyDescent="0.25">
      <c r="A30" s="31" t="s">
        <v>906</v>
      </c>
    </row>
    <row r="31" spans="1:31" s="24" customFormat="1" ht="12" x14ac:dyDescent="0.25">
      <c r="A31" s="24" t="s">
        <v>1225</v>
      </c>
      <c r="X31" s="24" t="s">
        <v>408</v>
      </c>
    </row>
    <row r="32" spans="1:31" s="11" customFormat="1" x14ac:dyDescent="0.3">
      <c r="A32" s="29" t="s">
        <v>1400</v>
      </c>
      <c r="B32" s="29" t="s">
        <v>1410</v>
      </c>
      <c r="C32" s="29" t="s">
        <v>1411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29">
        <v>7</v>
      </c>
      <c r="Y32" s="29">
        <v>6</v>
      </c>
      <c r="Z32" s="29">
        <v>9</v>
      </c>
      <c r="AA32" s="29"/>
      <c r="AB32" s="29">
        <v>1</v>
      </c>
      <c r="AC32" s="29">
        <v>5</v>
      </c>
      <c r="AD32" s="29">
        <v>2</v>
      </c>
      <c r="AE32" s="29"/>
    </row>
    <row r="34" spans="1:31" s="24" customFormat="1" ht="12" x14ac:dyDescent="0.25">
      <c r="A34" s="24" t="s">
        <v>680</v>
      </c>
      <c r="G34" s="24" t="s">
        <v>124</v>
      </c>
    </row>
    <row r="35" spans="1:31" x14ac:dyDescent="0.3">
      <c r="A35" s="29">
        <v>0</v>
      </c>
      <c r="B35" s="29">
        <v>1</v>
      </c>
      <c r="C35" s="29">
        <v>3</v>
      </c>
      <c r="D35" s="29">
        <v>2</v>
      </c>
      <c r="E35" s="29">
        <v>4</v>
      </c>
      <c r="G35" s="29" t="s">
        <v>1400</v>
      </c>
      <c r="H35" s="29" t="s">
        <v>1412</v>
      </c>
      <c r="I35" s="29" t="s">
        <v>1409</v>
      </c>
      <c r="J35" s="29" t="s">
        <v>889</v>
      </c>
      <c r="K35" s="29" t="s">
        <v>1413</v>
      </c>
      <c r="L35" s="29" t="s">
        <v>1414</v>
      </c>
      <c r="M35" s="29" t="s">
        <v>1403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7" spans="1:31" s="24" customFormat="1" ht="12" x14ac:dyDescent="0.25">
      <c r="A37" s="24" t="s">
        <v>121</v>
      </c>
      <c r="P37" s="24" t="s">
        <v>1014</v>
      </c>
    </row>
    <row r="38" spans="1:31" x14ac:dyDescent="0.3">
      <c r="A38" s="29">
        <v>0</v>
      </c>
      <c r="B38" s="29"/>
      <c r="C38" s="29"/>
      <c r="D38" s="29"/>
      <c r="E38" s="2" t="s">
        <v>255</v>
      </c>
      <c r="F38" s="29"/>
      <c r="G38" s="29"/>
      <c r="H38" s="29"/>
      <c r="I38" s="29"/>
      <c r="J38" s="29"/>
      <c r="K38" s="29"/>
      <c r="L38" s="29"/>
      <c r="M38" s="29"/>
      <c r="P38" s="29">
        <v>0</v>
      </c>
      <c r="Q38" s="29"/>
      <c r="R38" s="29"/>
      <c r="S38" s="29"/>
      <c r="T38" s="2" t="s">
        <v>255</v>
      </c>
      <c r="U38" s="29"/>
      <c r="V38" s="29"/>
      <c r="W38" s="29"/>
      <c r="X38" s="29"/>
      <c r="Y38" s="29"/>
      <c r="Z38" s="29"/>
      <c r="AA38" s="29"/>
      <c r="AB38" s="29"/>
    </row>
    <row r="40" spans="1:31" s="24" customFormat="1" ht="12" x14ac:dyDescent="0.25">
      <c r="A40" s="24" t="s">
        <v>785</v>
      </c>
    </row>
    <row r="41" spans="1:31" x14ac:dyDescent="0.3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3" spans="1:31" ht="15" customHeight="1" x14ac:dyDescent="0.3">
      <c r="A43" s="111" t="s">
        <v>256</v>
      </c>
      <c r="B43" s="112"/>
      <c r="C43" s="112"/>
      <c r="D43" s="112"/>
      <c r="E43" s="112"/>
      <c r="F43" s="112"/>
      <c r="G43" s="113"/>
      <c r="H43" s="99" t="s">
        <v>949</v>
      </c>
      <c r="I43" s="100"/>
      <c r="J43" s="100"/>
      <c r="K43" s="100"/>
      <c r="L43" s="100"/>
      <c r="M43" s="100"/>
      <c r="N43" s="100"/>
      <c r="O43" s="101"/>
      <c r="P43" s="99" t="s">
        <v>1008</v>
      </c>
      <c r="Q43" s="100"/>
      <c r="R43" s="100"/>
      <c r="S43" s="100"/>
      <c r="T43" s="100"/>
      <c r="U43" s="100"/>
      <c r="V43" s="100"/>
      <c r="W43" s="101"/>
      <c r="X43" s="99" t="s">
        <v>387</v>
      </c>
      <c r="Y43" s="100"/>
      <c r="Z43" s="100"/>
      <c r="AA43" s="100"/>
      <c r="AB43" s="100"/>
      <c r="AC43" s="100"/>
      <c r="AD43" s="100"/>
      <c r="AE43" s="101"/>
    </row>
    <row r="44" spans="1:31" s="11" customFormat="1" x14ac:dyDescent="0.3">
      <c r="A44" s="105">
        <v>43230</v>
      </c>
      <c r="B44" s="106"/>
      <c r="C44" s="106"/>
      <c r="D44" s="106"/>
      <c r="E44" s="106"/>
      <c r="F44" s="106"/>
      <c r="G44" s="107"/>
      <c r="H44" s="102"/>
      <c r="I44" s="103"/>
      <c r="J44" s="103"/>
      <c r="K44" s="103"/>
      <c r="L44" s="103"/>
      <c r="M44" s="103"/>
      <c r="N44" s="103"/>
      <c r="O44" s="104"/>
      <c r="P44" s="102"/>
      <c r="Q44" s="103"/>
      <c r="R44" s="103"/>
      <c r="S44" s="103"/>
      <c r="T44" s="103"/>
      <c r="U44" s="103"/>
      <c r="V44" s="103"/>
      <c r="W44" s="104"/>
      <c r="X44" s="102"/>
      <c r="Y44" s="103"/>
      <c r="Z44" s="103"/>
      <c r="AA44" s="103"/>
      <c r="AB44" s="103"/>
      <c r="AC44" s="103"/>
      <c r="AD44" s="103"/>
      <c r="AE44" s="104"/>
    </row>
    <row r="45" spans="1:31" x14ac:dyDescent="0.3">
      <c r="A45" s="108"/>
      <c r="B45" s="109"/>
      <c r="C45" s="109"/>
      <c r="D45" s="109"/>
      <c r="E45" s="109"/>
      <c r="F45" s="109"/>
      <c r="G45" s="110"/>
      <c r="H45" s="92"/>
      <c r="I45" s="93"/>
      <c r="J45" s="93"/>
      <c r="K45" s="93"/>
      <c r="L45" s="93"/>
      <c r="M45" s="93"/>
      <c r="N45" s="93"/>
      <c r="O45" s="94"/>
      <c r="P45" s="92"/>
      <c r="Q45" s="93"/>
      <c r="R45" s="93"/>
      <c r="S45" s="93"/>
      <c r="T45" s="93"/>
      <c r="U45" s="93"/>
      <c r="V45" s="93"/>
      <c r="W45" s="94"/>
      <c r="X45" s="92"/>
      <c r="Y45" s="93"/>
      <c r="Z45" s="93"/>
      <c r="AA45" s="93"/>
      <c r="AB45" s="93"/>
      <c r="AC45" s="93"/>
      <c r="AD45" s="93"/>
      <c r="AE45" s="94"/>
    </row>
    <row r="46" spans="1:31" x14ac:dyDescent="0.3">
      <c r="A46" s="111" t="s">
        <v>265</v>
      </c>
      <c r="B46" s="112"/>
      <c r="C46" s="112"/>
      <c r="D46" s="112"/>
      <c r="E46" s="112"/>
      <c r="F46" s="112"/>
      <c r="G46" s="113"/>
      <c r="H46" s="92"/>
      <c r="I46" s="95"/>
      <c r="J46" s="95"/>
      <c r="K46" s="95"/>
      <c r="L46" s="95"/>
      <c r="M46" s="95"/>
      <c r="N46" s="95"/>
      <c r="O46" s="94"/>
      <c r="P46" s="92"/>
      <c r="Q46" s="95"/>
      <c r="R46" s="95"/>
      <c r="S46" s="95"/>
      <c r="T46" s="95"/>
      <c r="U46" s="95"/>
      <c r="V46" s="95"/>
      <c r="W46" s="94"/>
      <c r="X46" s="92"/>
      <c r="Y46" s="95"/>
      <c r="Z46" s="95"/>
      <c r="AA46" s="95"/>
      <c r="AB46" s="95"/>
      <c r="AC46" s="95"/>
      <c r="AD46" s="95"/>
      <c r="AE46" s="94"/>
    </row>
    <row r="47" spans="1:31" s="11" customFormat="1" x14ac:dyDescent="0.3">
      <c r="A47" s="114"/>
      <c r="B47" s="106"/>
      <c r="C47" s="106"/>
      <c r="D47" s="106"/>
      <c r="E47" s="106"/>
      <c r="F47" s="106"/>
      <c r="G47" s="107"/>
      <c r="H47" s="92"/>
      <c r="I47" s="95"/>
      <c r="J47" s="95"/>
      <c r="K47" s="95"/>
      <c r="L47" s="95"/>
      <c r="M47" s="95"/>
      <c r="N47" s="95"/>
      <c r="O47" s="94"/>
      <c r="P47" s="92"/>
      <c r="Q47" s="95"/>
      <c r="R47" s="95"/>
      <c r="S47" s="95"/>
      <c r="T47" s="95"/>
      <c r="U47" s="95"/>
      <c r="V47" s="95"/>
      <c r="W47" s="94"/>
      <c r="X47" s="92"/>
      <c r="Y47" s="95"/>
      <c r="Z47" s="95"/>
      <c r="AA47" s="95"/>
      <c r="AB47" s="95"/>
      <c r="AC47" s="95"/>
      <c r="AD47" s="95"/>
      <c r="AE47" s="94"/>
    </row>
    <row r="48" spans="1:31" x14ac:dyDescent="0.3">
      <c r="A48" s="108"/>
      <c r="B48" s="109"/>
      <c r="C48" s="109"/>
      <c r="D48" s="109"/>
      <c r="E48" s="109"/>
      <c r="F48" s="109"/>
      <c r="G48" s="110"/>
      <c r="H48" s="96"/>
      <c r="I48" s="97"/>
      <c r="J48" s="97"/>
      <c r="K48" s="97"/>
      <c r="L48" s="97"/>
      <c r="M48" s="97"/>
      <c r="N48" s="97"/>
      <c r="O48" s="98"/>
      <c r="P48" s="96"/>
      <c r="Q48" s="97"/>
      <c r="R48" s="97"/>
      <c r="S48" s="97"/>
      <c r="T48" s="97"/>
      <c r="U48" s="97"/>
      <c r="V48" s="97"/>
      <c r="W48" s="98"/>
      <c r="X48" s="96"/>
      <c r="Y48" s="97"/>
      <c r="Z48" s="97"/>
      <c r="AA48" s="97"/>
      <c r="AB48" s="97"/>
      <c r="AC48" s="97"/>
      <c r="AD48" s="97"/>
      <c r="AE48" s="98"/>
    </row>
    <row r="49" spans="1:1" x14ac:dyDescent="0.3">
      <c r="A49" s="24" t="s">
        <v>381</v>
      </c>
    </row>
  </sheetData>
  <mergeCells count="16">
    <mergeCell ref="W2:AD2"/>
    <mergeCell ref="T6:U6"/>
    <mergeCell ref="L6:P6"/>
    <mergeCell ref="A4:AF4"/>
    <mergeCell ref="A5:AF5"/>
    <mergeCell ref="Q6:S6"/>
    <mergeCell ref="X45:AE48"/>
    <mergeCell ref="X43:AE44"/>
    <mergeCell ref="A44:G45"/>
    <mergeCell ref="A43:G43"/>
    <mergeCell ref="A46:G46"/>
    <mergeCell ref="A47:G48"/>
    <mergeCell ref="H45:O48"/>
    <mergeCell ref="H43:O44"/>
    <mergeCell ref="P45:W48"/>
    <mergeCell ref="P43:W4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6"/>
  <sheetViews>
    <sheetView view="pageBreakPreview" topLeftCell="A30" zoomScale="118" zoomScaleNormal="100" zoomScaleSheetLayoutView="118" workbookViewId="0">
      <selection activeCell="F26" sqref="F26"/>
    </sheetView>
  </sheetViews>
  <sheetFormatPr defaultRowHeight="14.4" x14ac:dyDescent="0.3"/>
  <cols>
    <col min="9" max="9" width="9.6640625" bestFit="1" customWidth="1"/>
  </cols>
  <sheetData>
    <row r="1" spans="1:10" s="11" customFormat="1" ht="18" x14ac:dyDescent="0.35">
      <c r="B1" s="13" t="s">
        <v>357</v>
      </c>
    </row>
    <row r="2" spans="1:10" s="11" customFormat="1" x14ac:dyDescent="0.3"/>
    <row r="3" spans="1:10" s="11" customFormat="1" ht="15.6" x14ac:dyDescent="0.3">
      <c r="A3" s="12" t="s">
        <v>1025</v>
      </c>
    </row>
    <row r="4" spans="1:10" s="11" customFormat="1" x14ac:dyDescent="0.3">
      <c r="B4" s="142" t="s">
        <v>1415</v>
      </c>
      <c r="C4" s="148"/>
      <c r="D4" s="148"/>
      <c r="E4" s="148"/>
      <c r="F4" s="148"/>
      <c r="G4" s="148"/>
      <c r="H4" s="148"/>
      <c r="I4" s="149"/>
      <c r="J4" s="18"/>
    </row>
    <row r="5" spans="1:10" s="11" customFormat="1" x14ac:dyDescent="0.3">
      <c r="B5" s="18" t="s">
        <v>871</v>
      </c>
      <c r="C5" s="18"/>
      <c r="D5" s="138" t="s">
        <v>1416</v>
      </c>
      <c r="E5" s="139"/>
      <c r="F5" s="139"/>
      <c r="G5" s="139"/>
      <c r="H5" s="139"/>
      <c r="I5" s="140"/>
      <c r="J5" s="18"/>
    </row>
    <row r="6" spans="1:10" s="11" customFormat="1" x14ac:dyDescent="0.3">
      <c r="B6" s="18" t="s">
        <v>158</v>
      </c>
      <c r="D6" s="153">
        <v>41381</v>
      </c>
      <c r="E6" s="149"/>
      <c r="F6" s="28"/>
      <c r="G6" s="28"/>
      <c r="H6" s="28"/>
      <c r="I6" s="28"/>
    </row>
    <row r="7" spans="1:10" s="11" customFormat="1" x14ac:dyDescent="0.3">
      <c r="B7" s="18" t="s">
        <v>164</v>
      </c>
      <c r="D7" s="153">
        <v>41405</v>
      </c>
      <c r="E7" s="149"/>
      <c r="F7" s="28"/>
      <c r="G7" s="28"/>
      <c r="H7" s="28"/>
      <c r="I7" s="28"/>
    </row>
    <row r="8" spans="1:10" s="11" customFormat="1" x14ac:dyDescent="0.3">
      <c r="B8" s="18" t="s">
        <v>748</v>
      </c>
      <c r="D8" s="142">
        <v>47154331</v>
      </c>
      <c r="E8" s="149"/>
    </row>
    <row r="9" spans="1:10" x14ac:dyDescent="0.3">
      <c r="B9" s="18" t="s">
        <v>1110</v>
      </c>
      <c r="D9" s="142">
        <v>2023772817</v>
      </c>
      <c r="E9" s="149"/>
    </row>
    <row r="10" spans="1:10" s="11" customFormat="1" x14ac:dyDescent="0.3">
      <c r="B10" s="18"/>
    </row>
    <row r="11" spans="1:10" s="11" customFormat="1" ht="15.6" x14ac:dyDescent="0.3">
      <c r="A11" s="12" t="s">
        <v>1117</v>
      </c>
      <c r="B11" s="25"/>
      <c r="C11" s="16"/>
      <c r="D11" s="16"/>
      <c r="E11" s="16"/>
      <c r="F11" s="16"/>
      <c r="G11" s="16"/>
      <c r="H11" s="16"/>
      <c r="I11" s="16"/>
    </row>
    <row r="13" spans="1:10" x14ac:dyDescent="0.3">
      <c r="A13" s="125" t="s">
        <v>1417</v>
      </c>
      <c r="B13" s="126"/>
      <c r="C13" s="126"/>
      <c r="D13" s="126"/>
      <c r="E13" s="126"/>
      <c r="F13" s="126"/>
      <c r="G13" s="126"/>
      <c r="H13" s="126"/>
      <c r="I13" s="127"/>
    </row>
    <row r="14" spans="1:10" x14ac:dyDescent="0.3">
      <c r="A14" s="128"/>
      <c r="B14" s="129"/>
      <c r="C14" s="129"/>
      <c r="D14" s="129"/>
      <c r="E14" s="129"/>
      <c r="F14" s="129"/>
      <c r="G14" s="129"/>
      <c r="H14" s="129"/>
      <c r="I14" s="130"/>
    </row>
    <row r="15" spans="1:10" x14ac:dyDescent="0.3">
      <c r="A15" s="128"/>
      <c r="B15" s="129"/>
      <c r="C15" s="129"/>
      <c r="D15" s="129"/>
      <c r="E15" s="129"/>
      <c r="F15" s="129"/>
      <c r="G15" s="129"/>
      <c r="H15" s="129"/>
      <c r="I15" s="130"/>
    </row>
    <row r="16" spans="1:10" x14ac:dyDescent="0.3">
      <c r="A16" s="128"/>
      <c r="B16" s="129"/>
      <c r="C16" s="129"/>
      <c r="D16" s="129"/>
      <c r="E16" s="129"/>
      <c r="F16" s="129"/>
      <c r="G16" s="129"/>
      <c r="H16" s="129"/>
      <c r="I16" s="130"/>
    </row>
    <row r="17" spans="1:9" x14ac:dyDescent="0.3">
      <c r="A17" s="128"/>
      <c r="B17" s="129"/>
      <c r="C17" s="129"/>
      <c r="D17" s="129"/>
      <c r="E17" s="129"/>
      <c r="F17" s="129"/>
      <c r="G17" s="129"/>
      <c r="H17" s="129"/>
      <c r="I17" s="130"/>
    </row>
    <row r="18" spans="1:9" x14ac:dyDescent="0.3">
      <c r="A18" s="131"/>
      <c r="B18" s="132"/>
      <c r="C18" s="132"/>
      <c r="D18" s="132"/>
      <c r="E18" s="132"/>
      <c r="F18" s="132"/>
      <c r="G18" s="132"/>
      <c r="H18" s="132"/>
      <c r="I18" s="133"/>
    </row>
    <row r="20" spans="1:9" s="11" customFormat="1" ht="15.6" x14ac:dyDescent="0.3">
      <c r="A20" s="12" t="s">
        <v>22</v>
      </c>
      <c r="B20" s="25"/>
      <c r="C20" s="16"/>
      <c r="D20" s="16"/>
      <c r="E20" s="16"/>
      <c r="F20" s="16"/>
      <c r="G20" s="16"/>
      <c r="H20" s="16"/>
      <c r="I20" s="16"/>
    </row>
    <row r="22" spans="1:9" ht="15" customHeight="1" x14ac:dyDescent="0.3">
      <c r="A22" s="134" t="s">
        <v>375</v>
      </c>
      <c r="B22" s="135"/>
      <c r="C22" s="135"/>
      <c r="D22" s="135"/>
      <c r="E22" s="136"/>
      <c r="F22" s="137" t="s">
        <v>485</v>
      </c>
      <c r="G22" s="137"/>
      <c r="H22" s="154" t="s">
        <v>404</v>
      </c>
      <c r="I22" s="155"/>
    </row>
    <row r="23" spans="1:9" s="11" customFormat="1" ht="15" customHeight="1" x14ac:dyDescent="0.3">
      <c r="A23" s="138" t="s">
        <v>1185</v>
      </c>
      <c r="B23" s="139"/>
      <c r="C23" s="139"/>
      <c r="D23" s="139"/>
      <c r="E23" s="140"/>
      <c r="F23" s="141">
        <v>60</v>
      </c>
      <c r="G23" s="141"/>
      <c r="H23" s="138">
        <v>131</v>
      </c>
      <c r="I23" s="98"/>
    </row>
    <row r="24" spans="1:9" s="11" customFormat="1" ht="30" customHeight="1" x14ac:dyDescent="0.3">
      <c r="A24" s="144" t="s">
        <v>77</v>
      </c>
      <c r="B24" s="145"/>
      <c r="C24" s="145"/>
      <c r="D24" s="145"/>
      <c r="E24" s="146"/>
      <c r="F24" s="147">
        <v>45</v>
      </c>
      <c r="G24" s="147"/>
      <c r="H24" s="142">
        <v>133</v>
      </c>
      <c r="I24" s="143"/>
    </row>
    <row r="25" spans="1:9" s="11" customFormat="1" ht="15" customHeight="1" x14ac:dyDescent="0.3">
      <c r="A25" s="142" t="s">
        <v>1309</v>
      </c>
      <c r="B25" s="148"/>
      <c r="C25" s="148"/>
      <c r="D25" s="148"/>
      <c r="E25" s="149"/>
      <c r="F25" s="147">
        <v>3</v>
      </c>
      <c r="G25" s="147"/>
      <c r="H25" s="142">
        <v>5</v>
      </c>
      <c r="I25" s="143"/>
    </row>
    <row r="27" spans="1:9" s="11" customFormat="1" ht="15.6" x14ac:dyDescent="0.3">
      <c r="A27" s="12" t="s">
        <v>284</v>
      </c>
      <c r="B27" s="25"/>
      <c r="C27" s="16"/>
      <c r="D27" s="16"/>
      <c r="E27" s="16"/>
      <c r="F27" s="16"/>
      <c r="G27" s="16"/>
      <c r="H27" s="16"/>
      <c r="I27" s="16"/>
    </row>
    <row r="29" spans="1:9" ht="30" customHeight="1" x14ac:dyDescent="0.3">
      <c r="A29" s="137" t="s">
        <v>1333</v>
      </c>
      <c r="B29" s="150"/>
      <c r="C29" s="150"/>
      <c r="D29" s="137" t="s">
        <v>717</v>
      </c>
      <c r="E29" s="137"/>
      <c r="F29" s="56" t="s">
        <v>1276</v>
      </c>
      <c r="G29" s="154" t="s">
        <v>444</v>
      </c>
      <c r="H29" s="156"/>
      <c r="I29" s="155"/>
    </row>
    <row r="30" spans="1:9" s="11" customFormat="1" ht="15" customHeight="1" x14ac:dyDescent="0.3">
      <c r="A30" s="151"/>
      <c r="B30" s="152"/>
      <c r="C30" s="152"/>
      <c r="D30" s="151"/>
      <c r="E30" s="152"/>
      <c r="F30" s="55"/>
      <c r="G30" s="138"/>
      <c r="H30" s="97"/>
      <c r="I30" s="98"/>
    </row>
    <row r="31" spans="1:9" s="11" customFormat="1" ht="15" customHeight="1" x14ac:dyDescent="0.3">
      <c r="A31" s="123"/>
      <c r="B31" s="124"/>
      <c r="C31" s="124"/>
      <c r="D31" s="123"/>
      <c r="E31" s="124"/>
      <c r="F31" s="27"/>
      <c r="G31" s="142"/>
      <c r="H31" s="157"/>
      <c r="I31" s="143"/>
    </row>
    <row r="32" spans="1:9" s="11" customFormat="1" ht="15" customHeight="1" x14ac:dyDescent="0.3">
      <c r="A32" s="123"/>
      <c r="B32" s="124"/>
      <c r="C32" s="124"/>
      <c r="D32" s="123"/>
      <c r="E32" s="124"/>
      <c r="F32" s="27"/>
      <c r="G32" s="142"/>
      <c r="H32" s="157"/>
      <c r="I32" s="143"/>
    </row>
    <row r="33" spans="1:10" s="11" customFormat="1" ht="15" customHeight="1" x14ac:dyDescent="0.3">
      <c r="A33" s="123"/>
      <c r="B33" s="124"/>
      <c r="C33" s="124"/>
      <c r="D33" s="123"/>
      <c r="E33" s="124"/>
      <c r="F33" s="27"/>
      <c r="G33" s="158"/>
      <c r="H33" s="157"/>
      <c r="I33" s="143"/>
    </row>
    <row r="34" spans="1:10" s="11" customFormat="1" ht="15" customHeight="1" x14ac:dyDescent="0.3">
      <c r="A34" s="123"/>
      <c r="B34" s="124"/>
      <c r="C34" s="124"/>
      <c r="D34" s="123"/>
      <c r="E34" s="124"/>
      <c r="F34" s="27"/>
      <c r="G34" s="142"/>
      <c r="H34" s="157"/>
      <c r="I34" s="143"/>
    </row>
    <row r="35" spans="1:10" s="11" customFormat="1" ht="15" customHeight="1" x14ac:dyDescent="0.3">
      <c r="A35" s="123"/>
      <c r="B35" s="124"/>
      <c r="C35" s="124"/>
      <c r="D35" s="123"/>
      <c r="E35" s="124"/>
      <c r="F35" s="27"/>
      <c r="G35" s="142"/>
      <c r="H35" s="157"/>
      <c r="I35" s="143"/>
    </row>
    <row r="36" spans="1:10" s="11" customFormat="1" ht="15" customHeight="1" x14ac:dyDescent="0.3">
      <c r="A36" s="123"/>
      <c r="B36" s="124"/>
      <c r="C36" s="124"/>
      <c r="D36" s="123"/>
      <c r="E36" s="124"/>
      <c r="F36" s="27"/>
      <c r="G36" s="142"/>
      <c r="H36" s="157"/>
      <c r="I36" s="143"/>
    </row>
    <row r="37" spans="1:10" s="11" customFormat="1" ht="15" customHeight="1" x14ac:dyDescent="0.3">
      <c r="A37" s="123"/>
      <c r="B37" s="124"/>
      <c r="C37" s="124"/>
      <c r="D37" s="123"/>
      <c r="E37" s="124"/>
      <c r="F37" s="27"/>
      <c r="G37" s="142"/>
      <c r="H37" s="157"/>
      <c r="I37" s="143"/>
    </row>
    <row r="39" spans="1:10" s="11" customFormat="1" ht="15.6" x14ac:dyDescent="0.3">
      <c r="A39" s="12" t="s">
        <v>394</v>
      </c>
      <c r="B39" s="25"/>
      <c r="C39" s="16"/>
      <c r="D39" s="16"/>
      <c r="E39" s="16"/>
      <c r="F39" s="16"/>
      <c r="G39" s="16"/>
      <c r="H39" s="16"/>
      <c r="I39" s="16"/>
    </row>
    <row r="41" spans="1:10" s="11" customFormat="1" x14ac:dyDescent="0.3"/>
    <row r="42" spans="1:10" s="11" customFormat="1" x14ac:dyDescent="0.3">
      <c r="B42" s="18" t="s">
        <v>149</v>
      </c>
      <c r="C42" s="18"/>
      <c r="D42" s="18"/>
      <c r="E42" s="18"/>
      <c r="F42" s="18"/>
      <c r="G42" s="18"/>
      <c r="H42" s="18"/>
      <c r="I42" s="18"/>
      <c r="J42" s="18"/>
    </row>
    <row r="43" spans="1:10" s="11" customFormat="1" x14ac:dyDescent="0.3"/>
    <row r="44" spans="1:10" s="11" customFormat="1" x14ac:dyDescent="0.3"/>
    <row r="46" spans="1:10" s="11" customFormat="1" ht="15.6" x14ac:dyDescent="0.3">
      <c r="A46" s="12" t="s">
        <v>30</v>
      </c>
      <c r="B46" s="25"/>
      <c r="C46" s="16"/>
      <c r="D46" s="16"/>
      <c r="E46" s="16"/>
      <c r="F46" s="16"/>
      <c r="G46" s="16"/>
      <c r="H46" s="16"/>
      <c r="I46" s="88">
        <v>42916</v>
      </c>
    </row>
  </sheetData>
  <mergeCells count="46">
    <mergeCell ref="A37:C37"/>
    <mergeCell ref="D37:E37"/>
    <mergeCell ref="G29:I29"/>
    <mergeCell ref="G30:I30"/>
    <mergeCell ref="G31:I31"/>
    <mergeCell ref="G32:I32"/>
    <mergeCell ref="G33:I33"/>
    <mergeCell ref="G34:I34"/>
    <mergeCell ref="A35:C35"/>
    <mergeCell ref="D35:E35"/>
    <mergeCell ref="G35:I35"/>
    <mergeCell ref="G36:I36"/>
    <mergeCell ref="G37:I37"/>
    <mergeCell ref="D30:E30"/>
    <mergeCell ref="A36:C36"/>
    <mergeCell ref="D36:E36"/>
    <mergeCell ref="B4:I4"/>
    <mergeCell ref="A31:C31"/>
    <mergeCell ref="D31:E31"/>
    <mergeCell ref="A32:C32"/>
    <mergeCell ref="D32:E32"/>
    <mergeCell ref="A29:C29"/>
    <mergeCell ref="D29:E29"/>
    <mergeCell ref="A30:C30"/>
    <mergeCell ref="D5:I5"/>
    <mergeCell ref="D6:E6"/>
    <mergeCell ref="D7:E7"/>
    <mergeCell ref="D8:E8"/>
    <mergeCell ref="D9:E9"/>
    <mergeCell ref="H22:I22"/>
    <mergeCell ref="A34:C34"/>
    <mergeCell ref="D34:E34"/>
    <mergeCell ref="A13:I18"/>
    <mergeCell ref="A22:E22"/>
    <mergeCell ref="F22:G22"/>
    <mergeCell ref="A23:E23"/>
    <mergeCell ref="F23:G23"/>
    <mergeCell ref="H23:I23"/>
    <mergeCell ref="H24:I24"/>
    <mergeCell ref="H25:I25"/>
    <mergeCell ref="A33:C33"/>
    <mergeCell ref="D33:E33"/>
    <mergeCell ref="A24:E24"/>
    <mergeCell ref="F24:G24"/>
    <mergeCell ref="A25:E25"/>
    <mergeCell ref="F25:G2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1</xdr:col>
                    <xdr:colOff>7620</xdr:colOff>
                    <xdr:row>39</xdr:row>
                    <xdr:rowOff>175260</xdr:rowOff>
                  </from>
                  <to>
                    <xdr:col>2</xdr:col>
                    <xdr:colOff>441960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3</xdr:col>
                    <xdr:colOff>7620</xdr:colOff>
                    <xdr:row>39</xdr:row>
                    <xdr:rowOff>175260</xdr:rowOff>
                  </from>
                  <to>
                    <xdr:col>6</xdr:col>
                    <xdr:colOff>121920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6" name="Check Box 9">
              <controlPr defaultSize="0" autoFill="0" autoLine="0" autoPict="0">
                <anchor moveWithCells="1">
                  <from>
                    <xdr:col>1</xdr:col>
                    <xdr:colOff>7620</xdr:colOff>
                    <xdr:row>41</xdr:row>
                    <xdr:rowOff>182880</xdr:rowOff>
                  </from>
                  <to>
                    <xdr:col>2</xdr:col>
                    <xdr:colOff>464820</xdr:colOff>
                    <xdr:row>43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7" name="Check Box 10">
              <controlPr defaultSize="0" autoFill="0" autoLine="0" autoPict="0">
                <anchor moveWithCells="1">
                  <from>
                    <xdr:col>3</xdr:col>
                    <xdr:colOff>7620</xdr:colOff>
                    <xdr:row>42</xdr:row>
                    <xdr:rowOff>0</xdr:rowOff>
                  </from>
                  <to>
                    <xdr:col>4</xdr:col>
                    <xdr:colOff>373380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8" name="Check Box 11">
              <controlPr defaultSize="0" autoFill="0" autoLine="0" autoPict="0">
                <anchor moveWithCells="1">
                  <from>
                    <xdr:col>4</xdr:col>
                    <xdr:colOff>480060</xdr:colOff>
                    <xdr:row>42</xdr:row>
                    <xdr:rowOff>0</xdr:rowOff>
                  </from>
                  <to>
                    <xdr:col>6</xdr:col>
                    <xdr:colOff>381000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9" name="Check Box 12">
              <controlPr defaultSize="0" autoFill="0" autoLine="0" autoPict="0">
                <anchor moveWithCells="1">
                  <from>
                    <xdr:col>6</xdr:col>
                    <xdr:colOff>480060</xdr:colOff>
                    <xdr:row>42</xdr:row>
                    <xdr:rowOff>0</xdr:rowOff>
                  </from>
                  <to>
                    <xdr:col>8</xdr:col>
                    <xdr:colOff>571500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0" name="Check Box 13">
              <controlPr defaultSize="0" autoFill="0" autoLine="0" autoPict="0">
                <anchor moveWithCells="1">
                  <from>
                    <xdr:col>1</xdr:col>
                    <xdr:colOff>7620</xdr:colOff>
                    <xdr:row>42</xdr:row>
                    <xdr:rowOff>182880</xdr:rowOff>
                  </from>
                  <to>
                    <xdr:col>2</xdr:col>
                    <xdr:colOff>464820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1" name="Check Box 14">
              <controlPr defaultSize="0" autoFill="0" autoLine="0" autoPict="0">
                <anchor moveWithCells="1">
                  <from>
                    <xdr:col>3</xdr:col>
                    <xdr:colOff>7620</xdr:colOff>
                    <xdr:row>43</xdr:row>
                    <xdr:rowOff>0</xdr:rowOff>
                  </from>
                  <to>
                    <xdr:col>4</xdr:col>
                    <xdr:colOff>373380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2" name="Check Box 15">
              <controlPr defaultSize="0" autoFill="0" autoLine="0" autoPict="0">
                <anchor moveWithCells="1">
                  <from>
                    <xdr:col>4</xdr:col>
                    <xdr:colOff>480060</xdr:colOff>
                    <xdr:row>43</xdr:row>
                    <xdr:rowOff>0</xdr:rowOff>
                  </from>
                  <to>
                    <xdr:col>6</xdr:col>
                    <xdr:colOff>381000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3" name="Check Box 16">
              <controlPr defaultSize="0" autoFill="0" autoLine="0" autoPict="0">
                <anchor moveWithCells="1">
                  <from>
                    <xdr:col>6</xdr:col>
                    <xdr:colOff>480060</xdr:colOff>
                    <xdr:row>43</xdr:row>
                    <xdr:rowOff>0</xdr:rowOff>
                  </from>
                  <to>
                    <xdr:col>8</xdr:col>
                    <xdr:colOff>571500</xdr:colOff>
                    <xdr:row>44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34</vt:i4>
      </vt:variant>
      <vt:variant>
        <vt:lpstr>Pomenované rozsahy</vt:lpstr>
      </vt:variant>
      <vt:variant>
        <vt:i4>1</vt:i4>
      </vt:variant>
    </vt:vector>
  </HeadingPairs>
  <TitlesOfParts>
    <vt:vector size="35" baseType="lpstr">
      <vt:lpstr>Popis</vt:lpstr>
      <vt:lpstr>Suvaha_BO</vt:lpstr>
      <vt:lpstr>Suvaha_PO</vt:lpstr>
      <vt:lpstr>HK_BO</vt:lpstr>
      <vt:lpstr>HK_PO</vt:lpstr>
      <vt:lpstr>OPO_BO</vt:lpstr>
      <vt:lpstr>OPO_PO</vt:lpstr>
      <vt:lpstr>Uvod</vt:lpstr>
      <vt:lpstr>A.</vt:lpstr>
      <vt:lpstr>B.</vt:lpstr>
      <vt:lpstr>C. D.</vt:lpstr>
      <vt:lpstr>E.</vt:lpstr>
      <vt:lpstr>F. a) 1)</vt:lpstr>
      <vt:lpstr>F. a) 2)</vt:lpstr>
      <vt:lpstr>F. b) - h)</vt:lpstr>
      <vt:lpstr>F. i)</vt:lpstr>
      <vt:lpstr>F. j)</vt:lpstr>
      <vt:lpstr>F. j) - m)</vt:lpstr>
      <vt:lpstr>F.n) - p)</vt:lpstr>
      <vt:lpstr>F.q)</vt:lpstr>
      <vt:lpstr>F.r)</vt:lpstr>
      <vt:lpstr>F.w)-z)</vt:lpstr>
      <vt:lpstr>G.a)-b)</vt:lpstr>
      <vt:lpstr>G.c)-i)</vt:lpstr>
      <vt:lpstr>G.j)-m)</vt:lpstr>
      <vt:lpstr>H.</vt:lpstr>
      <vt:lpstr>I.</vt:lpstr>
      <vt:lpstr>J.</vt:lpstr>
      <vt:lpstr>K.</vt:lpstr>
      <vt:lpstr>L.</vt:lpstr>
      <vt:lpstr>M.</vt:lpstr>
      <vt:lpstr>N.</vt:lpstr>
      <vt:lpstr>O.</vt:lpstr>
      <vt:lpstr>P.</vt:lpstr>
      <vt:lpstr>E.!Oblasť_tlače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Štrocholec Dušan</dc:creator>
  <cp:lastModifiedBy>Mária Hanková</cp:lastModifiedBy>
  <cp:lastPrinted>2018-03-29T05:43:00Z</cp:lastPrinted>
  <dcterms:created xsi:type="dcterms:W3CDTF">2011-12-30T16:41:12Z</dcterms:created>
  <dcterms:modified xsi:type="dcterms:W3CDTF">2018-05-12T18:27:56Z</dcterms:modified>
</cp:coreProperties>
</file>