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24226"/>
  <bookViews>
    <workbookView xWindow="0" yWindow="0" windowWidth="28800" windowHeight="12315" tabRatio="948" firstSheet="55" activeTab="60"/>
  </bookViews>
  <sheets>
    <sheet name="Input data" sheetId="69" r:id="rId1"/>
    <sheet name="VYSVETLIVKY" sheetId="51" r:id="rId2"/>
    <sheet name="1" sheetId="1" state="hidden" r:id="rId3"/>
    <sheet name="2" sheetId="4" state="hidden" r:id="rId4"/>
    <sheet name="2_tabulka 2" sheetId="52" state="hidden" r:id="rId5"/>
    <sheet name="3" sheetId="5" state="hidden" r:id="rId6"/>
    <sheet name="4" sheetId="6" state="hidden" r:id="rId7"/>
    <sheet name="5" sheetId="7" state="hidden" r:id="rId8"/>
    <sheet name="6" sheetId="8" state="hidden" r:id="rId9"/>
    <sheet name="7" sheetId="9" state="hidden" r:id="rId10"/>
    <sheet name="8" sheetId="10" state="hidden" r:id="rId11"/>
    <sheet name="9" sheetId="11" state="hidden" r:id="rId12"/>
    <sheet name="10" sheetId="12" state="hidden" r:id="rId13"/>
    <sheet name="11" sheetId="13" state="hidden" r:id="rId14"/>
    <sheet name="12" sheetId="14" state="hidden" r:id="rId15"/>
    <sheet name="12_tabulka c.2" sheetId="53" state="hidden" r:id="rId16"/>
    <sheet name="13" sheetId="15" state="hidden" r:id="rId17"/>
    <sheet name="14_tabulka 1 a 3" sheetId="56" state="hidden" r:id="rId18"/>
    <sheet name="14_tabulka 2 a 4" sheetId="57" state="hidden" r:id="rId19"/>
    <sheet name="15" sheetId="17" state="hidden" r:id="rId20"/>
    <sheet name="16" sheetId="18" state="hidden" r:id="rId21"/>
    <sheet name="16_tabulka c.2" sheetId="54" state="hidden" r:id="rId22"/>
    <sheet name="17" sheetId="19" state="hidden" r:id="rId23"/>
    <sheet name="18" sheetId="20" state="hidden" r:id="rId24"/>
    <sheet name="18_tabulka c.2" sheetId="55" state="hidden" r:id="rId25"/>
    <sheet name="19" sheetId="21" state="hidden" r:id="rId26"/>
    <sheet name="20" sheetId="22" state="hidden" r:id="rId27"/>
    <sheet name="21" sheetId="23" state="hidden" r:id="rId28"/>
    <sheet name="22" sheetId="24" state="hidden" r:id="rId29"/>
    <sheet name="23" sheetId="25" state="hidden" r:id="rId30"/>
    <sheet name="24" sheetId="26" state="hidden" r:id="rId31"/>
    <sheet name="24_tabulky 3 a 4" sheetId="50" state="hidden" r:id="rId32"/>
    <sheet name="25" sheetId="27" state="hidden" r:id="rId33"/>
    <sheet name="26" sheetId="28" state="hidden" r:id="rId34"/>
    <sheet name="27" sheetId="30" state="hidden" r:id="rId35"/>
    <sheet name="28" sheetId="31" state="hidden" r:id="rId36"/>
    <sheet name="29" sheetId="32" state="hidden" r:id="rId37"/>
    <sheet name="30" sheetId="29" state="hidden" r:id="rId38"/>
    <sheet name="31" sheetId="33" state="hidden" r:id="rId39"/>
    <sheet name="32" sheetId="34" state="hidden" r:id="rId40"/>
    <sheet name="32_tabulka 2" sheetId="59" state="hidden" r:id="rId41"/>
    <sheet name="33" sheetId="35" state="hidden" r:id="rId42"/>
    <sheet name="34" sheetId="36" state="hidden" r:id="rId43"/>
    <sheet name="42" sheetId="44" state="hidden" r:id="rId44"/>
    <sheet name="43" sheetId="45" state="hidden" r:id="rId45"/>
    <sheet name="44" sheetId="46" state="hidden" r:id="rId46"/>
    <sheet name="35" sheetId="37" state="hidden" r:id="rId47"/>
    <sheet name="36" sheetId="38" state="hidden" r:id="rId48"/>
    <sheet name="37" sheetId="39" state="hidden" r:id="rId49"/>
    <sheet name="38" sheetId="40" state="hidden" r:id="rId50"/>
    <sheet name="39" sheetId="41" state="hidden" r:id="rId51"/>
    <sheet name="40" sheetId="42" state="hidden" r:id="rId52"/>
    <sheet name="41" sheetId="43" state="hidden" r:id="rId53"/>
    <sheet name="45" sheetId="47" state="hidden" r:id="rId54"/>
    <sheet name="46" sheetId="48" state="hidden" r:id="rId55"/>
    <sheet name="BS" sheetId="89" r:id="rId56"/>
    <sheet name="P&amp;L" sheetId="90" r:id="rId57"/>
    <sheet name="SK Cover sheet" sheetId="65" r:id="rId58"/>
    <sheet name="BS-SK Statutory" sheetId="91" r:id="rId59"/>
    <sheet name="IS-SK Statutory " sheetId="92" r:id="rId60"/>
    <sheet name="Notes- SK Template" sheetId="71" r:id="rId61"/>
    <sheet name="BS old" sheetId="60" state="hidden" r:id="rId62"/>
    <sheet name="P&amp;L old" sheetId="61" state="hidden" r:id="rId63"/>
    <sheet name="Notes-SK Cover sheet" sheetId="85" state="hidden" r:id="rId64"/>
    <sheet name="BS-SK Statutory old" sheetId="66" state="hidden" r:id="rId65"/>
    <sheet name="IS-SK Statutoryold " sheetId="68" state="hidden" r:id="rId66"/>
    <sheet name="IS-SK Cover sheet" sheetId="67" state="hidden" r:id="rId67"/>
    <sheet name="Cash Flow SK" sheetId="62" r:id="rId68"/>
    <sheet name="E_Cover sheet" sheetId="93" r:id="rId69"/>
    <sheet name="BS-E Cover sheet" sheetId="72" state="hidden" r:id="rId70"/>
    <sheet name="BS-E Statutory" sheetId="99" r:id="rId71"/>
    <sheet name="BS- E Statutory" sheetId="78" state="hidden" r:id="rId72"/>
    <sheet name="IS-E Cover sheet" sheetId="75" state="hidden" r:id="rId73"/>
    <sheet name="IS-E Statutory" sheetId="95" r:id="rId74"/>
    <sheet name="IS-E Statutory m" sheetId="76" state="hidden" r:id="rId75"/>
    <sheet name="Notes-E Cover sheet" sheetId="87" state="hidden" r:id="rId76"/>
    <sheet name="Notes - E Template" sheetId="86" r:id="rId77"/>
    <sheet name="Cash Flow (ENG)" sheetId="88" r:id="rId78"/>
    <sheet name="G-Cover sheet" sheetId="96" state="hidden" r:id="rId79"/>
    <sheet name="BS-G Cover sheet" sheetId="83" state="hidden" r:id="rId80"/>
    <sheet name="BS - G Statutoryo" sheetId="80" state="hidden" r:id="rId81"/>
    <sheet name="IS-G Cover sheet" sheetId="84" state="hidden" r:id="rId82"/>
    <sheet name="BS-G Statutory" sheetId="101" state="hidden" r:id="rId83"/>
    <sheet name="IS-G Statutory" sheetId="103" state="hidden" r:id="rId84"/>
  </sheets>
  <externalReferences>
    <externalReference r:id="rId85"/>
  </externalReferences>
  <definedNames>
    <definedName name="_Fill" localSheetId="55" hidden="1">#REF!</definedName>
    <definedName name="_Fill" localSheetId="80" hidden="1">#REF!</definedName>
    <definedName name="_Fill" localSheetId="70" hidden="1">#REF!</definedName>
    <definedName name="_Fill" localSheetId="79" hidden="1">#REF!</definedName>
    <definedName name="_Fill" localSheetId="82" hidden="1">#REF!</definedName>
    <definedName name="_Fill" localSheetId="58" hidden="1">#REF!</definedName>
    <definedName name="_Fill" localSheetId="64" hidden="1">#REF!</definedName>
    <definedName name="_Fill" localSheetId="68" hidden="1">#REF!</definedName>
    <definedName name="_Fill" localSheetId="78" hidden="1">#REF!</definedName>
    <definedName name="_Fill" localSheetId="0" hidden="1">#REF!</definedName>
    <definedName name="_Fill" localSheetId="73" hidden="1">#REF!</definedName>
    <definedName name="_Fill" localSheetId="81" hidden="1">#REF!</definedName>
    <definedName name="_Fill" localSheetId="83" hidden="1">#REF!</definedName>
    <definedName name="_Fill" localSheetId="66" hidden="1">#REF!</definedName>
    <definedName name="_Fill" localSheetId="59" hidden="1">#REF!</definedName>
    <definedName name="_Fill" localSheetId="65" hidden="1">#REF!</definedName>
    <definedName name="_Fill" localSheetId="76" hidden="1">#REF!</definedName>
    <definedName name="_Fill" localSheetId="63" hidden="1">#REF!</definedName>
    <definedName name="_Fill" localSheetId="56" hidden="1">#REF!</definedName>
    <definedName name="_Fill" localSheetId="57" hidden="1">#REF!</definedName>
    <definedName name="_Fill" hidden="1">#REF!</definedName>
    <definedName name="_xlnm._FilterDatabase" localSheetId="55" hidden="1">BS!$A$91:$F$161</definedName>
    <definedName name="_Toc474124192" localSheetId="76">'Notes - E Template'!$D$77</definedName>
    <definedName name="_Toc474124192" localSheetId="60">'Notes- SK Template'!$D$73</definedName>
    <definedName name="ARA_Threshold" localSheetId="55">#REF!</definedName>
    <definedName name="ARA_Threshold" localSheetId="70">#REF!</definedName>
    <definedName name="ARA_Threshold" localSheetId="82">#REF!</definedName>
    <definedName name="ARA_Threshold" localSheetId="58">#REF!</definedName>
    <definedName name="ARA_Threshold" localSheetId="68">#REF!</definedName>
    <definedName name="ARA_Threshold" localSheetId="78">#REF!</definedName>
    <definedName name="ARA_Threshold" localSheetId="73">#REF!</definedName>
    <definedName name="ARA_Threshold" localSheetId="83">#REF!</definedName>
    <definedName name="ARA_Threshold" localSheetId="59">#REF!</definedName>
    <definedName name="ARA_Threshold" localSheetId="56">#REF!</definedName>
    <definedName name="ARA_Threshold">#REF!</definedName>
    <definedName name="ARP_Threshold" localSheetId="55">#REF!</definedName>
    <definedName name="ARP_Threshold" localSheetId="70">#REF!</definedName>
    <definedName name="ARP_Threshold" localSheetId="82">#REF!</definedName>
    <definedName name="ARP_Threshold" localSheetId="58">#REF!</definedName>
    <definedName name="ARP_Threshold" localSheetId="68">#REF!</definedName>
    <definedName name="ARP_Threshold" localSheetId="78">#REF!</definedName>
    <definedName name="ARP_Threshold" localSheetId="73">#REF!</definedName>
    <definedName name="ARP_Threshold" localSheetId="83">#REF!</definedName>
    <definedName name="ARP_Threshold" localSheetId="59">#REF!</definedName>
    <definedName name="ARP_Threshold" localSheetId="56">#REF!</definedName>
    <definedName name="ARP_Threshold">#REF!</definedName>
    <definedName name="AS2DocOpenMode" hidden="1">"AS2DocumentEdit"</definedName>
    <definedName name="cisla2lo">[1]Sheet1!$D$4:$E$66</definedName>
    <definedName name="cislalo">[1]Sheet1!$E$5:$J$45,[1]Sheet1!$E$50:$J$69,[1]Sheet1!$G$75:$J$88,[1]Sheet1!$G$92:$J$128</definedName>
    <definedName name="ClientName">[1]Sheet2!$F$5</definedName>
    <definedName name="CY_Accounts_Receivable" localSheetId="55">#REF!</definedName>
    <definedName name="CY_Accounts_Receivable" localSheetId="70">#REF!</definedName>
    <definedName name="CY_Accounts_Receivable" localSheetId="82">#REF!</definedName>
    <definedName name="CY_Accounts_Receivable" localSheetId="58">#REF!</definedName>
    <definedName name="CY_Accounts_Receivable" localSheetId="68">#REF!</definedName>
    <definedName name="CY_Accounts_Receivable" localSheetId="78">#REF!</definedName>
    <definedName name="CY_Accounts_Receivable" localSheetId="73">#REF!</definedName>
    <definedName name="CY_Accounts_Receivable" localSheetId="83">#REF!</definedName>
    <definedName name="CY_Accounts_Receivable" localSheetId="59">#REF!</definedName>
    <definedName name="CY_Accounts_Receivable" localSheetId="56">#REF!</definedName>
    <definedName name="CY_Accounts_Receivable">#REF!</definedName>
    <definedName name="CY_Administration" localSheetId="55">#REF!</definedName>
    <definedName name="CY_Administration" localSheetId="70">#REF!</definedName>
    <definedName name="CY_Administration" localSheetId="82">#REF!</definedName>
    <definedName name="CY_Administration" localSheetId="58">#REF!</definedName>
    <definedName name="CY_Administration" localSheetId="68">#REF!</definedName>
    <definedName name="CY_Administration" localSheetId="78">#REF!</definedName>
    <definedName name="CY_Administration" localSheetId="73">#REF!</definedName>
    <definedName name="CY_Administration" localSheetId="83">#REF!</definedName>
    <definedName name="CY_Administration" localSheetId="59">#REF!</definedName>
    <definedName name="CY_Administration" localSheetId="56">#REF!</definedName>
    <definedName name="CY_Administration">#REF!</definedName>
    <definedName name="CY_Cash" localSheetId="55">#REF!</definedName>
    <definedName name="CY_Cash" localSheetId="70">#REF!</definedName>
    <definedName name="CY_Cash" localSheetId="82">#REF!</definedName>
    <definedName name="CY_Cash" localSheetId="58">#REF!</definedName>
    <definedName name="CY_Cash" localSheetId="68">#REF!</definedName>
    <definedName name="CY_Cash" localSheetId="78">#REF!</definedName>
    <definedName name="CY_Cash" localSheetId="73">#REF!</definedName>
    <definedName name="CY_Cash" localSheetId="83">#REF!</definedName>
    <definedName name="CY_Cash" localSheetId="59">#REF!</definedName>
    <definedName name="CY_Cash" localSheetId="56">#REF!</definedName>
    <definedName name="CY_Cash">#REF!</definedName>
    <definedName name="CY_Common_Equity" localSheetId="55">#REF!</definedName>
    <definedName name="CY_Common_Equity" localSheetId="70">#REF!</definedName>
    <definedName name="CY_Common_Equity" localSheetId="82">#REF!</definedName>
    <definedName name="CY_Common_Equity" localSheetId="58">#REF!</definedName>
    <definedName name="CY_Common_Equity" localSheetId="68">#REF!</definedName>
    <definedName name="CY_Common_Equity" localSheetId="78">#REF!</definedName>
    <definedName name="CY_Common_Equity" localSheetId="73">#REF!</definedName>
    <definedName name="CY_Common_Equity" localSheetId="83">#REF!</definedName>
    <definedName name="CY_Common_Equity" localSheetId="59">#REF!</definedName>
    <definedName name="CY_Common_Equity" localSheetId="56">#REF!</definedName>
    <definedName name="CY_Common_Equity">#REF!</definedName>
    <definedName name="CY_Cost_of_Sales" localSheetId="55">#REF!</definedName>
    <definedName name="CY_Cost_of_Sales" localSheetId="70">#REF!</definedName>
    <definedName name="CY_Cost_of_Sales" localSheetId="82">#REF!</definedName>
    <definedName name="CY_Cost_of_Sales" localSheetId="58">#REF!</definedName>
    <definedName name="CY_Cost_of_Sales" localSheetId="68">#REF!</definedName>
    <definedName name="CY_Cost_of_Sales" localSheetId="78">#REF!</definedName>
    <definedName name="CY_Cost_of_Sales" localSheetId="73">#REF!</definedName>
    <definedName name="CY_Cost_of_Sales" localSheetId="83">#REF!</definedName>
    <definedName name="CY_Cost_of_Sales" localSheetId="59">#REF!</definedName>
    <definedName name="CY_Cost_of_Sales" localSheetId="56">#REF!</definedName>
    <definedName name="CY_Cost_of_Sales">#REF!</definedName>
    <definedName name="CY_Current_Liabilities" localSheetId="55">#REF!</definedName>
    <definedName name="CY_Current_Liabilities" localSheetId="70">#REF!</definedName>
    <definedName name="CY_Current_Liabilities" localSheetId="82">#REF!</definedName>
    <definedName name="CY_Current_Liabilities" localSheetId="58">#REF!</definedName>
    <definedName name="CY_Current_Liabilities" localSheetId="68">#REF!</definedName>
    <definedName name="CY_Current_Liabilities" localSheetId="78">#REF!</definedName>
    <definedName name="CY_Current_Liabilities" localSheetId="73">#REF!</definedName>
    <definedName name="CY_Current_Liabilities" localSheetId="83">#REF!</definedName>
    <definedName name="CY_Current_Liabilities" localSheetId="59">#REF!</definedName>
    <definedName name="CY_Current_Liabilities" localSheetId="56">#REF!</definedName>
    <definedName name="CY_Current_Liabilities">#REF!</definedName>
    <definedName name="CY_Depreciation" localSheetId="55">#REF!</definedName>
    <definedName name="CY_Depreciation" localSheetId="70">#REF!</definedName>
    <definedName name="CY_Depreciation" localSheetId="82">#REF!</definedName>
    <definedName name="CY_Depreciation" localSheetId="58">#REF!</definedName>
    <definedName name="CY_Depreciation" localSheetId="68">#REF!</definedName>
    <definedName name="CY_Depreciation" localSheetId="78">#REF!</definedName>
    <definedName name="CY_Depreciation" localSheetId="73">#REF!</definedName>
    <definedName name="CY_Depreciation" localSheetId="83">#REF!</definedName>
    <definedName name="CY_Depreciation" localSheetId="59">#REF!</definedName>
    <definedName name="CY_Depreciation" localSheetId="56">#REF!</definedName>
    <definedName name="CY_Depreciation">#REF!</definedName>
    <definedName name="CY_Gross_Profit" localSheetId="55">#REF!</definedName>
    <definedName name="CY_Gross_Profit" localSheetId="70">#REF!</definedName>
    <definedName name="CY_Gross_Profit" localSheetId="82">#REF!</definedName>
    <definedName name="CY_Gross_Profit" localSheetId="58">#REF!</definedName>
    <definedName name="CY_Gross_Profit" localSheetId="68">#REF!</definedName>
    <definedName name="CY_Gross_Profit" localSheetId="78">#REF!</definedName>
    <definedName name="CY_Gross_Profit" localSheetId="73">#REF!</definedName>
    <definedName name="CY_Gross_Profit" localSheetId="83">#REF!</definedName>
    <definedName name="CY_Gross_Profit" localSheetId="59">#REF!</definedName>
    <definedName name="CY_Gross_Profit" localSheetId="56">#REF!</definedName>
    <definedName name="CY_Gross_Profit">#REF!</definedName>
    <definedName name="CY_Inc_Bef_Tax" localSheetId="55">#REF!</definedName>
    <definedName name="CY_Inc_Bef_Tax" localSheetId="70">#REF!</definedName>
    <definedName name="CY_Inc_Bef_Tax" localSheetId="82">#REF!</definedName>
    <definedName name="CY_Inc_Bef_Tax" localSheetId="58">#REF!</definedName>
    <definedName name="CY_Inc_Bef_Tax" localSheetId="68">#REF!</definedName>
    <definedName name="CY_Inc_Bef_Tax" localSheetId="78">#REF!</definedName>
    <definedName name="CY_Inc_Bef_Tax" localSheetId="73">#REF!</definedName>
    <definedName name="CY_Inc_Bef_Tax" localSheetId="83">#REF!</definedName>
    <definedName name="CY_Inc_Bef_Tax" localSheetId="59">#REF!</definedName>
    <definedName name="CY_Inc_Bef_Tax" localSheetId="56">#REF!</definedName>
    <definedName name="CY_Inc_Bef_Tax">#REF!</definedName>
    <definedName name="CY_Intangible_Assets" localSheetId="55">#REF!</definedName>
    <definedName name="CY_Intangible_Assets" localSheetId="70">#REF!</definedName>
    <definedName name="CY_Intangible_Assets" localSheetId="82">#REF!</definedName>
    <definedName name="CY_Intangible_Assets" localSheetId="58">#REF!</definedName>
    <definedName name="CY_Intangible_Assets" localSheetId="68">#REF!</definedName>
    <definedName name="CY_Intangible_Assets" localSheetId="78">#REF!</definedName>
    <definedName name="CY_Intangible_Assets" localSheetId="73">#REF!</definedName>
    <definedName name="CY_Intangible_Assets" localSheetId="83">#REF!</definedName>
    <definedName name="CY_Intangible_Assets" localSheetId="59">#REF!</definedName>
    <definedName name="CY_Intangible_Assets" localSheetId="56">#REF!</definedName>
    <definedName name="CY_Intangible_Assets">#REF!</definedName>
    <definedName name="CY_Interest_Expense" localSheetId="55">#REF!</definedName>
    <definedName name="CY_Interest_Expense" localSheetId="70">#REF!</definedName>
    <definedName name="CY_Interest_Expense" localSheetId="82">#REF!</definedName>
    <definedName name="CY_Interest_Expense" localSheetId="58">#REF!</definedName>
    <definedName name="CY_Interest_Expense" localSheetId="68">#REF!</definedName>
    <definedName name="CY_Interest_Expense" localSheetId="78">#REF!</definedName>
    <definedName name="CY_Interest_Expense" localSheetId="73">#REF!</definedName>
    <definedName name="CY_Interest_Expense" localSheetId="83">#REF!</definedName>
    <definedName name="CY_Interest_Expense" localSheetId="59">#REF!</definedName>
    <definedName name="CY_Interest_Expense" localSheetId="56">#REF!</definedName>
    <definedName name="CY_Interest_Expense">#REF!</definedName>
    <definedName name="CY_Inventory" localSheetId="55">#REF!</definedName>
    <definedName name="CY_Inventory" localSheetId="70">#REF!</definedName>
    <definedName name="CY_Inventory" localSheetId="82">#REF!</definedName>
    <definedName name="CY_Inventory" localSheetId="58">#REF!</definedName>
    <definedName name="CY_Inventory" localSheetId="68">#REF!</definedName>
    <definedName name="CY_Inventory" localSheetId="78">#REF!</definedName>
    <definedName name="CY_Inventory" localSheetId="73">#REF!</definedName>
    <definedName name="CY_Inventory" localSheetId="83">#REF!</definedName>
    <definedName name="CY_Inventory" localSheetId="59">#REF!</definedName>
    <definedName name="CY_Inventory" localSheetId="56">#REF!</definedName>
    <definedName name="CY_Inventory">#REF!</definedName>
    <definedName name="CY_LIABIL_EQUITY" localSheetId="55">#REF!</definedName>
    <definedName name="CY_LIABIL_EQUITY" localSheetId="70">#REF!</definedName>
    <definedName name="CY_LIABIL_EQUITY" localSheetId="82">#REF!</definedName>
    <definedName name="CY_LIABIL_EQUITY" localSheetId="58">#REF!</definedName>
    <definedName name="CY_LIABIL_EQUITY" localSheetId="68">#REF!</definedName>
    <definedName name="CY_LIABIL_EQUITY" localSheetId="78">#REF!</definedName>
    <definedName name="CY_LIABIL_EQUITY" localSheetId="73">#REF!</definedName>
    <definedName name="CY_LIABIL_EQUITY" localSheetId="83">#REF!</definedName>
    <definedName name="CY_LIABIL_EQUITY" localSheetId="59">#REF!</definedName>
    <definedName name="CY_LIABIL_EQUITY" localSheetId="56">#REF!</definedName>
    <definedName name="CY_LIABIL_EQUITY">#REF!</definedName>
    <definedName name="CY_LT_Debt" localSheetId="55">#REF!</definedName>
    <definedName name="CY_LT_Debt" localSheetId="70">#REF!</definedName>
    <definedName name="CY_LT_Debt" localSheetId="82">#REF!</definedName>
    <definedName name="CY_LT_Debt" localSheetId="58">#REF!</definedName>
    <definedName name="CY_LT_Debt" localSheetId="68">#REF!</definedName>
    <definedName name="CY_LT_Debt" localSheetId="78">#REF!</definedName>
    <definedName name="CY_LT_Debt" localSheetId="73">#REF!</definedName>
    <definedName name="CY_LT_Debt" localSheetId="83">#REF!</definedName>
    <definedName name="CY_LT_Debt" localSheetId="59">#REF!</definedName>
    <definedName name="CY_LT_Debt" localSheetId="56">#REF!</definedName>
    <definedName name="CY_LT_Debt">#REF!</definedName>
    <definedName name="CY_Market_Value_of_Equity" localSheetId="55">#REF!</definedName>
    <definedName name="CY_Market_Value_of_Equity" localSheetId="70">#REF!</definedName>
    <definedName name="CY_Market_Value_of_Equity" localSheetId="82">#REF!</definedName>
    <definedName name="CY_Market_Value_of_Equity" localSheetId="58">#REF!</definedName>
    <definedName name="CY_Market_Value_of_Equity" localSheetId="68">#REF!</definedName>
    <definedName name="CY_Market_Value_of_Equity" localSheetId="78">#REF!</definedName>
    <definedName name="CY_Market_Value_of_Equity" localSheetId="73">#REF!</definedName>
    <definedName name="CY_Market_Value_of_Equity" localSheetId="83">#REF!</definedName>
    <definedName name="CY_Market_Value_of_Equity" localSheetId="59">#REF!</definedName>
    <definedName name="CY_Market_Value_of_Equity" localSheetId="56">#REF!</definedName>
    <definedName name="CY_Market_Value_of_Equity">#REF!</definedName>
    <definedName name="CY_Marketable_Sec" localSheetId="55">#REF!</definedName>
    <definedName name="CY_Marketable_Sec" localSheetId="70">#REF!</definedName>
    <definedName name="CY_Marketable_Sec" localSheetId="82">#REF!</definedName>
    <definedName name="CY_Marketable_Sec" localSheetId="58">#REF!</definedName>
    <definedName name="CY_Marketable_Sec" localSheetId="68">#REF!</definedName>
    <definedName name="CY_Marketable_Sec" localSheetId="78">#REF!</definedName>
    <definedName name="CY_Marketable_Sec" localSheetId="73">#REF!</definedName>
    <definedName name="CY_Marketable_Sec" localSheetId="83">#REF!</definedName>
    <definedName name="CY_Marketable_Sec" localSheetId="59">#REF!</definedName>
    <definedName name="CY_Marketable_Sec" localSheetId="56">#REF!</definedName>
    <definedName name="CY_Marketable_Sec">#REF!</definedName>
    <definedName name="CY_NET_PROFIT" localSheetId="55">#REF!</definedName>
    <definedName name="CY_NET_PROFIT" localSheetId="70">#REF!</definedName>
    <definedName name="CY_NET_PROFIT" localSheetId="82">#REF!</definedName>
    <definedName name="CY_NET_PROFIT" localSheetId="58">#REF!</definedName>
    <definedName name="CY_NET_PROFIT" localSheetId="68">#REF!</definedName>
    <definedName name="CY_NET_PROFIT" localSheetId="78">#REF!</definedName>
    <definedName name="CY_NET_PROFIT" localSheetId="73">#REF!</definedName>
    <definedName name="CY_NET_PROFIT" localSheetId="83">#REF!</definedName>
    <definedName name="CY_NET_PROFIT" localSheetId="59">#REF!</definedName>
    <definedName name="CY_NET_PROFIT" localSheetId="56">#REF!</definedName>
    <definedName name="CY_NET_PROFIT">#REF!</definedName>
    <definedName name="CY_Net_Revenue" localSheetId="55">#REF!</definedName>
    <definedName name="CY_Net_Revenue" localSheetId="70">#REF!</definedName>
    <definedName name="CY_Net_Revenue" localSheetId="82">#REF!</definedName>
    <definedName name="CY_Net_Revenue" localSheetId="58">#REF!</definedName>
    <definedName name="CY_Net_Revenue" localSheetId="68">#REF!</definedName>
    <definedName name="CY_Net_Revenue" localSheetId="78">#REF!</definedName>
    <definedName name="CY_Net_Revenue" localSheetId="73">#REF!</definedName>
    <definedName name="CY_Net_Revenue" localSheetId="83">#REF!</definedName>
    <definedName name="CY_Net_Revenue" localSheetId="59">#REF!</definedName>
    <definedName name="CY_Net_Revenue" localSheetId="56">#REF!</definedName>
    <definedName name="CY_Net_Revenue">#REF!</definedName>
    <definedName name="CY_Operating_Income" localSheetId="55">#REF!</definedName>
    <definedName name="CY_Operating_Income" localSheetId="70">#REF!</definedName>
    <definedName name="CY_Operating_Income" localSheetId="82">#REF!</definedName>
    <definedName name="CY_Operating_Income" localSheetId="58">#REF!</definedName>
    <definedName name="CY_Operating_Income" localSheetId="68">#REF!</definedName>
    <definedName name="CY_Operating_Income" localSheetId="78">#REF!</definedName>
    <definedName name="CY_Operating_Income" localSheetId="73">#REF!</definedName>
    <definedName name="CY_Operating_Income" localSheetId="83">#REF!</definedName>
    <definedName name="CY_Operating_Income" localSheetId="59">#REF!</definedName>
    <definedName name="CY_Operating_Income" localSheetId="56">#REF!</definedName>
    <definedName name="CY_Operating_Income">#REF!</definedName>
    <definedName name="CY_Other" localSheetId="55">#REF!</definedName>
    <definedName name="CY_Other" localSheetId="70">#REF!</definedName>
    <definedName name="CY_Other" localSheetId="82">#REF!</definedName>
    <definedName name="CY_Other" localSheetId="58">#REF!</definedName>
    <definedName name="CY_Other" localSheetId="68">#REF!</definedName>
    <definedName name="CY_Other" localSheetId="78">#REF!</definedName>
    <definedName name="CY_Other" localSheetId="73">#REF!</definedName>
    <definedName name="CY_Other" localSheetId="83">#REF!</definedName>
    <definedName name="CY_Other" localSheetId="59">#REF!</definedName>
    <definedName name="CY_Other" localSheetId="56">#REF!</definedName>
    <definedName name="CY_Other">#REF!</definedName>
    <definedName name="CY_Other_Curr_Assets" localSheetId="55">#REF!</definedName>
    <definedName name="CY_Other_Curr_Assets" localSheetId="70">#REF!</definedName>
    <definedName name="CY_Other_Curr_Assets" localSheetId="82">#REF!</definedName>
    <definedName name="CY_Other_Curr_Assets" localSheetId="58">#REF!</definedName>
    <definedName name="CY_Other_Curr_Assets" localSheetId="68">#REF!</definedName>
    <definedName name="CY_Other_Curr_Assets" localSheetId="78">#REF!</definedName>
    <definedName name="CY_Other_Curr_Assets" localSheetId="73">#REF!</definedName>
    <definedName name="CY_Other_Curr_Assets" localSheetId="83">#REF!</definedName>
    <definedName name="CY_Other_Curr_Assets" localSheetId="59">#REF!</definedName>
    <definedName name="CY_Other_Curr_Assets" localSheetId="56">#REF!</definedName>
    <definedName name="CY_Other_Curr_Assets">#REF!</definedName>
    <definedName name="CY_Other_LT_Assets" localSheetId="55">#REF!</definedName>
    <definedName name="CY_Other_LT_Assets" localSheetId="70">#REF!</definedName>
    <definedName name="CY_Other_LT_Assets" localSheetId="82">#REF!</definedName>
    <definedName name="CY_Other_LT_Assets" localSheetId="58">#REF!</definedName>
    <definedName name="CY_Other_LT_Assets" localSheetId="68">#REF!</definedName>
    <definedName name="CY_Other_LT_Assets" localSheetId="78">#REF!</definedName>
    <definedName name="CY_Other_LT_Assets" localSheetId="73">#REF!</definedName>
    <definedName name="CY_Other_LT_Assets" localSheetId="83">#REF!</definedName>
    <definedName name="CY_Other_LT_Assets" localSheetId="59">#REF!</definedName>
    <definedName name="CY_Other_LT_Assets" localSheetId="56">#REF!</definedName>
    <definedName name="CY_Other_LT_Assets">#REF!</definedName>
    <definedName name="CY_Other_LT_Liabilities" localSheetId="55">#REF!</definedName>
    <definedName name="CY_Other_LT_Liabilities" localSheetId="70">#REF!</definedName>
    <definedName name="CY_Other_LT_Liabilities" localSheetId="82">#REF!</definedName>
    <definedName name="CY_Other_LT_Liabilities" localSheetId="58">#REF!</definedName>
    <definedName name="CY_Other_LT_Liabilities" localSheetId="68">#REF!</definedName>
    <definedName name="CY_Other_LT_Liabilities" localSheetId="78">#REF!</definedName>
    <definedName name="CY_Other_LT_Liabilities" localSheetId="73">#REF!</definedName>
    <definedName name="CY_Other_LT_Liabilities" localSheetId="83">#REF!</definedName>
    <definedName name="CY_Other_LT_Liabilities" localSheetId="59">#REF!</definedName>
    <definedName name="CY_Other_LT_Liabilities" localSheetId="56">#REF!</definedName>
    <definedName name="CY_Other_LT_Liabilities">#REF!</definedName>
    <definedName name="CY_Preferred_Stock" localSheetId="55">#REF!</definedName>
    <definedName name="CY_Preferred_Stock" localSheetId="70">#REF!</definedName>
    <definedName name="CY_Preferred_Stock" localSheetId="82">#REF!</definedName>
    <definedName name="CY_Preferred_Stock" localSheetId="58">#REF!</definedName>
    <definedName name="CY_Preferred_Stock" localSheetId="68">#REF!</definedName>
    <definedName name="CY_Preferred_Stock" localSheetId="78">#REF!</definedName>
    <definedName name="CY_Preferred_Stock" localSheetId="73">#REF!</definedName>
    <definedName name="CY_Preferred_Stock" localSheetId="83">#REF!</definedName>
    <definedName name="CY_Preferred_Stock" localSheetId="59">#REF!</definedName>
    <definedName name="CY_Preferred_Stock" localSheetId="56">#REF!</definedName>
    <definedName name="CY_Preferred_Stock">#REF!</definedName>
    <definedName name="CY_QUICK_ASSETS" localSheetId="55">#REF!</definedName>
    <definedName name="CY_QUICK_ASSETS" localSheetId="70">#REF!</definedName>
    <definedName name="CY_QUICK_ASSETS" localSheetId="82">#REF!</definedName>
    <definedName name="CY_QUICK_ASSETS" localSheetId="58">#REF!</definedName>
    <definedName name="CY_QUICK_ASSETS" localSheetId="68">#REF!</definedName>
    <definedName name="CY_QUICK_ASSETS" localSheetId="78">#REF!</definedName>
    <definedName name="CY_QUICK_ASSETS" localSheetId="73">#REF!</definedName>
    <definedName name="CY_QUICK_ASSETS" localSheetId="83">#REF!</definedName>
    <definedName name="CY_QUICK_ASSETS" localSheetId="59">#REF!</definedName>
    <definedName name="CY_QUICK_ASSETS" localSheetId="56">#REF!</definedName>
    <definedName name="CY_QUICK_ASSETS">#REF!</definedName>
    <definedName name="CY_Retained_Earnings" localSheetId="55">#REF!</definedName>
    <definedName name="CY_Retained_Earnings" localSheetId="70">#REF!</definedName>
    <definedName name="CY_Retained_Earnings" localSheetId="82">#REF!</definedName>
    <definedName name="CY_Retained_Earnings" localSheetId="58">#REF!</definedName>
    <definedName name="CY_Retained_Earnings" localSheetId="68">#REF!</definedName>
    <definedName name="CY_Retained_Earnings" localSheetId="78">#REF!</definedName>
    <definedName name="CY_Retained_Earnings" localSheetId="73">#REF!</definedName>
    <definedName name="CY_Retained_Earnings" localSheetId="83">#REF!</definedName>
    <definedName name="CY_Retained_Earnings" localSheetId="59">#REF!</definedName>
    <definedName name="CY_Retained_Earnings" localSheetId="56">#REF!</definedName>
    <definedName name="CY_Retained_Earnings">#REF!</definedName>
    <definedName name="CY_Selling" localSheetId="55">#REF!</definedName>
    <definedName name="CY_Selling" localSheetId="70">#REF!</definedName>
    <definedName name="CY_Selling" localSheetId="82">#REF!</definedName>
    <definedName name="CY_Selling" localSheetId="58">#REF!</definedName>
    <definedName name="CY_Selling" localSheetId="68">#REF!</definedName>
    <definedName name="CY_Selling" localSheetId="78">#REF!</definedName>
    <definedName name="CY_Selling" localSheetId="73">#REF!</definedName>
    <definedName name="CY_Selling" localSheetId="83">#REF!</definedName>
    <definedName name="CY_Selling" localSheetId="59">#REF!</definedName>
    <definedName name="CY_Selling" localSheetId="56">#REF!</definedName>
    <definedName name="CY_Selling">#REF!</definedName>
    <definedName name="CY_Tangible_Assets" localSheetId="55">#REF!</definedName>
    <definedName name="CY_Tangible_Assets" localSheetId="70">#REF!</definedName>
    <definedName name="CY_Tangible_Assets" localSheetId="82">#REF!</definedName>
    <definedName name="CY_Tangible_Assets" localSheetId="58">#REF!</definedName>
    <definedName name="CY_Tangible_Assets" localSheetId="68">#REF!</definedName>
    <definedName name="CY_Tangible_Assets" localSheetId="78">#REF!</definedName>
    <definedName name="CY_Tangible_Assets" localSheetId="73">#REF!</definedName>
    <definedName name="CY_Tangible_Assets" localSheetId="83">#REF!</definedName>
    <definedName name="CY_Tangible_Assets" localSheetId="59">#REF!</definedName>
    <definedName name="CY_Tangible_Assets" localSheetId="56">#REF!</definedName>
    <definedName name="CY_Tangible_Assets">#REF!</definedName>
    <definedName name="CY_Tangible_Net_Worth" localSheetId="55">#REF!</definedName>
    <definedName name="CY_Tangible_Net_Worth" localSheetId="70">#REF!</definedName>
    <definedName name="CY_Tangible_Net_Worth" localSheetId="82">#REF!</definedName>
    <definedName name="CY_Tangible_Net_Worth" localSheetId="58">#REF!</definedName>
    <definedName name="CY_Tangible_Net_Worth" localSheetId="68">#REF!</definedName>
    <definedName name="CY_Tangible_Net_Worth" localSheetId="78">#REF!</definedName>
    <definedName name="CY_Tangible_Net_Worth" localSheetId="73">#REF!</definedName>
    <definedName name="CY_Tangible_Net_Worth" localSheetId="83">#REF!</definedName>
    <definedName name="CY_Tangible_Net_Worth" localSheetId="59">#REF!</definedName>
    <definedName name="CY_Tangible_Net_Worth" localSheetId="56">#REF!</definedName>
    <definedName name="CY_Tangible_Net_Worth">#REF!</definedName>
    <definedName name="CY_Taxes" localSheetId="55">#REF!</definedName>
    <definedName name="CY_Taxes" localSheetId="70">#REF!</definedName>
    <definedName name="CY_Taxes" localSheetId="82">#REF!</definedName>
    <definedName name="CY_Taxes" localSheetId="58">#REF!</definedName>
    <definedName name="CY_Taxes" localSheetId="68">#REF!</definedName>
    <definedName name="CY_Taxes" localSheetId="78">#REF!</definedName>
    <definedName name="CY_Taxes" localSheetId="73">#REF!</definedName>
    <definedName name="CY_Taxes" localSheetId="83">#REF!</definedName>
    <definedName name="CY_Taxes" localSheetId="59">#REF!</definedName>
    <definedName name="CY_Taxes" localSheetId="56">#REF!</definedName>
    <definedName name="CY_Taxes">#REF!</definedName>
    <definedName name="CY_TOTAL_ASSETS" localSheetId="55">#REF!</definedName>
    <definedName name="CY_TOTAL_ASSETS" localSheetId="70">#REF!</definedName>
    <definedName name="CY_TOTAL_ASSETS" localSheetId="82">#REF!</definedName>
    <definedName name="CY_TOTAL_ASSETS" localSheetId="58">#REF!</definedName>
    <definedName name="CY_TOTAL_ASSETS" localSheetId="68">#REF!</definedName>
    <definedName name="CY_TOTAL_ASSETS" localSheetId="78">#REF!</definedName>
    <definedName name="CY_TOTAL_ASSETS" localSheetId="73">#REF!</definedName>
    <definedName name="CY_TOTAL_ASSETS" localSheetId="83">#REF!</definedName>
    <definedName name="CY_TOTAL_ASSETS" localSheetId="59">#REF!</definedName>
    <definedName name="CY_TOTAL_ASSETS" localSheetId="56">#REF!</definedName>
    <definedName name="CY_TOTAL_ASSETS">#REF!</definedName>
    <definedName name="CY_TOTAL_CURR_ASSETS" localSheetId="55">#REF!</definedName>
    <definedName name="CY_TOTAL_CURR_ASSETS" localSheetId="70">#REF!</definedName>
    <definedName name="CY_TOTAL_CURR_ASSETS" localSheetId="82">#REF!</definedName>
    <definedName name="CY_TOTAL_CURR_ASSETS" localSheetId="58">#REF!</definedName>
    <definedName name="CY_TOTAL_CURR_ASSETS" localSheetId="68">#REF!</definedName>
    <definedName name="CY_TOTAL_CURR_ASSETS" localSheetId="78">#REF!</definedName>
    <definedName name="CY_TOTAL_CURR_ASSETS" localSheetId="73">#REF!</definedName>
    <definedName name="CY_TOTAL_CURR_ASSETS" localSheetId="83">#REF!</definedName>
    <definedName name="CY_TOTAL_CURR_ASSETS" localSheetId="59">#REF!</definedName>
    <definedName name="CY_TOTAL_CURR_ASSETS" localSheetId="56">#REF!</definedName>
    <definedName name="CY_TOTAL_CURR_ASSETS">#REF!</definedName>
    <definedName name="CY_TOTAL_DEBT" localSheetId="55">#REF!</definedName>
    <definedName name="CY_TOTAL_DEBT" localSheetId="70">#REF!</definedName>
    <definedName name="CY_TOTAL_DEBT" localSheetId="82">#REF!</definedName>
    <definedName name="CY_TOTAL_DEBT" localSheetId="58">#REF!</definedName>
    <definedName name="CY_TOTAL_DEBT" localSheetId="68">#REF!</definedName>
    <definedName name="CY_TOTAL_DEBT" localSheetId="78">#REF!</definedName>
    <definedName name="CY_TOTAL_DEBT" localSheetId="73">#REF!</definedName>
    <definedName name="CY_TOTAL_DEBT" localSheetId="83">#REF!</definedName>
    <definedName name="CY_TOTAL_DEBT" localSheetId="59">#REF!</definedName>
    <definedName name="CY_TOTAL_DEBT" localSheetId="56">#REF!</definedName>
    <definedName name="CY_TOTAL_DEBT">#REF!</definedName>
    <definedName name="CY_TOTAL_EQUITY" localSheetId="55">#REF!</definedName>
    <definedName name="CY_TOTAL_EQUITY" localSheetId="70">#REF!</definedName>
    <definedName name="CY_TOTAL_EQUITY" localSheetId="82">#REF!</definedName>
    <definedName name="CY_TOTAL_EQUITY" localSheetId="58">#REF!</definedName>
    <definedName name="CY_TOTAL_EQUITY" localSheetId="68">#REF!</definedName>
    <definedName name="CY_TOTAL_EQUITY" localSheetId="78">#REF!</definedName>
    <definedName name="CY_TOTAL_EQUITY" localSheetId="73">#REF!</definedName>
    <definedName name="CY_TOTAL_EQUITY" localSheetId="83">#REF!</definedName>
    <definedName name="CY_TOTAL_EQUITY" localSheetId="59">#REF!</definedName>
    <definedName name="CY_TOTAL_EQUITY" localSheetId="56">#REF!</definedName>
    <definedName name="CY_TOTAL_EQUITY">#REF!</definedName>
    <definedName name="CY_Working_Capital" localSheetId="55">#REF!</definedName>
    <definedName name="CY_Working_Capital" localSheetId="70">#REF!</definedName>
    <definedName name="CY_Working_Capital" localSheetId="82">#REF!</definedName>
    <definedName name="CY_Working_Capital" localSheetId="58">#REF!</definedName>
    <definedName name="CY_Working_Capital" localSheetId="68">#REF!</definedName>
    <definedName name="CY_Working_Capital" localSheetId="78">#REF!</definedName>
    <definedName name="CY_Working_Capital" localSheetId="73">#REF!</definedName>
    <definedName name="CY_Working_Capital" localSheetId="83">#REF!</definedName>
    <definedName name="CY_Working_Capital" localSheetId="59">#REF!</definedName>
    <definedName name="CY_Working_Capital" localSheetId="56">#REF!</definedName>
    <definedName name="CY_Working_Capital">#REF!</definedName>
    <definedName name="Dollar_Threshold" localSheetId="55">#REF!</definedName>
    <definedName name="Dollar_Threshold" localSheetId="70">#REF!</definedName>
    <definedName name="Dollar_Threshold" localSheetId="82">#REF!</definedName>
    <definedName name="Dollar_Threshold" localSheetId="58">#REF!</definedName>
    <definedName name="Dollar_Threshold" localSheetId="68">#REF!</definedName>
    <definedName name="Dollar_Threshold" localSheetId="78">#REF!</definedName>
    <definedName name="Dollar_Threshold" localSheetId="73">#REF!</definedName>
    <definedName name="Dollar_Threshold" localSheetId="83">#REF!</definedName>
    <definedName name="Dollar_Threshold" localSheetId="59">#REF!</definedName>
    <definedName name="Dollar_Threshold" localSheetId="56">#REF!</definedName>
    <definedName name="Dollar_Threshold">#REF!</definedName>
    <definedName name="_xlnm.Print_Titles" localSheetId="80">'BS - G Statutoryo'!$1:$3</definedName>
    <definedName name="_xlnm.Print_Titles" localSheetId="71">'BS- E Statutory'!$1:$3</definedName>
    <definedName name="_xlnm.Print_Titles" localSheetId="70">'BS-E Statutory'!$1:$3</definedName>
    <definedName name="_xlnm.Print_Titles" localSheetId="82">'BS-G Statutory'!$1:$3</definedName>
    <definedName name="_xlnm.Print_Titles" localSheetId="58">'BS-SK Statutory'!$1:$3</definedName>
    <definedName name="_xlnm.Print_Titles" localSheetId="64">'BS-SK Statutory old'!$1:$3</definedName>
    <definedName name="_xlnm.Print_Titles" localSheetId="77">'Cash Flow (ENG)'!$3:$5</definedName>
    <definedName name="_xlnm.Print_Titles" localSheetId="67">'Cash Flow SK'!$7:$9</definedName>
    <definedName name="_xlnm.Print_Titles" localSheetId="73">'IS-E Statutory'!$1:$5</definedName>
    <definedName name="_xlnm.Print_Titles" localSheetId="74">'IS-E Statutory m'!$1:$5</definedName>
    <definedName name="_xlnm.Print_Titles" localSheetId="83">'IS-G Statutory'!$1:$5</definedName>
    <definedName name="_xlnm.Print_Titles" localSheetId="59">'IS-SK Statutory '!$1:$5</definedName>
    <definedName name="_xlnm.Print_Titles" localSheetId="65">'IS-SK Statutoryold '!$1:$5</definedName>
    <definedName name="_xlnm.Print_Titles" localSheetId="76">'Notes - E Template'!$2:$6</definedName>
    <definedName name="_xlnm.Print_Titles" localSheetId="60">'Notes- SK Template'!$2:$6</definedName>
    <definedName name="_xlnm.Print_Area" localSheetId="55">BS!$A$5:$G$162</definedName>
    <definedName name="_xlnm.Print_Area" localSheetId="80">'BS - G Statutoryo'!$A$1:$J$210</definedName>
    <definedName name="_xlnm.Print_Area" localSheetId="71">'BS- E Statutory'!$A$1:$J$210</definedName>
    <definedName name="_xlnm.Print_Area" localSheetId="61">'BS old'!$A$5:$G$142</definedName>
    <definedName name="_xlnm.Print_Area" localSheetId="69">'BS-E Cover sheet'!$A$1:$AN$53</definedName>
    <definedName name="_xlnm.Print_Area" localSheetId="70">'BS-E Statutory'!$A$1:$L$248</definedName>
    <definedName name="_xlnm.Print_Area" localSheetId="79">'BS-G Cover sheet'!$A$1:$AM$54</definedName>
    <definedName name="_xlnm.Print_Area" localSheetId="82">'BS-G Statutory'!$A$1:$L$248</definedName>
    <definedName name="_xlnm.Print_Area" localSheetId="58">'BS-SK Statutory'!$A$1:$L$248</definedName>
    <definedName name="_xlnm.Print_Area" localSheetId="64">'BS-SK Statutory old'!$A$1:$L$210</definedName>
    <definedName name="_xlnm.Print_Area" localSheetId="77">'Cash Flow (ENG)'!$A$1:$F$97</definedName>
    <definedName name="_xlnm.Print_Area" localSheetId="67">'Cash Flow SK'!$A$1:$F$101</definedName>
    <definedName name="_xlnm.Print_Area" localSheetId="68">'E_Cover sheet'!$A$1:$AK$54</definedName>
    <definedName name="_xlnm.Print_Area" localSheetId="78">'G-Cover sheet'!$A$1:$AM$55</definedName>
    <definedName name="_xlnm.Print_Area" localSheetId="72">'IS-E Cover sheet'!$A$1:$AN$53</definedName>
    <definedName name="_xlnm.Print_Area" localSheetId="73">'IS-E Statutory'!$A$1:$H$72</definedName>
    <definedName name="_xlnm.Print_Area" localSheetId="74">'IS-E Statutory m'!$A$1:$F$66</definedName>
    <definedName name="_xlnm.Print_Area" localSheetId="81">'IS-G Cover sheet'!$A$1:$AM$55</definedName>
    <definedName name="_xlnm.Print_Area" localSheetId="83">'IS-G Statutory'!$A$1:$H$66</definedName>
    <definedName name="_xlnm.Print_Area" localSheetId="66">'IS-SK Cover sheet'!$A$1:$AM$55</definedName>
    <definedName name="_xlnm.Print_Area" localSheetId="59">'IS-SK Statutory '!$A$1:$H$66</definedName>
    <definedName name="_xlnm.Print_Area" localSheetId="65">'IS-SK Statutoryold '!$A$1:$F$66</definedName>
    <definedName name="_xlnm.Print_Area" localSheetId="76">'Notes - E Template'!$B$2:$AH$880</definedName>
    <definedName name="_xlnm.Print_Area" localSheetId="60">'Notes- SK Template'!$A$2:$AH$899</definedName>
    <definedName name="_xlnm.Print_Area" localSheetId="75">'Notes-E Cover sheet'!$A$1:$AK$55</definedName>
    <definedName name="_xlnm.Print_Area" localSheetId="63">'Notes-SK Cover sheet'!$A$1:$AK$55</definedName>
    <definedName name="_xlnm.Print_Area" localSheetId="56">'P&amp;L'!$A$4:$F$68</definedName>
    <definedName name="_xlnm.Print_Area" localSheetId="62">'P&amp;L old'!$A$4:$E$68</definedName>
    <definedName name="_xlnm.Print_Area" localSheetId="57">'SK Cover sheet'!$A$1:$AM$54</definedName>
    <definedName name="_xlnm.Print_Area">#REF!</definedName>
    <definedName name="Percent_Threshold" localSheetId="55">#REF!</definedName>
    <definedName name="Percent_Threshold" localSheetId="70">#REF!</definedName>
    <definedName name="Percent_Threshold" localSheetId="82">#REF!</definedName>
    <definedName name="Percent_Threshold" localSheetId="58">#REF!</definedName>
    <definedName name="Percent_Threshold" localSheetId="68">#REF!</definedName>
    <definedName name="Percent_Threshold" localSheetId="78">#REF!</definedName>
    <definedName name="Percent_Threshold" localSheetId="73">#REF!</definedName>
    <definedName name="Percent_Threshold" localSheetId="83">#REF!</definedName>
    <definedName name="Percent_Threshold" localSheetId="59">#REF!</definedName>
    <definedName name="Percent_Threshold" localSheetId="56">#REF!</definedName>
    <definedName name="Percent_Threshold">#REF!</definedName>
    <definedName name="PL_Dollar_Threshold" localSheetId="55">#REF!</definedName>
    <definedName name="PL_Dollar_Threshold" localSheetId="70">#REF!</definedName>
    <definedName name="PL_Dollar_Threshold" localSheetId="82">#REF!</definedName>
    <definedName name="PL_Dollar_Threshold" localSheetId="58">#REF!</definedName>
    <definedName name="PL_Dollar_Threshold" localSheetId="68">#REF!</definedName>
    <definedName name="PL_Dollar_Threshold" localSheetId="78">#REF!</definedName>
    <definedName name="PL_Dollar_Threshold" localSheetId="73">#REF!</definedName>
    <definedName name="PL_Dollar_Threshold" localSheetId="83">#REF!</definedName>
    <definedName name="PL_Dollar_Threshold" localSheetId="59">#REF!</definedName>
    <definedName name="PL_Dollar_Threshold" localSheetId="56">#REF!</definedName>
    <definedName name="PL_Dollar_Threshold">#REF!</definedName>
    <definedName name="PL_Percent_Threshold" localSheetId="55">#REF!</definedName>
    <definedName name="PL_Percent_Threshold" localSheetId="70">#REF!</definedName>
    <definedName name="PL_Percent_Threshold" localSheetId="82">#REF!</definedName>
    <definedName name="PL_Percent_Threshold" localSheetId="58">#REF!</definedName>
    <definedName name="PL_Percent_Threshold" localSheetId="68">#REF!</definedName>
    <definedName name="PL_Percent_Threshold" localSheetId="78">#REF!</definedName>
    <definedName name="PL_Percent_Threshold" localSheetId="73">#REF!</definedName>
    <definedName name="PL_Percent_Threshold" localSheetId="83">#REF!</definedName>
    <definedName name="PL_Percent_Threshold" localSheetId="59">#REF!</definedName>
    <definedName name="PL_Percent_Threshold" localSheetId="56">#REF!</definedName>
    <definedName name="PL_Percent_Threshold">#REF!</definedName>
    <definedName name="Print" localSheetId="55">#REF!</definedName>
    <definedName name="Print" localSheetId="70">#REF!</definedName>
    <definedName name="Print" localSheetId="82">#REF!</definedName>
    <definedName name="Print" localSheetId="58">#REF!</definedName>
    <definedName name="Print" localSheetId="77">#REF!</definedName>
    <definedName name="Print" localSheetId="68">#REF!</definedName>
    <definedName name="Print" localSheetId="78">#REF!</definedName>
    <definedName name="Print" localSheetId="73">#REF!</definedName>
    <definedName name="Print" localSheetId="83">#REF!</definedName>
    <definedName name="Print" localSheetId="59">#REF!</definedName>
    <definedName name="Print" localSheetId="76">#REF!</definedName>
    <definedName name="Print" localSheetId="63">#REF!</definedName>
    <definedName name="Print" localSheetId="56">#REF!</definedName>
    <definedName name="Print">#REF!</definedName>
    <definedName name="Print_Area_ENG" localSheetId="55">#REF!</definedName>
    <definedName name="Print_Area_ENG" localSheetId="70">#REF!</definedName>
    <definedName name="Print_Area_ENG" localSheetId="82">#REF!</definedName>
    <definedName name="Print_Area_ENG" localSheetId="58">#REF!</definedName>
    <definedName name="Print_Area_ENG" localSheetId="77">#REF!</definedName>
    <definedName name="Print_Area_ENG" localSheetId="68">#REF!</definedName>
    <definedName name="Print_Area_ENG" localSheetId="78">#REF!</definedName>
    <definedName name="Print_Area_ENG" localSheetId="73">#REF!</definedName>
    <definedName name="Print_Area_ENG" localSheetId="83">#REF!</definedName>
    <definedName name="Print_Area_ENG" localSheetId="59">#REF!</definedName>
    <definedName name="Print_Area_ENG" localSheetId="56">#REF!</definedName>
    <definedName name="Print_Area_ENG">#REF!</definedName>
    <definedName name="PY_Accounts_Receivable" localSheetId="55">#REF!</definedName>
    <definedName name="PY_Accounts_Receivable" localSheetId="70">#REF!</definedName>
    <definedName name="PY_Accounts_Receivable" localSheetId="82">#REF!</definedName>
    <definedName name="PY_Accounts_Receivable" localSheetId="58">#REF!</definedName>
    <definedName name="PY_Accounts_Receivable" localSheetId="68">#REF!</definedName>
    <definedName name="PY_Accounts_Receivable" localSheetId="78">#REF!</definedName>
    <definedName name="PY_Accounts_Receivable" localSheetId="73">#REF!</definedName>
    <definedName name="PY_Accounts_Receivable" localSheetId="83">#REF!</definedName>
    <definedName name="PY_Accounts_Receivable" localSheetId="59">#REF!</definedName>
    <definedName name="PY_Accounts_Receivable" localSheetId="56">#REF!</definedName>
    <definedName name="PY_Accounts_Receivable">#REF!</definedName>
    <definedName name="PY_Administration" localSheetId="55">#REF!</definedName>
    <definedName name="PY_Administration" localSheetId="70">#REF!</definedName>
    <definedName name="PY_Administration" localSheetId="82">#REF!</definedName>
    <definedName name="PY_Administration" localSheetId="58">#REF!</definedName>
    <definedName name="PY_Administration" localSheetId="68">#REF!</definedName>
    <definedName name="PY_Administration" localSheetId="78">#REF!</definedName>
    <definedName name="PY_Administration" localSheetId="73">#REF!</definedName>
    <definedName name="PY_Administration" localSheetId="83">#REF!</definedName>
    <definedName name="PY_Administration" localSheetId="59">#REF!</definedName>
    <definedName name="PY_Administration" localSheetId="56">#REF!</definedName>
    <definedName name="PY_Administration">#REF!</definedName>
    <definedName name="PY_Cash" localSheetId="55">#REF!</definedName>
    <definedName name="PY_Cash" localSheetId="70">#REF!</definedName>
    <definedName name="PY_Cash" localSheetId="82">#REF!</definedName>
    <definedName name="PY_Cash" localSheetId="58">#REF!</definedName>
    <definedName name="PY_Cash" localSheetId="68">#REF!</definedName>
    <definedName name="PY_Cash" localSheetId="78">#REF!</definedName>
    <definedName name="PY_Cash" localSheetId="73">#REF!</definedName>
    <definedName name="PY_Cash" localSheetId="83">#REF!</definedName>
    <definedName name="PY_Cash" localSheetId="59">#REF!</definedName>
    <definedName name="PY_Cash" localSheetId="56">#REF!</definedName>
    <definedName name="PY_Cash">#REF!</definedName>
    <definedName name="PY_Common_Equity" localSheetId="55">#REF!</definedName>
    <definedName name="PY_Common_Equity" localSheetId="70">#REF!</definedName>
    <definedName name="PY_Common_Equity" localSheetId="82">#REF!</definedName>
    <definedName name="PY_Common_Equity" localSheetId="58">#REF!</definedName>
    <definedName name="PY_Common_Equity" localSheetId="68">#REF!</definedName>
    <definedName name="PY_Common_Equity" localSheetId="78">#REF!</definedName>
    <definedName name="PY_Common_Equity" localSheetId="73">#REF!</definedName>
    <definedName name="PY_Common_Equity" localSheetId="83">#REF!</definedName>
    <definedName name="PY_Common_Equity" localSheetId="59">#REF!</definedName>
    <definedName name="PY_Common_Equity" localSheetId="56">#REF!</definedName>
    <definedName name="PY_Common_Equity">#REF!</definedName>
    <definedName name="PY_Cost_of_Sales" localSheetId="55">#REF!</definedName>
    <definedName name="PY_Cost_of_Sales" localSheetId="70">#REF!</definedName>
    <definedName name="PY_Cost_of_Sales" localSheetId="82">#REF!</definedName>
    <definedName name="PY_Cost_of_Sales" localSheetId="58">#REF!</definedName>
    <definedName name="PY_Cost_of_Sales" localSheetId="68">#REF!</definedName>
    <definedName name="PY_Cost_of_Sales" localSheetId="78">#REF!</definedName>
    <definedName name="PY_Cost_of_Sales" localSheetId="73">#REF!</definedName>
    <definedName name="PY_Cost_of_Sales" localSheetId="83">#REF!</definedName>
    <definedName name="PY_Cost_of_Sales" localSheetId="59">#REF!</definedName>
    <definedName name="PY_Cost_of_Sales" localSheetId="56">#REF!</definedName>
    <definedName name="PY_Cost_of_Sales">#REF!</definedName>
    <definedName name="PY_Current_Liabilities" localSheetId="55">#REF!</definedName>
    <definedName name="PY_Current_Liabilities" localSheetId="70">#REF!</definedName>
    <definedName name="PY_Current_Liabilities" localSheetId="82">#REF!</definedName>
    <definedName name="PY_Current_Liabilities" localSheetId="58">#REF!</definedName>
    <definedName name="PY_Current_Liabilities" localSheetId="68">#REF!</definedName>
    <definedName name="PY_Current_Liabilities" localSheetId="78">#REF!</definedName>
    <definedName name="PY_Current_Liabilities" localSheetId="73">#REF!</definedName>
    <definedName name="PY_Current_Liabilities" localSheetId="83">#REF!</definedName>
    <definedName name="PY_Current_Liabilities" localSheetId="59">#REF!</definedName>
    <definedName name="PY_Current_Liabilities" localSheetId="56">#REF!</definedName>
    <definedName name="PY_Current_Liabilities">#REF!</definedName>
    <definedName name="PY_Depreciation" localSheetId="55">#REF!</definedName>
    <definedName name="PY_Depreciation" localSheetId="70">#REF!</definedName>
    <definedName name="PY_Depreciation" localSheetId="82">#REF!</definedName>
    <definedName name="PY_Depreciation" localSheetId="58">#REF!</definedName>
    <definedName name="PY_Depreciation" localSheetId="68">#REF!</definedName>
    <definedName name="PY_Depreciation" localSheetId="78">#REF!</definedName>
    <definedName name="PY_Depreciation" localSheetId="73">#REF!</definedName>
    <definedName name="PY_Depreciation" localSheetId="83">#REF!</definedName>
    <definedName name="PY_Depreciation" localSheetId="59">#REF!</definedName>
    <definedName name="PY_Depreciation" localSheetId="56">#REF!</definedName>
    <definedName name="PY_Depreciation">#REF!</definedName>
    <definedName name="PY_Gross_Profit" localSheetId="55">#REF!</definedName>
    <definedName name="PY_Gross_Profit" localSheetId="70">#REF!</definedName>
    <definedName name="PY_Gross_Profit" localSheetId="82">#REF!</definedName>
    <definedName name="PY_Gross_Profit" localSheetId="58">#REF!</definedName>
    <definedName name="PY_Gross_Profit" localSheetId="68">#REF!</definedName>
    <definedName name="PY_Gross_Profit" localSheetId="78">#REF!</definedName>
    <definedName name="PY_Gross_Profit" localSheetId="73">#REF!</definedName>
    <definedName name="PY_Gross_Profit" localSheetId="83">#REF!</definedName>
    <definedName name="PY_Gross_Profit" localSheetId="59">#REF!</definedName>
    <definedName name="PY_Gross_Profit" localSheetId="56">#REF!</definedName>
    <definedName name="PY_Gross_Profit">#REF!</definedName>
    <definedName name="PY_Inc_Bef_Tax" localSheetId="55">#REF!</definedName>
    <definedName name="PY_Inc_Bef_Tax" localSheetId="70">#REF!</definedName>
    <definedName name="PY_Inc_Bef_Tax" localSheetId="82">#REF!</definedName>
    <definedName name="PY_Inc_Bef_Tax" localSheetId="58">#REF!</definedName>
    <definedName name="PY_Inc_Bef_Tax" localSheetId="68">#REF!</definedName>
    <definedName name="PY_Inc_Bef_Tax" localSheetId="78">#REF!</definedName>
    <definedName name="PY_Inc_Bef_Tax" localSheetId="73">#REF!</definedName>
    <definedName name="PY_Inc_Bef_Tax" localSheetId="83">#REF!</definedName>
    <definedName name="PY_Inc_Bef_Tax" localSheetId="59">#REF!</definedName>
    <definedName name="PY_Inc_Bef_Tax" localSheetId="56">#REF!</definedName>
    <definedName name="PY_Inc_Bef_Tax">#REF!</definedName>
    <definedName name="PY_Intangible_Assets" localSheetId="55">#REF!</definedName>
    <definedName name="PY_Intangible_Assets" localSheetId="70">#REF!</definedName>
    <definedName name="PY_Intangible_Assets" localSheetId="82">#REF!</definedName>
    <definedName name="PY_Intangible_Assets" localSheetId="58">#REF!</definedName>
    <definedName name="PY_Intangible_Assets" localSheetId="68">#REF!</definedName>
    <definedName name="PY_Intangible_Assets" localSheetId="78">#REF!</definedName>
    <definedName name="PY_Intangible_Assets" localSheetId="73">#REF!</definedName>
    <definedName name="PY_Intangible_Assets" localSheetId="83">#REF!</definedName>
    <definedName name="PY_Intangible_Assets" localSheetId="59">#REF!</definedName>
    <definedName name="PY_Intangible_Assets" localSheetId="56">#REF!</definedName>
    <definedName name="PY_Intangible_Assets">#REF!</definedName>
    <definedName name="PY_Interest_Expense" localSheetId="55">#REF!</definedName>
    <definedName name="PY_Interest_Expense" localSheetId="70">#REF!</definedName>
    <definedName name="PY_Interest_Expense" localSheetId="82">#REF!</definedName>
    <definedName name="PY_Interest_Expense" localSheetId="58">#REF!</definedName>
    <definedName name="PY_Interest_Expense" localSheetId="68">#REF!</definedName>
    <definedName name="PY_Interest_Expense" localSheetId="78">#REF!</definedName>
    <definedName name="PY_Interest_Expense" localSheetId="73">#REF!</definedName>
    <definedName name="PY_Interest_Expense" localSheetId="83">#REF!</definedName>
    <definedName name="PY_Interest_Expense" localSheetId="59">#REF!</definedName>
    <definedName name="PY_Interest_Expense" localSheetId="56">#REF!</definedName>
    <definedName name="PY_Interest_Expense">#REF!</definedName>
    <definedName name="PY_Inventory" localSheetId="55">#REF!</definedName>
    <definedName name="PY_Inventory" localSheetId="70">#REF!</definedName>
    <definedName name="PY_Inventory" localSheetId="82">#REF!</definedName>
    <definedName name="PY_Inventory" localSheetId="58">#REF!</definedName>
    <definedName name="PY_Inventory" localSheetId="68">#REF!</definedName>
    <definedName name="PY_Inventory" localSheetId="78">#REF!</definedName>
    <definedName name="PY_Inventory" localSheetId="73">#REF!</definedName>
    <definedName name="PY_Inventory" localSheetId="83">#REF!</definedName>
    <definedName name="PY_Inventory" localSheetId="59">#REF!</definedName>
    <definedName name="PY_Inventory" localSheetId="56">#REF!</definedName>
    <definedName name="PY_Inventory">#REF!</definedName>
    <definedName name="PY_LIABIL_EQUITY" localSheetId="55">#REF!</definedName>
    <definedName name="PY_LIABIL_EQUITY" localSheetId="70">#REF!</definedName>
    <definedName name="PY_LIABIL_EQUITY" localSheetId="82">#REF!</definedName>
    <definedName name="PY_LIABIL_EQUITY" localSheetId="58">#REF!</definedName>
    <definedName name="PY_LIABIL_EQUITY" localSheetId="68">#REF!</definedName>
    <definedName name="PY_LIABIL_EQUITY" localSheetId="78">#REF!</definedName>
    <definedName name="PY_LIABIL_EQUITY" localSheetId="73">#REF!</definedName>
    <definedName name="PY_LIABIL_EQUITY" localSheetId="83">#REF!</definedName>
    <definedName name="PY_LIABIL_EQUITY" localSheetId="59">#REF!</definedName>
    <definedName name="PY_LIABIL_EQUITY" localSheetId="56">#REF!</definedName>
    <definedName name="PY_LIABIL_EQUITY">#REF!</definedName>
    <definedName name="PY_LT_Debt" localSheetId="55">#REF!</definedName>
    <definedName name="PY_LT_Debt" localSheetId="70">#REF!</definedName>
    <definedName name="PY_LT_Debt" localSheetId="82">#REF!</definedName>
    <definedName name="PY_LT_Debt" localSheetId="58">#REF!</definedName>
    <definedName name="PY_LT_Debt" localSheetId="68">#REF!</definedName>
    <definedName name="PY_LT_Debt" localSheetId="78">#REF!</definedName>
    <definedName name="PY_LT_Debt" localSheetId="73">#REF!</definedName>
    <definedName name="PY_LT_Debt" localSheetId="83">#REF!</definedName>
    <definedName name="PY_LT_Debt" localSheetId="59">#REF!</definedName>
    <definedName name="PY_LT_Debt" localSheetId="56">#REF!</definedName>
    <definedName name="PY_LT_Debt">#REF!</definedName>
    <definedName name="PY_Market_Value_of_Equity" localSheetId="55">#REF!</definedName>
    <definedName name="PY_Market_Value_of_Equity" localSheetId="70">#REF!</definedName>
    <definedName name="PY_Market_Value_of_Equity" localSheetId="82">#REF!</definedName>
    <definedName name="PY_Market_Value_of_Equity" localSheetId="58">#REF!</definedName>
    <definedName name="PY_Market_Value_of_Equity" localSheetId="68">#REF!</definedName>
    <definedName name="PY_Market_Value_of_Equity" localSheetId="78">#REF!</definedName>
    <definedName name="PY_Market_Value_of_Equity" localSheetId="73">#REF!</definedName>
    <definedName name="PY_Market_Value_of_Equity" localSheetId="83">#REF!</definedName>
    <definedName name="PY_Market_Value_of_Equity" localSheetId="59">#REF!</definedName>
    <definedName name="PY_Market_Value_of_Equity" localSheetId="56">#REF!</definedName>
    <definedName name="PY_Market_Value_of_Equity">#REF!</definedName>
    <definedName name="PY_Marketable_Sec" localSheetId="55">#REF!</definedName>
    <definedName name="PY_Marketable_Sec" localSheetId="70">#REF!</definedName>
    <definedName name="PY_Marketable_Sec" localSheetId="82">#REF!</definedName>
    <definedName name="PY_Marketable_Sec" localSheetId="58">#REF!</definedName>
    <definedName name="PY_Marketable_Sec" localSheetId="68">#REF!</definedName>
    <definedName name="PY_Marketable_Sec" localSheetId="78">#REF!</definedName>
    <definedName name="PY_Marketable_Sec" localSheetId="73">#REF!</definedName>
    <definedName name="PY_Marketable_Sec" localSheetId="83">#REF!</definedName>
    <definedName name="PY_Marketable_Sec" localSheetId="59">#REF!</definedName>
    <definedName name="PY_Marketable_Sec" localSheetId="56">#REF!</definedName>
    <definedName name="PY_Marketable_Sec">#REF!</definedName>
    <definedName name="PY_NET_PROFIT" localSheetId="55">#REF!</definedName>
    <definedName name="PY_NET_PROFIT" localSheetId="70">#REF!</definedName>
    <definedName name="PY_NET_PROFIT" localSheetId="82">#REF!</definedName>
    <definedName name="PY_NET_PROFIT" localSheetId="58">#REF!</definedName>
    <definedName name="PY_NET_PROFIT" localSheetId="68">#REF!</definedName>
    <definedName name="PY_NET_PROFIT" localSheetId="78">#REF!</definedName>
    <definedName name="PY_NET_PROFIT" localSheetId="73">#REF!</definedName>
    <definedName name="PY_NET_PROFIT" localSheetId="83">#REF!</definedName>
    <definedName name="PY_NET_PROFIT" localSheetId="59">#REF!</definedName>
    <definedName name="PY_NET_PROFIT" localSheetId="56">#REF!</definedName>
    <definedName name="PY_NET_PROFIT">#REF!</definedName>
    <definedName name="PY_Net_Revenue" localSheetId="55">#REF!</definedName>
    <definedName name="PY_Net_Revenue" localSheetId="70">#REF!</definedName>
    <definedName name="PY_Net_Revenue" localSheetId="82">#REF!</definedName>
    <definedName name="PY_Net_Revenue" localSheetId="58">#REF!</definedName>
    <definedName name="PY_Net_Revenue" localSheetId="68">#REF!</definedName>
    <definedName name="PY_Net_Revenue" localSheetId="78">#REF!</definedName>
    <definedName name="PY_Net_Revenue" localSheetId="73">#REF!</definedName>
    <definedName name="PY_Net_Revenue" localSheetId="83">#REF!</definedName>
    <definedName name="PY_Net_Revenue" localSheetId="59">#REF!</definedName>
    <definedName name="PY_Net_Revenue" localSheetId="56">#REF!</definedName>
    <definedName name="PY_Net_Revenue">#REF!</definedName>
    <definedName name="PY_Operating_Inc" localSheetId="55">#REF!</definedName>
    <definedName name="PY_Operating_Inc" localSheetId="70">#REF!</definedName>
    <definedName name="PY_Operating_Inc" localSheetId="82">#REF!</definedName>
    <definedName name="PY_Operating_Inc" localSheetId="58">#REF!</definedName>
    <definedName name="PY_Operating_Inc" localSheetId="68">#REF!</definedName>
    <definedName name="PY_Operating_Inc" localSheetId="78">#REF!</definedName>
    <definedName name="PY_Operating_Inc" localSheetId="73">#REF!</definedName>
    <definedName name="PY_Operating_Inc" localSheetId="83">#REF!</definedName>
    <definedName name="PY_Operating_Inc" localSheetId="59">#REF!</definedName>
    <definedName name="PY_Operating_Inc" localSheetId="56">#REF!</definedName>
    <definedName name="PY_Operating_Inc">#REF!</definedName>
    <definedName name="PY_Operating_Income" localSheetId="55">#REF!</definedName>
    <definedName name="PY_Operating_Income" localSheetId="70">#REF!</definedName>
    <definedName name="PY_Operating_Income" localSheetId="82">#REF!</definedName>
    <definedName name="PY_Operating_Income" localSheetId="58">#REF!</definedName>
    <definedName name="PY_Operating_Income" localSheetId="68">#REF!</definedName>
    <definedName name="PY_Operating_Income" localSheetId="78">#REF!</definedName>
    <definedName name="PY_Operating_Income" localSheetId="73">#REF!</definedName>
    <definedName name="PY_Operating_Income" localSheetId="83">#REF!</definedName>
    <definedName name="PY_Operating_Income" localSheetId="59">#REF!</definedName>
    <definedName name="PY_Operating_Income" localSheetId="56">#REF!</definedName>
    <definedName name="PY_Operating_Income">#REF!</definedName>
    <definedName name="PY_Other_Curr_Assets" localSheetId="55">#REF!</definedName>
    <definedName name="PY_Other_Curr_Assets" localSheetId="70">#REF!</definedName>
    <definedName name="PY_Other_Curr_Assets" localSheetId="82">#REF!</definedName>
    <definedName name="PY_Other_Curr_Assets" localSheetId="58">#REF!</definedName>
    <definedName name="PY_Other_Curr_Assets" localSheetId="68">#REF!</definedName>
    <definedName name="PY_Other_Curr_Assets" localSheetId="78">#REF!</definedName>
    <definedName name="PY_Other_Curr_Assets" localSheetId="73">#REF!</definedName>
    <definedName name="PY_Other_Curr_Assets" localSheetId="83">#REF!</definedName>
    <definedName name="PY_Other_Curr_Assets" localSheetId="59">#REF!</definedName>
    <definedName name="PY_Other_Curr_Assets" localSheetId="56">#REF!</definedName>
    <definedName name="PY_Other_Curr_Assets">#REF!</definedName>
    <definedName name="PY_Other_Exp" localSheetId="55">#REF!</definedName>
    <definedName name="PY_Other_Exp" localSheetId="70">#REF!</definedName>
    <definedName name="PY_Other_Exp" localSheetId="82">#REF!</definedName>
    <definedName name="PY_Other_Exp" localSheetId="58">#REF!</definedName>
    <definedName name="PY_Other_Exp" localSheetId="68">#REF!</definedName>
    <definedName name="PY_Other_Exp" localSheetId="78">#REF!</definedName>
    <definedName name="PY_Other_Exp" localSheetId="73">#REF!</definedName>
    <definedName name="PY_Other_Exp" localSheetId="83">#REF!</definedName>
    <definedName name="PY_Other_Exp" localSheetId="59">#REF!</definedName>
    <definedName name="PY_Other_Exp" localSheetId="56">#REF!</definedName>
    <definedName name="PY_Other_Exp">#REF!</definedName>
    <definedName name="PY_Other_LT_Assets" localSheetId="55">#REF!</definedName>
    <definedName name="PY_Other_LT_Assets" localSheetId="70">#REF!</definedName>
    <definedName name="PY_Other_LT_Assets" localSheetId="82">#REF!</definedName>
    <definedName name="PY_Other_LT_Assets" localSheetId="58">#REF!</definedName>
    <definedName name="PY_Other_LT_Assets" localSheetId="68">#REF!</definedName>
    <definedName name="PY_Other_LT_Assets" localSheetId="78">#REF!</definedName>
    <definedName name="PY_Other_LT_Assets" localSheetId="73">#REF!</definedName>
    <definedName name="PY_Other_LT_Assets" localSheetId="83">#REF!</definedName>
    <definedName name="PY_Other_LT_Assets" localSheetId="59">#REF!</definedName>
    <definedName name="PY_Other_LT_Assets" localSheetId="56">#REF!</definedName>
    <definedName name="PY_Other_LT_Assets">#REF!</definedName>
    <definedName name="PY_Other_LT_Liabilities" localSheetId="55">#REF!</definedName>
    <definedName name="PY_Other_LT_Liabilities" localSheetId="70">#REF!</definedName>
    <definedName name="PY_Other_LT_Liabilities" localSheetId="82">#REF!</definedName>
    <definedName name="PY_Other_LT_Liabilities" localSheetId="58">#REF!</definedName>
    <definedName name="PY_Other_LT_Liabilities" localSheetId="68">#REF!</definedName>
    <definedName name="PY_Other_LT_Liabilities" localSheetId="78">#REF!</definedName>
    <definedName name="PY_Other_LT_Liabilities" localSheetId="73">#REF!</definedName>
    <definedName name="PY_Other_LT_Liabilities" localSheetId="83">#REF!</definedName>
    <definedName name="PY_Other_LT_Liabilities" localSheetId="59">#REF!</definedName>
    <definedName name="PY_Other_LT_Liabilities" localSheetId="56">#REF!</definedName>
    <definedName name="PY_Other_LT_Liabilities">#REF!</definedName>
    <definedName name="PY_Preferred_Stock" localSheetId="55">#REF!</definedName>
    <definedName name="PY_Preferred_Stock" localSheetId="70">#REF!</definedName>
    <definedName name="PY_Preferred_Stock" localSheetId="82">#REF!</definedName>
    <definedName name="PY_Preferred_Stock" localSheetId="58">#REF!</definedName>
    <definedName name="PY_Preferred_Stock" localSheetId="68">#REF!</definedName>
    <definedName name="PY_Preferred_Stock" localSheetId="78">#REF!</definedName>
    <definedName name="PY_Preferred_Stock" localSheetId="73">#REF!</definedName>
    <definedName name="PY_Preferred_Stock" localSheetId="83">#REF!</definedName>
    <definedName name="PY_Preferred_Stock" localSheetId="59">#REF!</definedName>
    <definedName name="PY_Preferred_Stock" localSheetId="56">#REF!</definedName>
    <definedName name="PY_Preferred_Stock">#REF!</definedName>
    <definedName name="PY_QUICK_ASSETS" localSheetId="55">#REF!</definedName>
    <definedName name="PY_QUICK_ASSETS" localSheetId="70">#REF!</definedName>
    <definedName name="PY_QUICK_ASSETS" localSheetId="82">#REF!</definedName>
    <definedName name="PY_QUICK_ASSETS" localSheetId="58">#REF!</definedName>
    <definedName name="PY_QUICK_ASSETS" localSheetId="68">#REF!</definedName>
    <definedName name="PY_QUICK_ASSETS" localSheetId="78">#REF!</definedName>
    <definedName name="PY_QUICK_ASSETS" localSheetId="73">#REF!</definedName>
    <definedName name="PY_QUICK_ASSETS" localSheetId="83">#REF!</definedName>
    <definedName name="PY_QUICK_ASSETS" localSheetId="59">#REF!</definedName>
    <definedName name="PY_QUICK_ASSETS" localSheetId="56">#REF!</definedName>
    <definedName name="PY_QUICK_ASSETS">#REF!</definedName>
    <definedName name="PY_Retained_Earnings" localSheetId="55">#REF!</definedName>
    <definedName name="PY_Retained_Earnings" localSheetId="70">#REF!</definedName>
    <definedName name="PY_Retained_Earnings" localSheetId="82">#REF!</definedName>
    <definedName name="PY_Retained_Earnings" localSheetId="58">#REF!</definedName>
    <definedName name="PY_Retained_Earnings" localSheetId="68">#REF!</definedName>
    <definedName name="PY_Retained_Earnings" localSheetId="78">#REF!</definedName>
    <definedName name="PY_Retained_Earnings" localSheetId="73">#REF!</definedName>
    <definedName name="PY_Retained_Earnings" localSheetId="83">#REF!</definedName>
    <definedName name="PY_Retained_Earnings" localSheetId="59">#REF!</definedName>
    <definedName name="PY_Retained_Earnings" localSheetId="56">#REF!</definedName>
    <definedName name="PY_Retained_Earnings">#REF!</definedName>
    <definedName name="PY_Selling" localSheetId="55">#REF!</definedName>
    <definedName name="PY_Selling" localSheetId="70">#REF!</definedName>
    <definedName name="PY_Selling" localSheetId="82">#REF!</definedName>
    <definedName name="PY_Selling" localSheetId="58">#REF!</definedName>
    <definedName name="PY_Selling" localSheetId="68">#REF!</definedName>
    <definedName name="PY_Selling" localSheetId="78">#REF!</definedName>
    <definedName name="PY_Selling" localSheetId="73">#REF!</definedName>
    <definedName name="PY_Selling" localSheetId="83">#REF!</definedName>
    <definedName name="PY_Selling" localSheetId="59">#REF!</definedName>
    <definedName name="PY_Selling" localSheetId="56">#REF!</definedName>
    <definedName name="PY_Selling">#REF!</definedName>
    <definedName name="PY_Tangible_Assets" localSheetId="55">#REF!</definedName>
    <definedName name="PY_Tangible_Assets" localSheetId="70">#REF!</definedName>
    <definedName name="PY_Tangible_Assets" localSheetId="82">#REF!</definedName>
    <definedName name="PY_Tangible_Assets" localSheetId="58">#REF!</definedName>
    <definedName name="PY_Tangible_Assets" localSheetId="68">#REF!</definedName>
    <definedName name="PY_Tangible_Assets" localSheetId="78">#REF!</definedName>
    <definedName name="PY_Tangible_Assets" localSheetId="73">#REF!</definedName>
    <definedName name="PY_Tangible_Assets" localSheetId="83">#REF!</definedName>
    <definedName name="PY_Tangible_Assets" localSheetId="59">#REF!</definedName>
    <definedName name="PY_Tangible_Assets" localSheetId="56">#REF!</definedName>
    <definedName name="PY_Tangible_Assets">#REF!</definedName>
    <definedName name="PY_Tangible_Net_Worth" localSheetId="55">#REF!</definedName>
    <definedName name="PY_Tangible_Net_Worth" localSheetId="70">#REF!</definedName>
    <definedName name="PY_Tangible_Net_Worth" localSheetId="82">#REF!</definedName>
    <definedName name="PY_Tangible_Net_Worth" localSheetId="58">#REF!</definedName>
    <definedName name="PY_Tangible_Net_Worth" localSheetId="68">#REF!</definedName>
    <definedName name="PY_Tangible_Net_Worth" localSheetId="78">#REF!</definedName>
    <definedName name="PY_Tangible_Net_Worth" localSheetId="73">#REF!</definedName>
    <definedName name="PY_Tangible_Net_Worth" localSheetId="83">#REF!</definedName>
    <definedName name="PY_Tangible_Net_Worth" localSheetId="59">#REF!</definedName>
    <definedName name="PY_Tangible_Net_Worth" localSheetId="56">#REF!</definedName>
    <definedName name="PY_Tangible_Net_Worth">#REF!</definedName>
    <definedName name="PY_Taxes" localSheetId="55">#REF!</definedName>
    <definedName name="PY_Taxes" localSheetId="70">#REF!</definedName>
    <definedName name="PY_Taxes" localSheetId="82">#REF!</definedName>
    <definedName name="PY_Taxes" localSheetId="58">#REF!</definedName>
    <definedName name="PY_Taxes" localSheetId="68">#REF!</definedName>
    <definedName name="PY_Taxes" localSheetId="78">#REF!</definedName>
    <definedName name="PY_Taxes" localSheetId="73">#REF!</definedName>
    <definedName name="PY_Taxes" localSheetId="83">#REF!</definedName>
    <definedName name="PY_Taxes" localSheetId="59">#REF!</definedName>
    <definedName name="PY_Taxes" localSheetId="56">#REF!</definedName>
    <definedName name="PY_Taxes">#REF!</definedName>
    <definedName name="PY_TOTAL_ASSETS" localSheetId="55">#REF!</definedName>
    <definedName name="PY_TOTAL_ASSETS" localSheetId="70">#REF!</definedName>
    <definedName name="PY_TOTAL_ASSETS" localSheetId="82">#REF!</definedName>
    <definedName name="PY_TOTAL_ASSETS" localSheetId="58">#REF!</definedName>
    <definedName name="PY_TOTAL_ASSETS" localSheetId="68">#REF!</definedName>
    <definedName name="PY_TOTAL_ASSETS" localSheetId="78">#REF!</definedName>
    <definedName name="PY_TOTAL_ASSETS" localSheetId="73">#REF!</definedName>
    <definedName name="PY_TOTAL_ASSETS" localSheetId="83">#REF!</definedName>
    <definedName name="PY_TOTAL_ASSETS" localSheetId="59">#REF!</definedName>
    <definedName name="PY_TOTAL_ASSETS" localSheetId="56">#REF!</definedName>
    <definedName name="PY_TOTAL_ASSETS">#REF!</definedName>
    <definedName name="PY_TOTAL_CURR_ASSETS" localSheetId="55">#REF!</definedName>
    <definedName name="PY_TOTAL_CURR_ASSETS" localSheetId="70">#REF!</definedName>
    <definedName name="PY_TOTAL_CURR_ASSETS" localSheetId="82">#REF!</definedName>
    <definedName name="PY_TOTAL_CURR_ASSETS" localSheetId="58">#REF!</definedName>
    <definedName name="PY_TOTAL_CURR_ASSETS" localSheetId="68">#REF!</definedName>
    <definedName name="PY_TOTAL_CURR_ASSETS" localSheetId="78">#REF!</definedName>
    <definedName name="PY_TOTAL_CURR_ASSETS" localSheetId="73">#REF!</definedName>
    <definedName name="PY_TOTAL_CURR_ASSETS" localSheetId="83">#REF!</definedName>
    <definedName name="PY_TOTAL_CURR_ASSETS" localSheetId="59">#REF!</definedName>
    <definedName name="PY_TOTAL_CURR_ASSETS" localSheetId="56">#REF!</definedName>
    <definedName name="PY_TOTAL_CURR_ASSETS">#REF!</definedName>
    <definedName name="PY_TOTAL_DEBT" localSheetId="55">#REF!</definedName>
    <definedName name="PY_TOTAL_DEBT" localSheetId="70">#REF!</definedName>
    <definedName name="PY_TOTAL_DEBT" localSheetId="82">#REF!</definedName>
    <definedName name="PY_TOTAL_DEBT" localSheetId="58">#REF!</definedName>
    <definedName name="PY_TOTAL_DEBT" localSheetId="68">#REF!</definedName>
    <definedName name="PY_TOTAL_DEBT" localSheetId="78">#REF!</definedName>
    <definedName name="PY_TOTAL_DEBT" localSheetId="73">#REF!</definedName>
    <definedName name="PY_TOTAL_DEBT" localSheetId="83">#REF!</definedName>
    <definedName name="PY_TOTAL_DEBT" localSheetId="59">#REF!</definedName>
    <definedName name="PY_TOTAL_DEBT" localSheetId="56">#REF!</definedName>
    <definedName name="PY_TOTAL_DEBT">#REF!</definedName>
    <definedName name="PY_TOTAL_EQUITY" localSheetId="55">#REF!</definedName>
    <definedName name="PY_TOTAL_EQUITY" localSheetId="70">#REF!</definedName>
    <definedName name="PY_TOTAL_EQUITY" localSheetId="82">#REF!</definedName>
    <definedName name="PY_TOTAL_EQUITY" localSheetId="58">#REF!</definedName>
    <definedName name="PY_TOTAL_EQUITY" localSheetId="68">#REF!</definedName>
    <definedName name="PY_TOTAL_EQUITY" localSheetId="78">#REF!</definedName>
    <definedName name="PY_TOTAL_EQUITY" localSheetId="73">#REF!</definedName>
    <definedName name="PY_TOTAL_EQUITY" localSheetId="83">#REF!</definedName>
    <definedName name="PY_TOTAL_EQUITY" localSheetId="59">#REF!</definedName>
    <definedName name="PY_TOTAL_EQUITY" localSheetId="56">#REF!</definedName>
    <definedName name="PY_TOTAL_EQUITY">#REF!</definedName>
    <definedName name="PY_Working_Capital" localSheetId="55">#REF!</definedName>
    <definedName name="PY_Working_Capital" localSheetId="70">#REF!</definedName>
    <definedName name="PY_Working_Capital" localSheetId="82">#REF!</definedName>
    <definedName name="PY_Working_Capital" localSheetId="58">#REF!</definedName>
    <definedName name="PY_Working_Capital" localSheetId="68">#REF!</definedName>
    <definedName name="PY_Working_Capital" localSheetId="78">#REF!</definedName>
    <definedName name="PY_Working_Capital" localSheetId="73">#REF!</definedName>
    <definedName name="PY_Working_Capital" localSheetId="83">#REF!</definedName>
    <definedName name="PY_Working_Capital" localSheetId="59">#REF!</definedName>
    <definedName name="PY_Working_Capital" localSheetId="56">#REF!</definedName>
    <definedName name="PY_Working_Capital">#REF!</definedName>
    <definedName name="PY2_Accounts_Receivable" localSheetId="55">#REF!</definedName>
    <definedName name="PY2_Accounts_Receivable" localSheetId="70">#REF!</definedName>
    <definedName name="PY2_Accounts_Receivable" localSheetId="82">#REF!</definedName>
    <definedName name="PY2_Accounts_Receivable" localSheetId="58">#REF!</definedName>
    <definedName name="PY2_Accounts_Receivable" localSheetId="68">#REF!</definedName>
    <definedName name="PY2_Accounts_Receivable" localSheetId="78">#REF!</definedName>
    <definedName name="PY2_Accounts_Receivable" localSheetId="73">#REF!</definedName>
    <definedName name="PY2_Accounts_Receivable" localSheetId="83">#REF!</definedName>
    <definedName name="PY2_Accounts_Receivable" localSheetId="59">#REF!</definedName>
    <definedName name="PY2_Accounts_Receivable" localSheetId="56">#REF!</definedName>
    <definedName name="PY2_Accounts_Receivable">#REF!</definedName>
    <definedName name="PY2_Administration" localSheetId="55">#REF!</definedName>
    <definedName name="PY2_Administration" localSheetId="70">#REF!</definedName>
    <definedName name="PY2_Administration" localSheetId="82">#REF!</definedName>
    <definedName name="PY2_Administration" localSheetId="58">#REF!</definedName>
    <definedName name="PY2_Administration" localSheetId="68">#REF!</definedName>
    <definedName name="PY2_Administration" localSheetId="78">#REF!</definedName>
    <definedName name="PY2_Administration" localSheetId="73">#REF!</definedName>
    <definedName name="PY2_Administration" localSheetId="83">#REF!</definedName>
    <definedName name="PY2_Administration" localSheetId="59">#REF!</definedName>
    <definedName name="PY2_Administration" localSheetId="56">#REF!</definedName>
    <definedName name="PY2_Administration">#REF!</definedName>
    <definedName name="PY2_Cash" localSheetId="55">#REF!</definedName>
    <definedName name="PY2_Cash" localSheetId="70">#REF!</definedName>
    <definedName name="PY2_Cash" localSheetId="82">#REF!</definedName>
    <definedName name="PY2_Cash" localSheetId="58">#REF!</definedName>
    <definedName name="PY2_Cash" localSheetId="68">#REF!</definedName>
    <definedName name="PY2_Cash" localSheetId="78">#REF!</definedName>
    <definedName name="PY2_Cash" localSheetId="73">#REF!</definedName>
    <definedName name="PY2_Cash" localSheetId="83">#REF!</definedName>
    <definedName name="PY2_Cash" localSheetId="59">#REF!</definedName>
    <definedName name="PY2_Cash" localSheetId="56">#REF!</definedName>
    <definedName name="PY2_Cash">#REF!</definedName>
    <definedName name="PY2_Common_Equity" localSheetId="55">#REF!</definedName>
    <definedName name="PY2_Common_Equity" localSheetId="70">#REF!</definedName>
    <definedName name="PY2_Common_Equity" localSheetId="82">#REF!</definedName>
    <definedName name="PY2_Common_Equity" localSheetId="58">#REF!</definedName>
    <definedName name="PY2_Common_Equity" localSheetId="68">#REF!</definedName>
    <definedName name="PY2_Common_Equity" localSheetId="78">#REF!</definedName>
    <definedName name="PY2_Common_Equity" localSheetId="73">#REF!</definedName>
    <definedName name="PY2_Common_Equity" localSheetId="83">#REF!</definedName>
    <definedName name="PY2_Common_Equity" localSheetId="59">#REF!</definedName>
    <definedName name="PY2_Common_Equity" localSheetId="56">#REF!</definedName>
    <definedName name="PY2_Common_Equity">#REF!</definedName>
    <definedName name="PY2_Cost_of_Sales" localSheetId="55">#REF!</definedName>
    <definedName name="PY2_Cost_of_Sales" localSheetId="70">#REF!</definedName>
    <definedName name="PY2_Cost_of_Sales" localSheetId="82">#REF!</definedName>
    <definedName name="PY2_Cost_of_Sales" localSheetId="58">#REF!</definedName>
    <definedName name="PY2_Cost_of_Sales" localSheetId="68">#REF!</definedName>
    <definedName name="PY2_Cost_of_Sales" localSheetId="78">#REF!</definedName>
    <definedName name="PY2_Cost_of_Sales" localSheetId="73">#REF!</definedName>
    <definedName name="PY2_Cost_of_Sales" localSheetId="83">#REF!</definedName>
    <definedName name="PY2_Cost_of_Sales" localSheetId="59">#REF!</definedName>
    <definedName name="PY2_Cost_of_Sales" localSheetId="56">#REF!</definedName>
    <definedName name="PY2_Cost_of_Sales">#REF!</definedName>
    <definedName name="PY2_Current_Liabilities" localSheetId="55">#REF!</definedName>
    <definedName name="PY2_Current_Liabilities" localSheetId="70">#REF!</definedName>
    <definedName name="PY2_Current_Liabilities" localSheetId="82">#REF!</definedName>
    <definedName name="PY2_Current_Liabilities" localSheetId="58">#REF!</definedName>
    <definedName name="PY2_Current_Liabilities" localSheetId="68">#REF!</definedName>
    <definedName name="PY2_Current_Liabilities" localSheetId="78">#REF!</definedName>
    <definedName name="PY2_Current_Liabilities" localSheetId="73">#REF!</definedName>
    <definedName name="PY2_Current_Liabilities" localSheetId="83">#REF!</definedName>
    <definedName name="PY2_Current_Liabilities" localSheetId="59">#REF!</definedName>
    <definedName name="PY2_Current_Liabilities" localSheetId="56">#REF!</definedName>
    <definedName name="PY2_Current_Liabilities">#REF!</definedName>
    <definedName name="PY2_Depreciation" localSheetId="55">#REF!</definedName>
    <definedName name="PY2_Depreciation" localSheetId="70">#REF!</definedName>
    <definedName name="PY2_Depreciation" localSheetId="82">#REF!</definedName>
    <definedName name="PY2_Depreciation" localSheetId="58">#REF!</definedName>
    <definedName name="PY2_Depreciation" localSheetId="68">#REF!</definedName>
    <definedName name="PY2_Depreciation" localSheetId="78">#REF!</definedName>
    <definedName name="PY2_Depreciation" localSheetId="73">#REF!</definedName>
    <definedName name="PY2_Depreciation" localSheetId="83">#REF!</definedName>
    <definedName name="PY2_Depreciation" localSheetId="59">#REF!</definedName>
    <definedName name="PY2_Depreciation" localSheetId="56">#REF!</definedName>
    <definedName name="PY2_Depreciation">#REF!</definedName>
    <definedName name="PY2_Gross_Profit" localSheetId="55">#REF!</definedName>
    <definedName name="PY2_Gross_Profit" localSheetId="70">#REF!</definedName>
    <definedName name="PY2_Gross_Profit" localSheetId="82">#REF!</definedName>
    <definedName name="PY2_Gross_Profit" localSheetId="58">#REF!</definedName>
    <definedName name="PY2_Gross_Profit" localSheetId="68">#REF!</definedName>
    <definedName name="PY2_Gross_Profit" localSheetId="78">#REF!</definedName>
    <definedName name="PY2_Gross_Profit" localSheetId="73">#REF!</definedName>
    <definedName name="PY2_Gross_Profit" localSheetId="83">#REF!</definedName>
    <definedName name="PY2_Gross_Profit" localSheetId="59">#REF!</definedName>
    <definedName name="PY2_Gross_Profit" localSheetId="56">#REF!</definedName>
    <definedName name="PY2_Gross_Profit">#REF!</definedName>
    <definedName name="PY2_Inc_Bef_Tax" localSheetId="55">#REF!</definedName>
    <definedName name="PY2_Inc_Bef_Tax" localSheetId="70">#REF!</definedName>
    <definedName name="PY2_Inc_Bef_Tax" localSheetId="82">#REF!</definedName>
    <definedName name="PY2_Inc_Bef_Tax" localSheetId="58">#REF!</definedName>
    <definedName name="PY2_Inc_Bef_Tax" localSheetId="68">#REF!</definedName>
    <definedName name="PY2_Inc_Bef_Tax" localSheetId="78">#REF!</definedName>
    <definedName name="PY2_Inc_Bef_Tax" localSheetId="73">#REF!</definedName>
    <definedName name="PY2_Inc_Bef_Tax" localSheetId="83">#REF!</definedName>
    <definedName name="PY2_Inc_Bef_Tax" localSheetId="59">#REF!</definedName>
    <definedName name="PY2_Inc_Bef_Tax" localSheetId="56">#REF!</definedName>
    <definedName name="PY2_Inc_Bef_Tax">#REF!</definedName>
    <definedName name="PY2_Intangible_Assets" localSheetId="55">#REF!</definedName>
    <definedName name="PY2_Intangible_Assets" localSheetId="70">#REF!</definedName>
    <definedName name="PY2_Intangible_Assets" localSheetId="82">#REF!</definedName>
    <definedName name="PY2_Intangible_Assets" localSheetId="58">#REF!</definedName>
    <definedName name="PY2_Intangible_Assets" localSheetId="68">#REF!</definedName>
    <definedName name="PY2_Intangible_Assets" localSheetId="78">#REF!</definedName>
    <definedName name="PY2_Intangible_Assets" localSheetId="73">#REF!</definedName>
    <definedName name="PY2_Intangible_Assets" localSheetId="83">#REF!</definedName>
    <definedName name="PY2_Intangible_Assets" localSheetId="59">#REF!</definedName>
    <definedName name="PY2_Intangible_Assets" localSheetId="56">#REF!</definedName>
    <definedName name="PY2_Intangible_Assets">#REF!</definedName>
    <definedName name="PY2_Interest_Expense" localSheetId="55">#REF!</definedName>
    <definedName name="PY2_Interest_Expense" localSheetId="70">#REF!</definedName>
    <definedName name="PY2_Interest_Expense" localSheetId="82">#REF!</definedName>
    <definedName name="PY2_Interest_Expense" localSheetId="58">#REF!</definedName>
    <definedName name="PY2_Interest_Expense" localSheetId="68">#REF!</definedName>
    <definedName name="PY2_Interest_Expense" localSheetId="78">#REF!</definedName>
    <definedName name="PY2_Interest_Expense" localSheetId="73">#REF!</definedName>
    <definedName name="PY2_Interest_Expense" localSheetId="83">#REF!</definedName>
    <definedName name="PY2_Interest_Expense" localSheetId="59">#REF!</definedName>
    <definedName name="PY2_Interest_Expense" localSheetId="56">#REF!</definedName>
    <definedName name="PY2_Interest_Expense">#REF!</definedName>
    <definedName name="PY2_Inventory" localSheetId="55">#REF!</definedName>
    <definedName name="PY2_Inventory" localSheetId="70">#REF!</definedName>
    <definedName name="PY2_Inventory" localSheetId="82">#REF!</definedName>
    <definedName name="PY2_Inventory" localSheetId="58">#REF!</definedName>
    <definedName name="PY2_Inventory" localSheetId="68">#REF!</definedName>
    <definedName name="PY2_Inventory" localSheetId="78">#REF!</definedName>
    <definedName name="PY2_Inventory" localSheetId="73">#REF!</definedName>
    <definedName name="PY2_Inventory" localSheetId="83">#REF!</definedName>
    <definedName name="PY2_Inventory" localSheetId="59">#REF!</definedName>
    <definedName name="PY2_Inventory" localSheetId="56">#REF!</definedName>
    <definedName name="PY2_Inventory">#REF!</definedName>
    <definedName name="PY2_LIABIL_EQUITY" localSheetId="55">#REF!</definedName>
    <definedName name="PY2_LIABIL_EQUITY" localSheetId="70">#REF!</definedName>
    <definedName name="PY2_LIABIL_EQUITY" localSheetId="82">#REF!</definedName>
    <definedName name="PY2_LIABIL_EQUITY" localSheetId="58">#REF!</definedName>
    <definedName name="PY2_LIABIL_EQUITY" localSheetId="68">#REF!</definedName>
    <definedName name="PY2_LIABIL_EQUITY" localSheetId="78">#REF!</definedName>
    <definedName name="PY2_LIABIL_EQUITY" localSheetId="73">#REF!</definedName>
    <definedName name="PY2_LIABIL_EQUITY" localSheetId="83">#REF!</definedName>
    <definedName name="PY2_LIABIL_EQUITY" localSheetId="59">#REF!</definedName>
    <definedName name="PY2_LIABIL_EQUITY" localSheetId="56">#REF!</definedName>
    <definedName name="PY2_LIABIL_EQUITY">#REF!</definedName>
    <definedName name="PY2_LT_Debt" localSheetId="55">#REF!</definedName>
    <definedName name="PY2_LT_Debt" localSheetId="70">#REF!</definedName>
    <definedName name="PY2_LT_Debt" localSheetId="82">#REF!</definedName>
    <definedName name="PY2_LT_Debt" localSheetId="58">#REF!</definedName>
    <definedName name="PY2_LT_Debt" localSheetId="68">#REF!</definedName>
    <definedName name="PY2_LT_Debt" localSheetId="78">#REF!</definedName>
    <definedName name="PY2_LT_Debt" localSheetId="73">#REF!</definedName>
    <definedName name="PY2_LT_Debt" localSheetId="83">#REF!</definedName>
    <definedName name="PY2_LT_Debt" localSheetId="59">#REF!</definedName>
    <definedName name="PY2_LT_Debt" localSheetId="56">#REF!</definedName>
    <definedName name="PY2_LT_Debt">#REF!</definedName>
    <definedName name="PY2_Marketable_Sec" localSheetId="55">#REF!</definedName>
    <definedName name="PY2_Marketable_Sec" localSheetId="70">#REF!</definedName>
    <definedName name="PY2_Marketable_Sec" localSheetId="82">#REF!</definedName>
    <definedName name="PY2_Marketable_Sec" localSheetId="58">#REF!</definedName>
    <definedName name="PY2_Marketable_Sec" localSheetId="68">#REF!</definedName>
    <definedName name="PY2_Marketable_Sec" localSheetId="78">#REF!</definedName>
    <definedName name="PY2_Marketable_Sec" localSheetId="73">#REF!</definedName>
    <definedName name="PY2_Marketable_Sec" localSheetId="83">#REF!</definedName>
    <definedName name="PY2_Marketable_Sec" localSheetId="59">#REF!</definedName>
    <definedName name="PY2_Marketable_Sec" localSheetId="56">#REF!</definedName>
    <definedName name="PY2_Marketable_Sec">#REF!</definedName>
    <definedName name="PY2_NET_PROFIT" localSheetId="55">#REF!</definedName>
    <definedName name="PY2_NET_PROFIT" localSheetId="70">#REF!</definedName>
    <definedName name="PY2_NET_PROFIT" localSheetId="82">#REF!</definedName>
    <definedName name="PY2_NET_PROFIT" localSheetId="58">#REF!</definedName>
    <definedName name="PY2_NET_PROFIT" localSheetId="68">#REF!</definedName>
    <definedName name="PY2_NET_PROFIT" localSheetId="78">#REF!</definedName>
    <definedName name="PY2_NET_PROFIT" localSheetId="73">#REF!</definedName>
    <definedName name="PY2_NET_PROFIT" localSheetId="83">#REF!</definedName>
    <definedName name="PY2_NET_PROFIT" localSheetId="59">#REF!</definedName>
    <definedName name="PY2_NET_PROFIT" localSheetId="56">#REF!</definedName>
    <definedName name="PY2_NET_PROFIT">#REF!</definedName>
    <definedName name="PY2_Net_Revenue" localSheetId="55">#REF!</definedName>
    <definedName name="PY2_Net_Revenue" localSheetId="70">#REF!</definedName>
    <definedName name="PY2_Net_Revenue" localSheetId="82">#REF!</definedName>
    <definedName name="PY2_Net_Revenue" localSheetId="58">#REF!</definedName>
    <definedName name="PY2_Net_Revenue" localSheetId="68">#REF!</definedName>
    <definedName name="PY2_Net_Revenue" localSheetId="78">#REF!</definedName>
    <definedName name="PY2_Net_Revenue" localSheetId="73">#REF!</definedName>
    <definedName name="PY2_Net_Revenue" localSheetId="83">#REF!</definedName>
    <definedName name="PY2_Net_Revenue" localSheetId="59">#REF!</definedName>
    <definedName name="PY2_Net_Revenue" localSheetId="56">#REF!</definedName>
    <definedName name="PY2_Net_Revenue">#REF!</definedName>
    <definedName name="PY2_Operating_Inc" localSheetId="55">#REF!</definedName>
    <definedName name="PY2_Operating_Inc" localSheetId="70">#REF!</definedName>
    <definedName name="PY2_Operating_Inc" localSheetId="82">#REF!</definedName>
    <definedName name="PY2_Operating_Inc" localSheetId="58">#REF!</definedName>
    <definedName name="PY2_Operating_Inc" localSheetId="68">#REF!</definedName>
    <definedName name="PY2_Operating_Inc" localSheetId="78">#REF!</definedName>
    <definedName name="PY2_Operating_Inc" localSheetId="73">#REF!</definedName>
    <definedName name="PY2_Operating_Inc" localSheetId="83">#REF!</definedName>
    <definedName name="PY2_Operating_Inc" localSheetId="59">#REF!</definedName>
    <definedName name="PY2_Operating_Inc" localSheetId="56">#REF!</definedName>
    <definedName name="PY2_Operating_Inc">#REF!</definedName>
    <definedName name="PY2_Operating_Income" localSheetId="55">#REF!</definedName>
    <definedName name="PY2_Operating_Income" localSheetId="70">#REF!</definedName>
    <definedName name="PY2_Operating_Income" localSheetId="82">#REF!</definedName>
    <definedName name="PY2_Operating_Income" localSheetId="58">#REF!</definedName>
    <definedName name="PY2_Operating_Income" localSheetId="68">#REF!</definedName>
    <definedName name="PY2_Operating_Income" localSheetId="78">#REF!</definedName>
    <definedName name="PY2_Operating_Income" localSheetId="73">#REF!</definedName>
    <definedName name="PY2_Operating_Income" localSheetId="83">#REF!</definedName>
    <definedName name="PY2_Operating_Income" localSheetId="59">#REF!</definedName>
    <definedName name="PY2_Operating_Income" localSheetId="56">#REF!</definedName>
    <definedName name="PY2_Operating_Income">#REF!</definedName>
    <definedName name="PY2_Other_Curr_Assets" localSheetId="55">#REF!</definedName>
    <definedName name="PY2_Other_Curr_Assets" localSheetId="70">#REF!</definedName>
    <definedName name="PY2_Other_Curr_Assets" localSheetId="82">#REF!</definedName>
    <definedName name="PY2_Other_Curr_Assets" localSheetId="58">#REF!</definedName>
    <definedName name="PY2_Other_Curr_Assets" localSheetId="68">#REF!</definedName>
    <definedName name="PY2_Other_Curr_Assets" localSheetId="78">#REF!</definedName>
    <definedName name="PY2_Other_Curr_Assets" localSheetId="73">#REF!</definedName>
    <definedName name="PY2_Other_Curr_Assets" localSheetId="83">#REF!</definedName>
    <definedName name="PY2_Other_Curr_Assets" localSheetId="59">#REF!</definedName>
    <definedName name="PY2_Other_Curr_Assets" localSheetId="56">#REF!</definedName>
    <definedName name="PY2_Other_Curr_Assets">#REF!</definedName>
    <definedName name="PY2_Other_Exp." localSheetId="55">#REF!</definedName>
    <definedName name="PY2_Other_Exp." localSheetId="70">#REF!</definedName>
    <definedName name="PY2_Other_Exp." localSheetId="82">#REF!</definedName>
    <definedName name="PY2_Other_Exp." localSheetId="58">#REF!</definedName>
    <definedName name="PY2_Other_Exp." localSheetId="68">#REF!</definedName>
    <definedName name="PY2_Other_Exp." localSheetId="78">#REF!</definedName>
    <definedName name="PY2_Other_Exp." localSheetId="73">#REF!</definedName>
    <definedName name="PY2_Other_Exp." localSheetId="83">#REF!</definedName>
    <definedName name="PY2_Other_Exp." localSheetId="59">#REF!</definedName>
    <definedName name="PY2_Other_Exp." localSheetId="56">#REF!</definedName>
    <definedName name="PY2_Other_Exp.">#REF!</definedName>
    <definedName name="PY2_Other_LT_Assets" localSheetId="55">#REF!</definedName>
    <definedName name="PY2_Other_LT_Assets" localSheetId="70">#REF!</definedName>
    <definedName name="PY2_Other_LT_Assets" localSheetId="82">#REF!</definedName>
    <definedName name="PY2_Other_LT_Assets" localSheetId="58">#REF!</definedName>
    <definedName name="PY2_Other_LT_Assets" localSheetId="68">#REF!</definedName>
    <definedName name="PY2_Other_LT_Assets" localSheetId="78">#REF!</definedName>
    <definedName name="PY2_Other_LT_Assets" localSheetId="73">#REF!</definedName>
    <definedName name="PY2_Other_LT_Assets" localSheetId="83">#REF!</definedName>
    <definedName name="PY2_Other_LT_Assets" localSheetId="59">#REF!</definedName>
    <definedName name="PY2_Other_LT_Assets" localSheetId="56">#REF!</definedName>
    <definedName name="PY2_Other_LT_Assets">#REF!</definedName>
    <definedName name="PY2_Other_LT_Liabilities" localSheetId="55">#REF!</definedName>
    <definedName name="PY2_Other_LT_Liabilities" localSheetId="70">#REF!</definedName>
    <definedName name="PY2_Other_LT_Liabilities" localSheetId="82">#REF!</definedName>
    <definedName name="PY2_Other_LT_Liabilities" localSheetId="58">#REF!</definedName>
    <definedName name="PY2_Other_LT_Liabilities" localSheetId="68">#REF!</definedName>
    <definedName name="PY2_Other_LT_Liabilities" localSheetId="78">#REF!</definedName>
    <definedName name="PY2_Other_LT_Liabilities" localSheetId="73">#REF!</definedName>
    <definedName name="PY2_Other_LT_Liabilities" localSheetId="83">#REF!</definedName>
    <definedName name="PY2_Other_LT_Liabilities" localSheetId="59">#REF!</definedName>
    <definedName name="PY2_Other_LT_Liabilities" localSheetId="56">#REF!</definedName>
    <definedName name="PY2_Other_LT_Liabilities">#REF!</definedName>
    <definedName name="PY2_Preferred_Stock" localSheetId="55">#REF!</definedName>
    <definedName name="PY2_Preferred_Stock" localSheetId="70">#REF!</definedName>
    <definedName name="PY2_Preferred_Stock" localSheetId="82">#REF!</definedName>
    <definedName name="PY2_Preferred_Stock" localSheetId="58">#REF!</definedName>
    <definedName name="PY2_Preferred_Stock" localSheetId="68">#REF!</definedName>
    <definedName name="PY2_Preferred_Stock" localSheetId="78">#REF!</definedName>
    <definedName name="PY2_Preferred_Stock" localSheetId="73">#REF!</definedName>
    <definedName name="PY2_Preferred_Stock" localSheetId="83">#REF!</definedName>
    <definedName name="PY2_Preferred_Stock" localSheetId="59">#REF!</definedName>
    <definedName name="PY2_Preferred_Stock" localSheetId="56">#REF!</definedName>
    <definedName name="PY2_Preferred_Stock">#REF!</definedName>
    <definedName name="PY2_QUICK_ASSETS" localSheetId="55">#REF!</definedName>
    <definedName name="PY2_QUICK_ASSETS" localSheetId="70">#REF!</definedName>
    <definedName name="PY2_QUICK_ASSETS" localSheetId="82">#REF!</definedName>
    <definedName name="PY2_QUICK_ASSETS" localSheetId="58">#REF!</definedName>
    <definedName name="PY2_QUICK_ASSETS" localSheetId="68">#REF!</definedName>
    <definedName name="PY2_QUICK_ASSETS" localSheetId="78">#REF!</definedName>
    <definedName name="PY2_QUICK_ASSETS" localSheetId="73">#REF!</definedName>
    <definedName name="PY2_QUICK_ASSETS" localSheetId="83">#REF!</definedName>
    <definedName name="PY2_QUICK_ASSETS" localSheetId="59">#REF!</definedName>
    <definedName name="PY2_QUICK_ASSETS" localSheetId="56">#REF!</definedName>
    <definedName name="PY2_QUICK_ASSETS">#REF!</definedName>
    <definedName name="PY2_Retained_Earnings" localSheetId="55">#REF!</definedName>
    <definedName name="PY2_Retained_Earnings" localSheetId="70">#REF!</definedName>
    <definedName name="PY2_Retained_Earnings" localSheetId="82">#REF!</definedName>
    <definedName name="PY2_Retained_Earnings" localSheetId="58">#REF!</definedName>
    <definedName name="PY2_Retained_Earnings" localSheetId="68">#REF!</definedName>
    <definedName name="PY2_Retained_Earnings" localSheetId="78">#REF!</definedName>
    <definedName name="PY2_Retained_Earnings" localSheetId="73">#REF!</definedName>
    <definedName name="PY2_Retained_Earnings" localSheetId="83">#REF!</definedName>
    <definedName name="PY2_Retained_Earnings" localSheetId="59">#REF!</definedName>
    <definedName name="PY2_Retained_Earnings" localSheetId="56">#REF!</definedName>
    <definedName name="PY2_Retained_Earnings">#REF!</definedName>
    <definedName name="PY2_Selling" localSheetId="55">#REF!</definedName>
    <definedName name="PY2_Selling" localSheetId="70">#REF!</definedName>
    <definedName name="PY2_Selling" localSheetId="82">#REF!</definedName>
    <definedName name="PY2_Selling" localSheetId="58">#REF!</definedName>
    <definedName name="PY2_Selling" localSheetId="68">#REF!</definedName>
    <definedName name="PY2_Selling" localSheetId="78">#REF!</definedName>
    <definedName name="PY2_Selling" localSheetId="73">#REF!</definedName>
    <definedName name="PY2_Selling" localSheetId="83">#REF!</definedName>
    <definedName name="PY2_Selling" localSheetId="59">#REF!</definedName>
    <definedName name="PY2_Selling" localSheetId="56">#REF!</definedName>
    <definedName name="PY2_Selling">#REF!</definedName>
    <definedName name="PY2_Tangible_Assets" localSheetId="55">#REF!</definedName>
    <definedName name="PY2_Tangible_Assets" localSheetId="70">#REF!</definedName>
    <definedName name="PY2_Tangible_Assets" localSheetId="82">#REF!</definedName>
    <definedName name="PY2_Tangible_Assets" localSheetId="58">#REF!</definedName>
    <definedName name="PY2_Tangible_Assets" localSheetId="68">#REF!</definedName>
    <definedName name="PY2_Tangible_Assets" localSheetId="78">#REF!</definedName>
    <definedName name="PY2_Tangible_Assets" localSheetId="73">#REF!</definedName>
    <definedName name="PY2_Tangible_Assets" localSheetId="83">#REF!</definedName>
    <definedName name="PY2_Tangible_Assets" localSheetId="59">#REF!</definedName>
    <definedName name="PY2_Tangible_Assets" localSheetId="56">#REF!</definedName>
    <definedName name="PY2_Tangible_Assets">#REF!</definedName>
    <definedName name="PY2_Tangible_Net_Worth" localSheetId="55">#REF!</definedName>
    <definedName name="PY2_Tangible_Net_Worth" localSheetId="70">#REF!</definedName>
    <definedName name="PY2_Tangible_Net_Worth" localSheetId="82">#REF!</definedName>
    <definedName name="PY2_Tangible_Net_Worth" localSheetId="58">#REF!</definedName>
    <definedName name="PY2_Tangible_Net_Worth" localSheetId="68">#REF!</definedName>
    <definedName name="PY2_Tangible_Net_Worth" localSheetId="78">#REF!</definedName>
    <definedName name="PY2_Tangible_Net_Worth" localSheetId="73">#REF!</definedName>
    <definedName name="PY2_Tangible_Net_Worth" localSheetId="83">#REF!</definedName>
    <definedName name="PY2_Tangible_Net_Worth" localSheetId="59">#REF!</definedName>
    <definedName name="PY2_Tangible_Net_Worth" localSheetId="56">#REF!</definedName>
    <definedName name="PY2_Tangible_Net_Worth">#REF!</definedName>
    <definedName name="PY2_Taxes" localSheetId="55">#REF!</definedName>
    <definedName name="PY2_Taxes" localSheetId="70">#REF!</definedName>
    <definedName name="PY2_Taxes" localSheetId="82">#REF!</definedName>
    <definedName name="PY2_Taxes" localSheetId="58">#REF!</definedName>
    <definedName name="PY2_Taxes" localSheetId="68">#REF!</definedName>
    <definedName name="PY2_Taxes" localSheetId="78">#REF!</definedName>
    <definedName name="PY2_Taxes" localSheetId="73">#REF!</definedName>
    <definedName name="PY2_Taxes" localSheetId="83">#REF!</definedName>
    <definedName name="PY2_Taxes" localSheetId="59">#REF!</definedName>
    <definedName name="PY2_Taxes" localSheetId="56">#REF!</definedName>
    <definedName name="PY2_Taxes">#REF!</definedName>
    <definedName name="PY2_TOTAL_ASSETS" localSheetId="55">#REF!</definedName>
    <definedName name="PY2_TOTAL_ASSETS" localSheetId="70">#REF!</definedName>
    <definedName name="PY2_TOTAL_ASSETS" localSheetId="82">#REF!</definedName>
    <definedName name="PY2_TOTAL_ASSETS" localSheetId="58">#REF!</definedName>
    <definedName name="PY2_TOTAL_ASSETS" localSheetId="68">#REF!</definedName>
    <definedName name="PY2_TOTAL_ASSETS" localSheetId="78">#REF!</definedName>
    <definedName name="PY2_TOTAL_ASSETS" localSheetId="73">#REF!</definedName>
    <definedName name="PY2_TOTAL_ASSETS" localSheetId="83">#REF!</definedName>
    <definedName name="PY2_TOTAL_ASSETS" localSheetId="59">#REF!</definedName>
    <definedName name="PY2_TOTAL_ASSETS" localSheetId="56">#REF!</definedName>
    <definedName name="PY2_TOTAL_ASSETS">#REF!</definedName>
    <definedName name="PY2_TOTAL_CURR_ASSETS" localSheetId="55">#REF!</definedName>
    <definedName name="PY2_TOTAL_CURR_ASSETS" localSheetId="70">#REF!</definedName>
    <definedName name="PY2_TOTAL_CURR_ASSETS" localSheetId="82">#REF!</definedName>
    <definedName name="PY2_TOTAL_CURR_ASSETS" localSheetId="58">#REF!</definedName>
    <definedName name="PY2_TOTAL_CURR_ASSETS" localSheetId="68">#REF!</definedName>
    <definedName name="PY2_TOTAL_CURR_ASSETS" localSheetId="78">#REF!</definedName>
    <definedName name="PY2_TOTAL_CURR_ASSETS" localSheetId="73">#REF!</definedName>
    <definedName name="PY2_TOTAL_CURR_ASSETS" localSheetId="83">#REF!</definedName>
    <definedName name="PY2_TOTAL_CURR_ASSETS" localSheetId="59">#REF!</definedName>
    <definedName name="PY2_TOTAL_CURR_ASSETS" localSheetId="56">#REF!</definedName>
    <definedName name="PY2_TOTAL_CURR_ASSETS">#REF!</definedName>
    <definedName name="PY2_TOTAL_DEBT" localSheetId="55">#REF!</definedName>
    <definedName name="PY2_TOTAL_DEBT" localSheetId="70">#REF!</definedName>
    <definedName name="PY2_TOTAL_DEBT" localSheetId="82">#REF!</definedName>
    <definedName name="PY2_TOTAL_DEBT" localSheetId="58">#REF!</definedName>
    <definedName name="PY2_TOTAL_DEBT" localSheetId="68">#REF!</definedName>
    <definedName name="PY2_TOTAL_DEBT" localSheetId="78">#REF!</definedName>
    <definedName name="PY2_TOTAL_DEBT" localSheetId="73">#REF!</definedName>
    <definedName name="PY2_TOTAL_DEBT" localSheetId="83">#REF!</definedName>
    <definedName name="PY2_TOTAL_DEBT" localSheetId="59">#REF!</definedName>
    <definedName name="PY2_TOTAL_DEBT" localSheetId="56">#REF!</definedName>
    <definedName name="PY2_TOTAL_DEBT">#REF!</definedName>
    <definedName name="PY2_TOTAL_EQUITY" localSheetId="55">#REF!</definedName>
    <definedName name="PY2_TOTAL_EQUITY" localSheetId="70">#REF!</definedName>
    <definedName name="PY2_TOTAL_EQUITY" localSheetId="82">#REF!</definedName>
    <definedName name="PY2_TOTAL_EQUITY" localSheetId="58">#REF!</definedName>
    <definedName name="PY2_TOTAL_EQUITY" localSheetId="68">#REF!</definedName>
    <definedName name="PY2_TOTAL_EQUITY" localSheetId="78">#REF!</definedName>
    <definedName name="PY2_TOTAL_EQUITY" localSheetId="73">#REF!</definedName>
    <definedName name="PY2_TOTAL_EQUITY" localSheetId="83">#REF!</definedName>
    <definedName name="PY2_TOTAL_EQUITY" localSheetId="59">#REF!</definedName>
    <definedName name="PY2_TOTAL_EQUITY" localSheetId="56">#REF!</definedName>
    <definedName name="PY2_TOTAL_EQUITY">#REF!</definedName>
    <definedName name="PY2_Working_Capital" localSheetId="55">#REF!</definedName>
    <definedName name="PY2_Working_Capital" localSheetId="70">#REF!</definedName>
    <definedName name="PY2_Working_Capital" localSheetId="82">#REF!</definedName>
    <definedName name="PY2_Working_Capital" localSheetId="58">#REF!</definedName>
    <definedName name="PY2_Working_Capital" localSheetId="68">#REF!</definedName>
    <definedName name="PY2_Working_Capital" localSheetId="78">#REF!</definedName>
    <definedName name="PY2_Working_Capital" localSheetId="73">#REF!</definedName>
    <definedName name="PY2_Working_Capital" localSheetId="83">#REF!</definedName>
    <definedName name="PY2_Working_Capital" localSheetId="59">#REF!</definedName>
    <definedName name="PY2_Working_Capital" localSheetId="56">#REF!</definedName>
    <definedName name="PY2_Working_Capital">#REF!</definedName>
    <definedName name="Účty">[1]Sheet3!$A$4:$BF$371</definedName>
    <definedName name="VER_CF_BALANCES" localSheetId="55">#REF!</definedName>
    <definedName name="VER_CF_BALANCES" localSheetId="80">#REF!</definedName>
    <definedName name="VER_CF_BALANCES" localSheetId="71">#REF!</definedName>
    <definedName name="VER_CF_BALANCES" localSheetId="69">#REF!</definedName>
    <definedName name="VER_CF_BALANCES" localSheetId="70">#REF!</definedName>
    <definedName name="VER_CF_BALANCES" localSheetId="79">#REF!</definedName>
    <definedName name="VER_CF_BALANCES" localSheetId="82">#REF!</definedName>
    <definedName name="VER_CF_BALANCES" localSheetId="58">#REF!</definedName>
    <definedName name="VER_CF_BALANCES" localSheetId="64">#REF!</definedName>
    <definedName name="VER_CF_BALANCES" localSheetId="68">#REF!</definedName>
    <definedName name="VER_CF_BALANCES" localSheetId="78">#REF!</definedName>
    <definedName name="VER_CF_BALANCES" localSheetId="0">#REF!</definedName>
    <definedName name="VER_CF_BALANCES" localSheetId="72">#REF!</definedName>
    <definedName name="VER_CF_BALANCES" localSheetId="73">#REF!</definedName>
    <definedName name="VER_CF_BALANCES" localSheetId="74">#REF!</definedName>
    <definedName name="VER_CF_BALANCES" localSheetId="81">#REF!</definedName>
    <definedName name="VER_CF_BALANCES" localSheetId="83">#REF!</definedName>
    <definedName name="VER_CF_BALANCES" localSheetId="66">#REF!</definedName>
    <definedName name="VER_CF_BALANCES" localSheetId="59">#REF!</definedName>
    <definedName name="VER_CF_BALANCES" localSheetId="65">#REF!</definedName>
    <definedName name="VER_CF_BALANCES" localSheetId="76">#REF!</definedName>
    <definedName name="VER_CF_BALANCES" localSheetId="63">#REF!</definedName>
    <definedName name="VER_CF_BALANCES" localSheetId="56">#REF!</definedName>
    <definedName name="VER_CF_BALANCES" localSheetId="57">#REF!</definedName>
    <definedName name="VER_CF_BALANCES">#REF!</definedName>
    <definedName name="VER_SH_RATIOS" localSheetId="55">#REF!</definedName>
    <definedName name="VER_SH_RATIOS" localSheetId="80">#REF!</definedName>
    <definedName name="VER_SH_RATIOS" localSheetId="71">#REF!</definedName>
    <definedName name="VER_SH_RATIOS" localSheetId="69">#REF!</definedName>
    <definedName name="VER_SH_RATIOS" localSheetId="70">#REF!</definedName>
    <definedName name="VER_SH_RATIOS" localSheetId="79">#REF!</definedName>
    <definedName name="VER_SH_RATIOS" localSheetId="82">#REF!</definedName>
    <definedName name="VER_SH_RATIOS" localSheetId="58">#REF!</definedName>
    <definedName name="VER_SH_RATIOS" localSheetId="64">#REF!</definedName>
    <definedName name="VER_SH_RATIOS" localSheetId="68">#REF!</definedName>
    <definedName name="VER_SH_RATIOS" localSheetId="78">#REF!</definedName>
    <definedName name="VER_SH_RATIOS" localSheetId="0">#REF!</definedName>
    <definedName name="VER_SH_RATIOS" localSheetId="72">#REF!</definedName>
    <definedName name="VER_SH_RATIOS" localSheetId="73">#REF!</definedName>
    <definedName name="VER_SH_RATIOS" localSheetId="74">#REF!</definedName>
    <definedName name="VER_SH_RATIOS" localSheetId="81">#REF!</definedName>
    <definedName name="VER_SH_RATIOS" localSheetId="83">#REF!</definedName>
    <definedName name="VER_SH_RATIOS" localSheetId="66">#REF!</definedName>
    <definedName name="VER_SH_RATIOS" localSheetId="59">#REF!</definedName>
    <definedName name="VER_SH_RATIOS" localSheetId="65">#REF!</definedName>
    <definedName name="VER_SH_RATIOS" localSheetId="76">#REF!</definedName>
    <definedName name="VER_SH_RATIOS" localSheetId="63">#REF!</definedName>
    <definedName name="VER_SH_RATIOS" localSheetId="56">#REF!</definedName>
    <definedName name="VER_SH_RATIOS" localSheetId="57">#REF!</definedName>
    <definedName name="VER_SH_RATIOS">#REF!</definedName>
    <definedName name="VER_SCH_10" localSheetId="55">#REF!</definedName>
    <definedName name="VER_SCH_10" localSheetId="80">#REF!</definedName>
    <definedName name="VER_SCH_10" localSheetId="71">#REF!</definedName>
    <definedName name="VER_SCH_10" localSheetId="69">#REF!</definedName>
    <definedName name="VER_SCH_10" localSheetId="70">#REF!</definedName>
    <definedName name="VER_SCH_10" localSheetId="79">#REF!</definedName>
    <definedName name="VER_SCH_10" localSheetId="82">#REF!</definedName>
    <definedName name="VER_SCH_10" localSheetId="58">#REF!</definedName>
    <definedName name="VER_SCH_10" localSheetId="64">#REF!</definedName>
    <definedName name="VER_SCH_10" localSheetId="68">#REF!</definedName>
    <definedName name="VER_SCH_10" localSheetId="78">#REF!</definedName>
    <definedName name="VER_SCH_10" localSheetId="0">#REF!</definedName>
    <definedName name="VER_SCH_10" localSheetId="72">#REF!</definedName>
    <definedName name="VER_SCH_10" localSheetId="73">#REF!</definedName>
    <definedName name="VER_SCH_10" localSheetId="74">#REF!</definedName>
    <definedName name="VER_SCH_10" localSheetId="81">#REF!</definedName>
    <definedName name="VER_SCH_10" localSheetId="83">#REF!</definedName>
    <definedName name="VER_SCH_10" localSheetId="66">#REF!</definedName>
    <definedName name="VER_SCH_10" localSheetId="59">#REF!</definedName>
    <definedName name="VER_SCH_10" localSheetId="65">#REF!</definedName>
    <definedName name="VER_SCH_10" localSheetId="76">#REF!</definedName>
    <definedName name="VER_SCH_10" localSheetId="63">#REF!</definedName>
    <definedName name="VER_SCH_10" localSheetId="56">#REF!</definedName>
    <definedName name="VER_SCH_10" localSheetId="57">#REF!</definedName>
    <definedName name="VER_SCH_10">#REF!</definedName>
    <definedName name="VER_SCH_14" localSheetId="55">#REF!</definedName>
    <definedName name="VER_SCH_14" localSheetId="70">#REF!</definedName>
    <definedName name="VER_SCH_14" localSheetId="82">#REF!</definedName>
    <definedName name="VER_SCH_14" localSheetId="58">#REF!</definedName>
    <definedName name="VER_SCH_14" localSheetId="68">#REF!</definedName>
    <definedName name="VER_SCH_14" localSheetId="78">#REF!</definedName>
    <definedName name="VER_SCH_14" localSheetId="73">#REF!</definedName>
    <definedName name="VER_SCH_14" localSheetId="83">#REF!</definedName>
    <definedName name="VER_SCH_14" localSheetId="59">#REF!</definedName>
    <definedName name="VER_SCH_14" localSheetId="76">#REF!</definedName>
    <definedName name="VER_SCH_14" localSheetId="63">#REF!</definedName>
    <definedName name="VER_SCH_14" localSheetId="56">#REF!</definedName>
    <definedName name="VER_SCH_14">#REF!</definedName>
    <definedName name="VER_SCH_2" localSheetId="55">#REF!</definedName>
    <definedName name="VER_SCH_2" localSheetId="70">#REF!</definedName>
    <definedName name="VER_SCH_2" localSheetId="82">#REF!</definedName>
    <definedName name="VER_SCH_2" localSheetId="58">#REF!</definedName>
    <definedName name="VER_SCH_2" localSheetId="68">#REF!</definedName>
    <definedName name="VER_SCH_2" localSheetId="78">#REF!</definedName>
    <definedName name="VER_SCH_2" localSheetId="73">#REF!</definedName>
    <definedName name="VER_SCH_2" localSheetId="83">#REF!</definedName>
    <definedName name="VER_SCH_2" localSheetId="59">#REF!</definedName>
    <definedName name="VER_SCH_2" localSheetId="76">#REF!</definedName>
    <definedName name="VER_SCH_2" localSheetId="63">#REF!</definedName>
    <definedName name="VER_SCH_2" localSheetId="56">#REF!</definedName>
    <definedName name="VER_SCH_2">#REF!</definedName>
    <definedName name="VER_SCH_7" localSheetId="55">#REF!</definedName>
    <definedName name="VER_SCH_7" localSheetId="70">#REF!</definedName>
    <definedName name="VER_SCH_7" localSheetId="82">#REF!</definedName>
    <definedName name="VER_SCH_7" localSheetId="58">#REF!</definedName>
    <definedName name="VER_SCH_7" localSheetId="68">#REF!</definedName>
    <definedName name="VER_SCH_7" localSheetId="78">#REF!</definedName>
    <definedName name="VER_SCH_7" localSheetId="73">#REF!</definedName>
    <definedName name="VER_SCH_7" localSheetId="83">#REF!</definedName>
    <definedName name="VER_SCH_7" localSheetId="59">#REF!</definedName>
    <definedName name="VER_SCH_7" localSheetId="76">#REF!</definedName>
    <definedName name="VER_SCH_7" localSheetId="63">#REF!</definedName>
    <definedName name="VER_SCH_7" localSheetId="56">#REF!</definedName>
    <definedName name="VER_SCH_7">#REF!</definedName>
    <definedName name="Visit">[1]Sheet2!$I$3</definedName>
    <definedName name="wrn.Aging._.and._.Trend._.Analysis." localSheetId="55" hidden="1">{#N/A,#N/A,FALSE,"Aging Summary";#N/A,#N/A,FALSE,"Ratio Analysis";#N/A,#N/A,FALSE,"Test 120 Day Accts";#N/A,#N/A,FALSE,"Tickmarks"}</definedName>
    <definedName name="wrn.Aging._.and._.Trend._.Analysis." localSheetId="70" hidden="1">{#N/A,#N/A,FALSE,"Aging Summary";#N/A,#N/A,FALSE,"Ratio Analysis";#N/A,#N/A,FALSE,"Test 120 Day Accts";#N/A,#N/A,FALSE,"Tickmarks"}</definedName>
    <definedName name="wrn.Aging._.and._.Trend._.Analysis." localSheetId="82" hidden="1">{#N/A,#N/A,FALSE,"Aging Summary";#N/A,#N/A,FALSE,"Ratio Analysis";#N/A,#N/A,FALSE,"Test 120 Day Accts";#N/A,#N/A,FALSE,"Tickmarks"}</definedName>
    <definedName name="wrn.Aging._.and._.Trend._.Analysis." localSheetId="58" hidden="1">{#N/A,#N/A,FALSE,"Aging Summary";#N/A,#N/A,FALSE,"Ratio Analysis";#N/A,#N/A,FALSE,"Test 120 Day Accts";#N/A,#N/A,FALSE,"Tickmarks"}</definedName>
    <definedName name="wrn.Aging._.and._.Trend._.Analysis." localSheetId="77" hidden="1">{#N/A,#N/A,FALSE,"Aging Summary";#N/A,#N/A,FALSE,"Ratio Analysis";#N/A,#N/A,FALSE,"Test 120 Day Accts";#N/A,#N/A,FALSE,"Tickmarks"}</definedName>
    <definedName name="wrn.Aging._.and._.Trend._.Analysis." localSheetId="73" hidden="1">{#N/A,#N/A,FALSE,"Aging Summary";#N/A,#N/A,FALSE,"Ratio Analysis";#N/A,#N/A,FALSE,"Test 120 Day Accts";#N/A,#N/A,FALSE,"Tickmarks"}</definedName>
    <definedName name="wrn.Aging._.and._.Trend._.Analysis." localSheetId="83" hidden="1">{#N/A,#N/A,FALSE,"Aging Summary";#N/A,#N/A,FALSE,"Ratio Analysis";#N/A,#N/A,FALSE,"Test 120 Day Accts";#N/A,#N/A,FALSE,"Tickmarks"}</definedName>
    <definedName name="wrn.Aging._.and._.Trend._.Analysis." localSheetId="59" hidden="1">{#N/A,#N/A,FALSE,"Aging Summary";#N/A,#N/A,FALSE,"Ratio Analysis";#N/A,#N/A,FALSE,"Test 120 Day Accts";#N/A,#N/A,FALSE,"Tickmarks"}</definedName>
    <definedName name="wrn.Aging._.and._.Trend._.Analysis." localSheetId="56" hidden="1">{#N/A,#N/A,FALSE,"Aging Summary";#N/A,#N/A,FALSE,"Ratio Analysis";#N/A,#N/A,FALSE,"Test 120 Day Accts";#N/A,#N/A,FALSE,"Tickmarks"}</definedName>
    <definedName name="wrn.Aging._.and._.Trend._.Analysis." hidden="1">{#N/A,#N/A,FALSE,"Aging Summary";#N/A,#N/A,FALSE,"Ratio Analysis";#N/A,#N/A,FALSE,"Test 120 Day Accts";#N/A,#N/A,FALSE,"Tickmarks"}</definedName>
    <definedName name="YearEnd">[1]Sheet2!$I$2</definedName>
    <definedName name="Z_4D14509E_B826_11D1_8159_444553540000_.wvu.Cols" localSheetId="55" hidden="1">BS!#REF!</definedName>
    <definedName name="Z_4D14509E_B826_11D1_8159_444553540000_.wvu.Cols" localSheetId="61" hidden="1">'BS old'!#REF!</definedName>
    <definedName name="Z_4D14509E_B826_11D1_8159_444553540000_.wvu.Cols" localSheetId="56" hidden="1">'P&amp;L'!#REF!</definedName>
    <definedName name="Z_4D14509E_B826_11D1_8159_444553540000_.wvu.Cols" localSheetId="62" hidden="1">'P&amp;L old'!#REF!</definedName>
  </definedNames>
  <calcPr calcId="179017"/>
</workbook>
</file>

<file path=xl/calcChain.xml><?xml version="1.0" encoding="utf-8"?>
<calcChain xmlns="http://schemas.openxmlformats.org/spreadsheetml/2006/main">
  <c r="Y494" i="86" l="1"/>
  <c r="AG866" i="86" l="1"/>
  <c r="AF866" i="86"/>
  <c r="AE866" i="86"/>
  <c r="AC866" i="86"/>
  <c r="AB866" i="86"/>
  <c r="AA866" i="86"/>
  <c r="Y866" i="86"/>
  <c r="X866" i="86"/>
  <c r="W866" i="86"/>
  <c r="U866" i="86"/>
  <c r="T866" i="86"/>
  <c r="S866" i="86"/>
  <c r="AG865" i="86"/>
  <c r="AF865" i="86"/>
  <c r="AE865" i="86"/>
  <c r="AC865" i="86"/>
  <c r="AB865" i="86"/>
  <c r="AA865" i="86"/>
  <c r="Z865" i="86"/>
  <c r="Y865" i="86"/>
  <c r="X865" i="86"/>
  <c r="W865" i="86"/>
  <c r="V865" i="86"/>
  <c r="U865" i="86"/>
  <c r="T865" i="86"/>
  <c r="S865" i="86"/>
  <c r="R865" i="86"/>
  <c r="AG864" i="86"/>
  <c r="AF864" i="86"/>
  <c r="AE864" i="86"/>
  <c r="AC864" i="86"/>
  <c r="AB864" i="86"/>
  <c r="AA864" i="86"/>
  <c r="Z864" i="86"/>
  <c r="Y864" i="86"/>
  <c r="X864" i="86"/>
  <c r="W864" i="86"/>
  <c r="V864" i="86"/>
  <c r="U864" i="86"/>
  <c r="T864" i="86"/>
  <c r="S864" i="86"/>
  <c r="R864" i="86"/>
  <c r="AG863" i="86"/>
  <c r="AF863" i="86"/>
  <c r="AE863" i="86"/>
  <c r="AC863" i="86"/>
  <c r="AB863" i="86"/>
  <c r="AA863" i="86"/>
  <c r="Y863" i="86"/>
  <c r="X863" i="86"/>
  <c r="W863" i="86"/>
  <c r="U863" i="86"/>
  <c r="T863" i="86"/>
  <c r="S863" i="86"/>
  <c r="R863" i="86"/>
  <c r="AG862" i="86"/>
  <c r="AF862" i="86"/>
  <c r="AE862" i="86"/>
  <c r="AC862" i="86"/>
  <c r="AB862" i="86"/>
  <c r="AA862" i="86"/>
  <c r="Z862" i="86"/>
  <c r="Y862" i="86"/>
  <c r="X862" i="86"/>
  <c r="W862" i="86"/>
  <c r="V862" i="86"/>
  <c r="U862" i="86"/>
  <c r="T862" i="86"/>
  <c r="S862" i="86"/>
  <c r="R862" i="86"/>
  <c r="AG861" i="86"/>
  <c r="AF861" i="86"/>
  <c r="AE861" i="86"/>
  <c r="AC861" i="86"/>
  <c r="AB861" i="86"/>
  <c r="AA861" i="86"/>
  <c r="Z861" i="86"/>
  <c r="Y861" i="86"/>
  <c r="X861" i="86"/>
  <c r="W861" i="86"/>
  <c r="V861" i="86"/>
  <c r="U861" i="86"/>
  <c r="T861" i="86"/>
  <c r="S861" i="86"/>
  <c r="R861" i="86"/>
  <c r="AG860" i="86"/>
  <c r="AF860" i="86"/>
  <c r="AE860" i="86"/>
  <c r="AC860" i="86"/>
  <c r="AB860" i="86"/>
  <c r="AA860" i="86"/>
  <c r="Z860" i="86"/>
  <c r="Y860" i="86"/>
  <c r="X860" i="86"/>
  <c r="W860" i="86"/>
  <c r="V860" i="86"/>
  <c r="U860" i="86"/>
  <c r="T860" i="86"/>
  <c r="S860" i="86"/>
  <c r="R860" i="86"/>
  <c r="AG859" i="86"/>
  <c r="AF859" i="86"/>
  <c r="AE859" i="86"/>
  <c r="AC859" i="86"/>
  <c r="AB859" i="86"/>
  <c r="AA859" i="86"/>
  <c r="Z859" i="86"/>
  <c r="Y859" i="86"/>
  <c r="X859" i="86"/>
  <c r="W859" i="86"/>
  <c r="V859" i="86"/>
  <c r="U859" i="86"/>
  <c r="T859" i="86"/>
  <c r="S859" i="86"/>
  <c r="R859" i="86"/>
  <c r="AG858" i="86"/>
  <c r="AF858" i="86"/>
  <c r="AE858" i="86"/>
  <c r="AC858" i="86"/>
  <c r="AB858" i="86"/>
  <c r="AA858" i="86"/>
  <c r="Z858" i="86"/>
  <c r="Y858" i="86"/>
  <c r="X858" i="86"/>
  <c r="W858" i="86"/>
  <c r="V858" i="86"/>
  <c r="U858" i="86"/>
  <c r="T858" i="86"/>
  <c r="S858" i="86"/>
  <c r="R858" i="86"/>
  <c r="AG857" i="86"/>
  <c r="AF857" i="86"/>
  <c r="AE857" i="86"/>
  <c r="AC857" i="86"/>
  <c r="AB857" i="86"/>
  <c r="AA857" i="86"/>
  <c r="Z857" i="86"/>
  <c r="Y857" i="86"/>
  <c r="X857" i="86"/>
  <c r="W857" i="86"/>
  <c r="V857" i="86"/>
  <c r="U857" i="86"/>
  <c r="T857" i="86"/>
  <c r="S857" i="86"/>
  <c r="R857" i="86"/>
  <c r="AG856" i="86"/>
  <c r="AF856" i="86"/>
  <c r="AE856" i="86"/>
  <c r="AC856" i="86"/>
  <c r="AB856" i="86"/>
  <c r="AA856" i="86"/>
  <c r="Z856" i="86"/>
  <c r="Y856" i="86"/>
  <c r="X856" i="86"/>
  <c r="W856" i="86"/>
  <c r="V856" i="86"/>
  <c r="U856" i="86"/>
  <c r="T856" i="86"/>
  <c r="S856" i="86"/>
  <c r="R856" i="86"/>
  <c r="AG855" i="86"/>
  <c r="AF855" i="86"/>
  <c r="AE855" i="86"/>
  <c r="AC855" i="86"/>
  <c r="AB855" i="86"/>
  <c r="AA855" i="86"/>
  <c r="Z855" i="86"/>
  <c r="Y855" i="86"/>
  <c r="X855" i="86"/>
  <c r="W855" i="86"/>
  <c r="V855" i="86"/>
  <c r="U855" i="86"/>
  <c r="T855" i="86"/>
  <c r="S855" i="86"/>
  <c r="R855" i="86"/>
  <c r="AG854" i="86"/>
  <c r="AF854" i="86"/>
  <c r="AE854" i="86"/>
  <c r="AC854" i="86"/>
  <c r="AB854" i="86"/>
  <c r="AA854" i="86"/>
  <c r="Z854" i="86"/>
  <c r="Y854" i="86"/>
  <c r="X854" i="86"/>
  <c r="W854" i="86"/>
  <c r="V854" i="86"/>
  <c r="U854" i="86"/>
  <c r="T854" i="86"/>
  <c r="S854" i="86"/>
  <c r="R854" i="86"/>
  <c r="AG853" i="86"/>
  <c r="AF853" i="86"/>
  <c r="AE853" i="86"/>
  <c r="AC853" i="86"/>
  <c r="AB853" i="86"/>
  <c r="AA853" i="86"/>
  <c r="Z853" i="86"/>
  <c r="Y853" i="86"/>
  <c r="X853" i="86"/>
  <c r="W853" i="86"/>
  <c r="V853" i="86"/>
  <c r="U853" i="86"/>
  <c r="T853" i="86"/>
  <c r="S853" i="86"/>
  <c r="R853" i="86"/>
  <c r="AG852" i="86"/>
  <c r="AF852" i="86"/>
  <c r="AE852" i="86"/>
  <c r="AC852" i="86"/>
  <c r="AB852" i="86"/>
  <c r="AA852" i="86"/>
  <c r="Z852" i="86"/>
  <c r="Y852" i="86"/>
  <c r="X852" i="86"/>
  <c r="W852" i="86"/>
  <c r="V852" i="86"/>
  <c r="U852" i="86"/>
  <c r="T852" i="86"/>
  <c r="S852" i="86"/>
  <c r="R852" i="86"/>
  <c r="AG851" i="86"/>
  <c r="AF851" i="86"/>
  <c r="AE851" i="86"/>
  <c r="AC851" i="86"/>
  <c r="AB851" i="86"/>
  <c r="AA851" i="86"/>
  <c r="Z851" i="86"/>
  <c r="Y851" i="86"/>
  <c r="X851" i="86"/>
  <c r="W851" i="86"/>
  <c r="V851" i="86"/>
  <c r="U851" i="86"/>
  <c r="T851" i="86"/>
  <c r="S851" i="86"/>
  <c r="R851" i="86"/>
  <c r="Q866" i="86"/>
  <c r="P866" i="86"/>
  <c r="O866" i="86"/>
  <c r="Q865" i="86"/>
  <c r="P865" i="86"/>
  <c r="O865" i="86"/>
  <c r="N865" i="86"/>
  <c r="Q864" i="86"/>
  <c r="P864" i="86"/>
  <c r="O864" i="86"/>
  <c r="N864" i="86"/>
  <c r="Q863" i="86"/>
  <c r="P863" i="86"/>
  <c r="O863" i="86"/>
  <c r="N863" i="86"/>
  <c r="Q862" i="86"/>
  <c r="P862" i="86"/>
  <c r="O862" i="86"/>
  <c r="N862" i="86"/>
  <c r="Q861" i="86"/>
  <c r="P861" i="86"/>
  <c r="O861" i="86"/>
  <c r="N861" i="86"/>
  <c r="Q860" i="86"/>
  <c r="P860" i="86"/>
  <c r="O860" i="86"/>
  <c r="N860" i="86"/>
  <c r="Q859" i="86"/>
  <c r="P859" i="86"/>
  <c r="O859" i="86"/>
  <c r="N859" i="86"/>
  <c r="Q858" i="86"/>
  <c r="P858" i="86"/>
  <c r="O858" i="86"/>
  <c r="N858" i="86"/>
  <c r="Q857" i="86"/>
  <c r="P857" i="86"/>
  <c r="O857" i="86"/>
  <c r="N857" i="86"/>
  <c r="Q856" i="86"/>
  <c r="P856" i="86"/>
  <c r="O856" i="86"/>
  <c r="N856" i="86"/>
  <c r="Q855" i="86"/>
  <c r="P855" i="86"/>
  <c r="O855" i="86"/>
  <c r="N855" i="86"/>
  <c r="Q854" i="86"/>
  <c r="P854" i="86"/>
  <c r="O854" i="86"/>
  <c r="N854" i="86"/>
  <c r="Q853" i="86"/>
  <c r="P853" i="86"/>
  <c r="O853" i="86"/>
  <c r="N853" i="86"/>
  <c r="Q852" i="86"/>
  <c r="P852" i="86"/>
  <c r="O852" i="86"/>
  <c r="N852" i="86"/>
  <c r="AG846" i="86"/>
  <c r="AF846" i="86"/>
  <c r="AE846" i="86"/>
  <c r="AC846" i="86"/>
  <c r="AB846" i="86"/>
  <c r="AA846" i="86"/>
  <c r="Y846" i="86"/>
  <c r="X846" i="86"/>
  <c r="W846" i="86"/>
  <c r="U846" i="86"/>
  <c r="T846" i="86"/>
  <c r="S846" i="86"/>
  <c r="AG845" i="86"/>
  <c r="AF845" i="86"/>
  <c r="AE845" i="86"/>
  <c r="AC845" i="86"/>
  <c r="AB845" i="86"/>
  <c r="AA845" i="86"/>
  <c r="Z845" i="86"/>
  <c r="Y845" i="86"/>
  <c r="X845" i="86"/>
  <c r="W845" i="86"/>
  <c r="V845" i="86"/>
  <c r="U845" i="86"/>
  <c r="T845" i="86"/>
  <c r="S845" i="86"/>
  <c r="R845" i="86"/>
  <c r="AG844" i="86"/>
  <c r="AF844" i="86"/>
  <c r="AE844" i="86"/>
  <c r="AC844" i="86"/>
  <c r="AB844" i="86"/>
  <c r="AA844" i="86"/>
  <c r="Z844" i="86"/>
  <c r="Y844" i="86"/>
  <c r="X844" i="86"/>
  <c r="W844" i="86"/>
  <c r="V844" i="86"/>
  <c r="U844" i="86"/>
  <c r="T844" i="86"/>
  <c r="S844" i="86"/>
  <c r="R844" i="86"/>
  <c r="AG843" i="86"/>
  <c r="AF843" i="86"/>
  <c r="AE843" i="86"/>
  <c r="AC843" i="86"/>
  <c r="AB843" i="86"/>
  <c r="AA843" i="86"/>
  <c r="Z843" i="86"/>
  <c r="Y843" i="86"/>
  <c r="X843" i="86"/>
  <c r="W843" i="86"/>
  <c r="V843" i="86"/>
  <c r="U843" i="86"/>
  <c r="T843" i="86"/>
  <c r="S843" i="86"/>
  <c r="R843" i="86"/>
  <c r="AG842" i="86"/>
  <c r="AF842" i="86"/>
  <c r="AE842" i="86"/>
  <c r="AC842" i="86"/>
  <c r="AB842" i="86"/>
  <c r="AA842" i="86"/>
  <c r="Z842" i="86"/>
  <c r="Y842" i="86"/>
  <c r="X842" i="86"/>
  <c r="W842" i="86"/>
  <c r="V842" i="86"/>
  <c r="U842" i="86"/>
  <c r="T842" i="86"/>
  <c r="S842" i="86"/>
  <c r="R842" i="86"/>
  <c r="AG841" i="86"/>
  <c r="AF841" i="86"/>
  <c r="AE841" i="86"/>
  <c r="AC841" i="86"/>
  <c r="AB841" i="86"/>
  <c r="AA841" i="86"/>
  <c r="Z841" i="86"/>
  <c r="Y841" i="86"/>
  <c r="X841" i="86"/>
  <c r="W841" i="86"/>
  <c r="V841" i="86"/>
  <c r="U841" i="86"/>
  <c r="T841" i="86"/>
  <c r="S841" i="86"/>
  <c r="R841" i="86"/>
  <c r="AG840" i="86"/>
  <c r="AF840" i="86"/>
  <c r="AE840" i="86"/>
  <c r="AC840" i="86"/>
  <c r="AB840" i="86"/>
  <c r="AA840" i="86"/>
  <c r="Z840" i="86"/>
  <c r="Y840" i="86"/>
  <c r="X840" i="86"/>
  <c r="W840" i="86"/>
  <c r="V840" i="86"/>
  <c r="U840" i="86"/>
  <c r="T840" i="86"/>
  <c r="S840" i="86"/>
  <c r="R840" i="86"/>
  <c r="AG839" i="86"/>
  <c r="AF839" i="86"/>
  <c r="AE839" i="86"/>
  <c r="AC839" i="86"/>
  <c r="AB839" i="86"/>
  <c r="AA839" i="86"/>
  <c r="Z839" i="86"/>
  <c r="Y839" i="86"/>
  <c r="X839" i="86"/>
  <c r="W839" i="86"/>
  <c r="V839" i="86"/>
  <c r="U839" i="86"/>
  <c r="T839" i="86"/>
  <c r="S839" i="86"/>
  <c r="R839" i="86"/>
  <c r="AG838" i="86"/>
  <c r="AF838" i="86"/>
  <c r="AE838" i="86"/>
  <c r="AC838" i="86"/>
  <c r="AB838" i="86"/>
  <c r="AA838" i="86"/>
  <c r="Z838" i="86"/>
  <c r="Y838" i="86"/>
  <c r="X838" i="86"/>
  <c r="W838" i="86"/>
  <c r="V838" i="86"/>
  <c r="U838" i="86"/>
  <c r="T838" i="86"/>
  <c r="S838" i="86"/>
  <c r="R838" i="86"/>
  <c r="AG837" i="86"/>
  <c r="AF837" i="86"/>
  <c r="AE837" i="86"/>
  <c r="AC837" i="86"/>
  <c r="AB837" i="86"/>
  <c r="AA837" i="86"/>
  <c r="Z837" i="86"/>
  <c r="Y837" i="86"/>
  <c r="X837" i="86"/>
  <c r="W837" i="86"/>
  <c r="V837" i="86"/>
  <c r="U837" i="86"/>
  <c r="T837" i="86"/>
  <c r="S837" i="86"/>
  <c r="R837" i="86"/>
  <c r="AG836" i="86"/>
  <c r="AF836" i="86"/>
  <c r="AE836" i="86"/>
  <c r="AC836" i="86"/>
  <c r="AB836" i="86"/>
  <c r="AA836" i="86"/>
  <c r="Z836" i="86"/>
  <c r="Y836" i="86"/>
  <c r="X836" i="86"/>
  <c r="W836" i="86"/>
  <c r="V836" i="86"/>
  <c r="U836" i="86"/>
  <c r="T836" i="86"/>
  <c r="S836" i="86"/>
  <c r="R836" i="86"/>
  <c r="AG835" i="86"/>
  <c r="AF835" i="86"/>
  <c r="AE835" i="86"/>
  <c r="AC835" i="86"/>
  <c r="AB835" i="86"/>
  <c r="AA835" i="86"/>
  <c r="Z835" i="86"/>
  <c r="Y835" i="86"/>
  <c r="X835" i="86"/>
  <c r="W835" i="86"/>
  <c r="V835" i="86"/>
  <c r="U835" i="86"/>
  <c r="T835" i="86"/>
  <c r="S835" i="86"/>
  <c r="R835" i="86"/>
  <c r="AG834" i="86"/>
  <c r="AF834" i="86"/>
  <c r="AE834" i="86"/>
  <c r="AC834" i="86"/>
  <c r="AB834" i="86"/>
  <c r="AA834" i="86"/>
  <c r="Z834" i="86"/>
  <c r="Y834" i="86"/>
  <c r="X834" i="86"/>
  <c r="W834" i="86"/>
  <c r="V834" i="86"/>
  <c r="U834" i="86"/>
  <c r="T834" i="86"/>
  <c r="S834" i="86"/>
  <c r="R834" i="86"/>
  <c r="AG833" i="86"/>
  <c r="AF833" i="86"/>
  <c r="AE833" i="86"/>
  <c r="AC833" i="86"/>
  <c r="AB833" i="86"/>
  <c r="AA833" i="86"/>
  <c r="Z833" i="86"/>
  <c r="Y833" i="86"/>
  <c r="X833" i="86"/>
  <c r="W833" i="86"/>
  <c r="V833" i="86"/>
  <c r="U833" i="86"/>
  <c r="T833" i="86"/>
  <c r="S833" i="86"/>
  <c r="R833" i="86"/>
  <c r="AG832" i="86"/>
  <c r="AF832" i="86"/>
  <c r="AE832" i="86"/>
  <c r="AC832" i="86"/>
  <c r="AB832" i="86"/>
  <c r="AA832" i="86"/>
  <c r="Z832" i="86"/>
  <c r="Y832" i="86"/>
  <c r="X832" i="86"/>
  <c r="W832" i="86"/>
  <c r="V832" i="86"/>
  <c r="U832" i="86"/>
  <c r="T832" i="86"/>
  <c r="S832" i="86"/>
  <c r="R832" i="86"/>
  <c r="AG831" i="86"/>
  <c r="AF831" i="86"/>
  <c r="AE831" i="86"/>
  <c r="AC831" i="86"/>
  <c r="AB831" i="86"/>
  <c r="AA831" i="86"/>
  <c r="Z831" i="86"/>
  <c r="Y831" i="86"/>
  <c r="X831" i="86"/>
  <c r="W831" i="86"/>
  <c r="V831" i="86"/>
  <c r="U831" i="86"/>
  <c r="T831" i="86"/>
  <c r="S831" i="86"/>
  <c r="R831" i="86"/>
  <c r="Q846" i="86"/>
  <c r="P846" i="86"/>
  <c r="O846" i="86"/>
  <c r="Q845" i="86"/>
  <c r="P845" i="86"/>
  <c r="O845" i="86"/>
  <c r="N845" i="86"/>
  <c r="Q844" i="86"/>
  <c r="P844" i="86"/>
  <c r="O844" i="86"/>
  <c r="N844" i="86"/>
  <c r="Q843" i="86"/>
  <c r="P843" i="86"/>
  <c r="O843" i="86"/>
  <c r="N843" i="86"/>
  <c r="Q842" i="86"/>
  <c r="P842" i="86"/>
  <c r="O842" i="86"/>
  <c r="N842" i="86"/>
  <c r="Q841" i="86"/>
  <c r="P841" i="86"/>
  <c r="O841" i="86"/>
  <c r="N841" i="86"/>
  <c r="Q840" i="86"/>
  <c r="P840" i="86"/>
  <c r="O840" i="86"/>
  <c r="N840" i="86"/>
  <c r="Q839" i="86"/>
  <c r="P839" i="86"/>
  <c r="O839" i="86"/>
  <c r="N839" i="86"/>
  <c r="Q838" i="86"/>
  <c r="P838" i="86"/>
  <c r="O838" i="86"/>
  <c r="N838" i="86"/>
  <c r="Q837" i="86"/>
  <c r="P837" i="86"/>
  <c r="O837" i="86"/>
  <c r="N837" i="86"/>
  <c r="Q836" i="86"/>
  <c r="P836" i="86"/>
  <c r="O836" i="86"/>
  <c r="N836" i="86"/>
  <c r="Q835" i="86"/>
  <c r="P835" i="86"/>
  <c r="O835" i="86"/>
  <c r="N835" i="86"/>
  <c r="Q834" i="86"/>
  <c r="P834" i="86"/>
  <c r="O834" i="86"/>
  <c r="N834" i="86"/>
  <c r="Q833" i="86"/>
  <c r="P833" i="86"/>
  <c r="O833" i="86"/>
  <c r="N833" i="86"/>
  <c r="Q832" i="86"/>
  <c r="P832" i="86"/>
  <c r="O832" i="86"/>
  <c r="N832" i="86"/>
  <c r="Z818" i="71" l="1"/>
  <c r="Z817" i="71"/>
  <c r="Z815" i="71"/>
  <c r="N815" i="71"/>
  <c r="N817" i="71" l="1"/>
  <c r="Z881" i="71" l="1"/>
  <c r="Z863" i="86" s="1"/>
  <c r="V881" i="71"/>
  <c r="V863" i="86" s="1"/>
  <c r="Z884" i="71" l="1"/>
  <c r="Z866" i="86" s="1"/>
  <c r="V884" i="71"/>
  <c r="V866" i="86" s="1"/>
  <c r="R884" i="71"/>
  <c r="R866" i="86" s="1"/>
  <c r="N884" i="71"/>
  <c r="N866" i="86" s="1"/>
  <c r="AD883" i="71"/>
  <c r="AD865" i="86" s="1"/>
  <c r="AD882" i="71"/>
  <c r="AD864" i="86" s="1"/>
  <c r="AD881" i="71"/>
  <c r="AD863" i="86" s="1"/>
  <c r="AD880" i="71"/>
  <c r="AD862" i="86" s="1"/>
  <c r="AD879" i="71"/>
  <c r="AD861" i="86" s="1"/>
  <c r="AD878" i="71"/>
  <c r="AD860" i="86" s="1"/>
  <c r="AD877" i="71"/>
  <c r="AD859" i="86" s="1"/>
  <c r="AD876" i="71"/>
  <c r="AD858" i="86" s="1"/>
  <c r="AD875" i="71"/>
  <c r="AD857" i="86" s="1"/>
  <c r="AD874" i="71"/>
  <c r="AD856" i="86" s="1"/>
  <c r="AD873" i="71"/>
  <c r="AD855" i="86" s="1"/>
  <c r="AD872" i="71"/>
  <c r="AD854" i="86" s="1"/>
  <c r="AD871" i="71"/>
  <c r="AD853" i="86" s="1"/>
  <c r="AD870" i="71"/>
  <c r="AD852" i="86" s="1"/>
  <c r="AD869" i="71"/>
  <c r="AD851" i="86" s="1"/>
  <c r="AD857" i="71"/>
  <c r="AD839" i="86" s="1"/>
  <c r="AD855" i="71"/>
  <c r="AD837" i="86" s="1"/>
  <c r="AD856" i="71"/>
  <c r="Z864" i="71"/>
  <c r="Z846" i="86" s="1"/>
  <c r="V864" i="71"/>
  <c r="V846" i="86" s="1"/>
  <c r="R864" i="71"/>
  <c r="R846" i="86" s="1"/>
  <c r="N864" i="71"/>
  <c r="N846" i="86" s="1"/>
  <c r="AO856" i="71" l="1"/>
  <c r="AD838" i="86"/>
  <c r="AD864" i="71"/>
  <c r="AD846" i="86" s="1"/>
  <c r="AD884" i="71"/>
  <c r="AD866" i="86" s="1"/>
  <c r="AM856" i="71"/>
  <c r="D5" i="71" l="1"/>
  <c r="D5" i="86" s="1"/>
  <c r="AG821" i="86" l="1"/>
  <c r="AF821" i="86"/>
  <c r="AE821" i="86"/>
  <c r="AD821" i="86"/>
  <c r="AC821" i="86"/>
  <c r="AB821" i="86"/>
  <c r="AA821" i="86"/>
  <c r="Z821" i="86"/>
  <c r="AG820" i="86"/>
  <c r="AF820" i="86"/>
  <c r="AE820" i="86"/>
  <c r="AD820" i="86"/>
  <c r="AC820" i="86"/>
  <c r="AB820" i="86"/>
  <c r="AA820" i="86"/>
  <c r="Z820" i="86"/>
  <c r="Y821" i="86"/>
  <c r="X821" i="86"/>
  <c r="W821" i="86"/>
  <c r="V821" i="86"/>
  <c r="U821" i="86"/>
  <c r="T821" i="86"/>
  <c r="S821" i="86"/>
  <c r="R821" i="86"/>
  <c r="Y820" i="86"/>
  <c r="X820" i="86"/>
  <c r="W820" i="86"/>
  <c r="V820" i="86"/>
  <c r="U820" i="86"/>
  <c r="T820" i="86"/>
  <c r="S820" i="86"/>
  <c r="R820" i="86"/>
  <c r="L821" i="86"/>
  <c r="K821" i="86"/>
  <c r="J821" i="86"/>
  <c r="I821" i="86"/>
  <c r="H821" i="86"/>
  <c r="G821" i="86"/>
  <c r="F821" i="86"/>
  <c r="E821" i="86"/>
  <c r="D821" i="86"/>
  <c r="L820" i="86"/>
  <c r="K820" i="86"/>
  <c r="J820" i="86"/>
  <c r="I820" i="86"/>
  <c r="H820" i="86"/>
  <c r="G820" i="86"/>
  <c r="F820" i="86"/>
  <c r="E820" i="86"/>
  <c r="D820" i="86"/>
  <c r="Y782" i="86"/>
  <c r="Y787" i="86"/>
  <c r="P787" i="86"/>
  <c r="Y786" i="86"/>
  <c r="P786" i="86"/>
  <c r="Y785" i="86"/>
  <c r="P785" i="86"/>
  <c r="Y784" i="86"/>
  <c r="P784" i="86"/>
  <c r="Y783" i="86"/>
  <c r="P783" i="86"/>
  <c r="P782" i="86"/>
  <c r="N775" i="86"/>
  <c r="N774" i="86"/>
  <c r="N773" i="86"/>
  <c r="X775" i="86"/>
  <c r="X774" i="86"/>
  <c r="X773" i="86"/>
  <c r="X772" i="86"/>
  <c r="N772" i="86"/>
  <c r="X566" i="86"/>
  <c r="X565" i="86"/>
  <c r="X564" i="86"/>
  <c r="X563" i="86"/>
  <c r="X562" i="86"/>
  <c r="X561" i="86"/>
  <c r="X560" i="86"/>
  <c r="X559" i="86"/>
  <c r="X558" i="86"/>
  <c r="X557" i="86"/>
  <c r="X556" i="86"/>
  <c r="N566" i="86"/>
  <c r="N565" i="86"/>
  <c r="N564" i="86"/>
  <c r="N563" i="86"/>
  <c r="N562" i="86"/>
  <c r="N561" i="86"/>
  <c r="N560" i="86"/>
  <c r="N559" i="86"/>
  <c r="N558" i="86"/>
  <c r="N557" i="86"/>
  <c r="N556" i="86"/>
  <c r="W549" i="86"/>
  <c r="V549" i="86"/>
  <c r="U549" i="86"/>
  <c r="T549" i="86"/>
  <c r="S549" i="86"/>
  <c r="R549" i="86"/>
  <c r="Q549" i="86"/>
  <c r="P549" i="86"/>
  <c r="O549" i="86"/>
  <c r="N549" i="86"/>
  <c r="M549" i="86"/>
  <c r="L549" i="86"/>
  <c r="K549" i="86"/>
  <c r="J549" i="86"/>
  <c r="I549" i="86"/>
  <c r="AB549" i="86"/>
  <c r="AA549" i="86"/>
  <c r="Z549" i="86"/>
  <c r="Y549" i="86"/>
  <c r="X549" i="86"/>
  <c r="AB548" i="86"/>
  <c r="AA548" i="86"/>
  <c r="Z548" i="86"/>
  <c r="Y548" i="86"/>
  <c r="X548" i="86"/>
  <c r="AB547" i="86"/>
  <c r="AA547" i="86"/>
  <c r="Z547" i="86"/>
  <c r="Y547" i="86"/>
  <c r="X547" i="86"/>
  <c r="AB538" i="86"/>
  <c r="AA538" i="86"/>
  <c r="Z538" i="86"/>
  <c r="Y538" i="86"/>
  <c r="X538" i="86"/>
  <c r="AB537" i="86"/>
  <c r="AA537" i="86"/>
  <c r="Z537" i="86"/>
  <c r="Y537" i="86"/>
  <c r="X537" i="86"/>
  <c r="AB536" i="86"/>
  <c r="AA536" i="86"/>
  <c r="Z536" i="86"/>
  <c r="Y536" i="86"/>
  <c r="X536" i="86"/>
  <c r="AG519" i="86" l="1"/>
  <c r="AF519" i="86"/>
  <c r="AE519" i="86"/>
  <c r="AD519" i="86"/>
  <c r="AC519" i="86"/>
  <c r="AB519" i="86"/>
  <c r="AA519" i="86"/>
  <c r="Z519" i="86"/>
  <c r="Y519" i="86"/>
  <c r="X519" i="86"/>
  <c r="W519" i="86"/>
  <c r="V519" i="86"/>
  <c r="U519" i="86"/>
  <c r="T519" i="86"/>
  <c r="S519" i="86"/>
  <c r="R519" i="86"/>
  <c r="AG513" i="86"/>
  <c r="AF513" i="86"/>
  <c r="AE513" i="86"/>
  <c r="AD513" i="86"/>
  <c r="AC513" i="86"/>
  <c r="AB513" i="86"/>
  <c r="AA513" i="86"/>
  <c r="Z513" i="86"/>
  <c r="Y513" i="86"/>
  <c r="X513" i="86"/>
  <c r="W513" i="86"/>
  <c r="V513" i="86"/>
  <c r="U513" i="86"/>
  <c r="T513" i="86"/>
  <c r="S513" i="86"/>
  <c r="R513" i="86"/>
  <c r="T463" i="86"/>
  <c r="T462" i="86"/>
  <c r="T461" i="86"/>
  <c r="T460" i="86"/>
  <c r="T459" i="86"/>
  <c r="T458" i="86"/>
  <c r="T457" i="86"/>
  <c r="T456" i="86"/>
  <c r="AA463" i="86"/>
  <c r="AA462" i="86"/>
  <c r="AA461" i="86"/>
  <c r="AA460" i="86"/>
  <c r="AA459" i="86"/>
  <c r="AA458" i="86"/>
  <c r="AA457" i="86"/>
  <c r="AA456" i="86"/>
  <c r="M463" i="86"/>
  <c r="M462" i="86"/>
  <c r="M461" i="86"/>
  <c r="M460" i="86"/>
  <c r="M459" i="86"/>
  <c r="M458" i="86"/>
  <c r="M457" i="86"/>
  <c r="M456" i="86"/>
  <c r="T454" i="86"/>
  <c r="M454" i="86"/>
  <c r="AA454" i="86"/>
  <c r="AA453" i="86"/>
  <c r="AA452" i="86"/>
  <c r="AA451" i="86"/>
  <c r="AA450" i="86"/>
  <c r="AA449" i="86"/>
  <c r="AF418" i="86"/>
  <c r="AC418" i="86"/>
  <c r="AF417" i="86"/>
  <c r="AC417" i="86"/>
  <c r="AF416" i="86"/>
  <c r="AC416" i="86"/>
  <c r="AF415" i="86"/>
  <c r="AC415" i="86"/>
  <c r="AF414" i="86"/>
  <c r="AC414" i="86"/>
  <c r="AF413" i="86"/>
  <c r="AC413" i="86"/>
  <c r="AA413" i="86"/>
  <c r="X413" i="86"/>
  <c r="AA418" i="86"/>
  <c r="X418" i="86"/>
  <c r="V418" i="86"/>
  <c r="S418" i="86"/>
  <c r="Q418" i="86"/>
  <c r="N418" i="86"/>
  <c r="L418" i="86"/>
  <c r="I418" i="86"/>
  <c r="L417" i="86"/>
  <c r="I417" i="86"/>
  <c r="L416" i="86"/>
  <c r="I416" i="86"/>
  <c r="L415" i="86"/>
  <c r="I415" i="86"/>
  <c r="L414" i="86"/>
  <c r="I414" i="86"/>
  <c r="I413" i="86"/>
  <c r="Q417" i="86"/>
  <c r="N417" i="86"/>
  <c r="L413" i="86"/>
  <c r="AF409" i="86"/>
  <c r="AF408" i="86"/>
  <c r="AF407" i="86"/>
  <c r="AF406" i="86"/>
  <c r="AF405" i="86"/>
  <c r="AF404" i="86"/>
  <c r="Q408" i="86"/>
  <c r="N408" i="86"/>
  <c r="L409" i="86"/>
  <c r="L408" i="86"/>
  <c r="I408" i="86"/>
  <c r="L407" i="86"/>
  <c r="I407" i="86"/>
  <c r="L406" i="86"/>
  <c r="I406" i="86"/>
  <c r="L405" i="86"/>
  <c r="I405" i="86"/>
  <c r="AA392" i="86"/>
  <c r="AA391" i="86"/>
  <c r="AF384" i="86"/>
  <c r="AC384" i="86"/>
  <c r="AF383" i="86"/>
  <c r="AC383" i="86"/>
  <c r="AF382" i="86"/>
  <c r="AC382" i="86"/>
  <c r="AF381" i="86"/>
  <c r="AC381" i="86"/>
  <c r="AF380" i="86"/>
  <c r="AC380" i="86"/>
  <c r="AF379" i="86"/>
  <c r="AC379" i="86"/>
  <c r="AF378" i="86"/>
  <c r="AC378" i="86"/>
  <c r="AF385" i="86"/>
  <c r="AC385" i="86"/>
  <c r="AA385" i="86"/>
  <c r="X385" i="86"/>
  <c r="V385" i="86"/>
  <c r="S385" i="86"/>
  <c r="Q385" i="86"/>
  <c r="N385" i="86"/>
  <c r="V378" i="86"/>
  <c r="S378" i="86"/>
  <c r="L385" i="86"/>
  <c r="I385" i="86"/>
  <c r="L384" i="86"/>
  <c r="I384" i="86"/>
  <c r="L383" i="86"/>
  <c r="I383" i="86"/>
  <c r="L382" i="86"/>
  <c r="I382" i="86"/>
  <c r="L381" i="86"/>
  <c r="I381" i="86"/>
  <c r="L380" i="86"/>
  <c r="I380" i="86"/>
  <c r="L379" i="86"/>
  <c r="I379" i="86"/>
  <c r="I378" i="86"/>
  <c r="L378" i="86"/>
  <c r="L372" i="86"/>
  <c r="I372" i="86"/>
  <c r="L371" i="86"/>
  <c r="I371" i="86"/>
  <c r="L370" i="86"/>
  <c r="I370" i="86"/>
  <c r="L369" i="86"/>
  <c r="I369" i="86"/>
  <c r="L368" i="86"/>
  <c r="I368" i="86"/>
  <c r="L367" i="86"/>
  <c r="I367" i="86"/>
  <c r="E76" i="62" l="1"/>
  <c r="D76" i="62"/>
  <c r="N810" i="71" l="1"/>
  <c r="E10" i="88" l="1"/>
  <c r="E11" i="88"/>
  <c r="E12" i="88"/>
  <c r="E13" i="88"/>
  <c r="E14" i="88"/>
  <c r="E15" i="88"/>
  <c r="E16" i="88"/>
  <c r="E17" i="88"/>
  <c r="E18" i="88"/>
  <c r="E19" i="88"/>
  <c r="E20" i="88"/>
  <c r="E21" i="88"/>
  <c r="E22" i="88"/>
  <c r="E24" i="88"/>
  <c r="E25" i="88"/>
  <c r="E26" i="88"/>
  <c r="D34" i="90"/>
  <c r="Z810" i="71" l="1"/>
  <c r="N744" i="71"/>
  <c r="N756" i="71"/>
  <c r="N745" i="71"/>
  <c r="R685" i="71" l="1"/>
  <c r="J685" i="71"/>
  <c r="AD685" i="71" l="1"/>
  <c r="V685" i="71"/>
  <c r="N685" i="71"/>
  <c r="P498" i="71" l="1"/>
  <c r="E62" i="89"/>
  <c r="F72" i="89" l="1"/>
  <c r="D29" i="90"/>
  <c r="D112" i="89"/>
  <c r="D117" i="89"/>
  <c r="F85" i="89"/>
  <c r="F74" i="89"/>
  <c r="D151" i="89"/>
  <c r="F48" i="89"/>
  <c r="F46" i="89"/>
  <c r="F45" i="89"/>
  <c r="F22" i="89"/>
  <c r="G83" i="89"/>
  <c r="G62" i="89"/>
  <c r="N761" i="71" l="1"/>
  <c r="AM744" i="71"/>
  <c r="AG549" i="86" l="1"/>
  <c r="AF549" i="86"/>
  <c r="AE549" i="86"/>
  <c r="AD549" i="86"/>
  <c r="H549" i="86"/>
  <c r="G549" i="86"/>
  <c r="F549" i="86"/>
  <c r="E549" i="86"/>
  <c r="W538" i="86"/>
  <c r="V538" i="86"/>
  <c r="U538" i="86"/>
  <c r="T538" i="86"/>
  <c r="R538" i="86"/>
  <c r="Q538" i="86"/>
  <c r="P538" i="86"/>
  <c r="O538" i="86"/>
  <c r="M538" i="86"/>
  <c r="L538" i="86"/>
  <c r="K538" i="86"/>
  <c r="J538" i="86"/>
  <c r="I538" i="86"/>
  <c r="D137" i="89" l="1"/>
  <c r="D62" i="89" l="1"/>
  <c r="E27" i="62" l="1"/>
  <c r="E13" i="62" l="1"/>
  <c r="E9" i="88" s="1"/>
  <c r="G20" i="89"/>
  <c r="E20" i="89"/>
  <c r="D20" i="89"/>
  <c r="E12" i="89"/>
  <c r="D12" i="89"/>
  <c r="F13" i="89"/>
  <c r="F16" i="89"/>
  <c r="F12" i="89" l="1"/>
  <c r="E53" i="90"/>
  <c r="D53" i="90"/>
  <c r="D23" i="90"/>
  <c r="X745" i="71"/>
  <c r="D10" i="90"/>
  <c r="N718" i="71"/>
  <c r="X718" i="71"/>
  <c r="X588" i="71" l="1"/>
  <c r="X585" i="71"/>
  <c r="N538" i="86"/>
  <c r="X598" i="71" l="1"/>
  <c r="S538" i="86"/>
  <c r="X548" i="71" l="1"/>
  <c r="S548" i="71"/>
  <c r="N548" i="71"/>
  <c r="I548" i="71"/>
  <c r="AC551" i="71"/>
  <c r="F83" i="89"/>
  <c r="D83" i="89"/>
  <c r="G80" i="89"/>
  <c r="F80" i="89"/>
  <c r="D80" i="89"/>
  <c r="G43" i="89"/>
  <c r="E43" i="89"/>
  <c r="E42" i="89" s="1"/>
  <c r="D43" i="89"/>
  <c r="F44" i="89"/>
  <c r="F43" i="89" s="1"/>
  <c r="D42" i="89" l="1"/>
  <c r="AM551" i="71"/>
  <c r="AC549" i="86"/>
  <c r="AL540" i="71"/>
  <c r="AC334" i="71"/>
  <c r="Z334" i="71"/>
  <c r="W334" i="71"/>
  <c r="T334" i="71"/>
  <c r="Q334" i="71"/>
  <c r="N334" i="71"/>
  <c r="K334" i="71"/>
  <c r="H334" i="71"/>
  <c r="AC332" i="71"/>
  <c r="Z332" i="71"/>
  <c r="W332" i="71"/>
  <c r="T332" i="71"/>
  <c r="Q332" i="71"/>
  <c r="N332" i="71"/>
  <c r="K332" i="71"/>
  <c r="H332" i="71"/>
  <c r="AF331" i="71"/>
  <c r="AF330" i="71"/>
  <c r="AF329" i="71"/>
  <c r="AF328" i="71"/>
  <c r="AC326" i="71"/>
  <c r="Z326" i="71"/>
  <c r="W326" i="71"/>
  <c r="T326" i="71"/>
  <c r="Q326" i="71"/>
  <c r="K326" i="71"/>
  <c r="H326" i="71"/>
  <c r="AF325" i="71"/>
  <c r="AF324" i="71"/>
  <c r="N326" i="71"/>
  <c r="AF322" i="71"/>
  <c r="AC320" i="71"/>
  <c r="Z320" i="71"/>
  <c r="W320" i="71"/>
  <c r="T320" i="71"/>
  <c r="Q320" i="71"/>
  <c r="N320" i="71"/>
  <c r="K320" i="71"/>
  <c r="H320" i="71"/>
  <c r="AF319" i="71"/>
  <c r="AF318" i="71"/>
  <c r="AF317" i="71"/>
  <c r="AF316" i="71"/>
  <c r="AB270" i="71"/>
  <c r="Y270" i="71"/>
  <c r="V270" i="71"/>
  <c r="S270" i="71"/>
  <c r="P270" i="71"/>
  <c r="M270" i="71"/>
  <c r="J270" i="71"/>
  <c r="AB268" i="71"/>
  <c r="Y268" i="71"/>
  <c r="V268" i="71"/>
  <c r="S268" i="71"/>
  <c r="P268" i="71"/>
  <c r="M268" i="71"/>
  <c r="J268" i="71"/>
  <c r="AE267" i="71"/>
  <c r="AE266" i="71"/>
  <c r="AE265" i="71"/>
  <c r="AE264" i="71"/>
  <c r="AB262" i="71"/>
  <c r="Y262" i="71"/>
  <c r="V262" i="71"/>
  <c r="S262" i="71"/>
  <c r="P262" i="71"/>
  <c r="M262" i="71"/>
  <c r="J262" i="71"/>
  <c r="AE261" i="71"/>
  <c r="AE260" i="71"/>
  <c r="AE259" i="71"/>
  <c r="AE258" i="71"/>
  <c r="AB256" i="71"/>
  <c r="Y256" i="71"/>
  <c r="V256" i="71"/>
  <c r="S256" i="71"/>
  <c r="P256" i="71"/>
  <c r="M256" i="71"/>
  <c r="J256" i="71"/>
  <c r="AE255" i="71"/>
  <c r="AE254" i="71"/>
  <c r="AE253" i="71"/>
  <c r="AE252" i="71"/>
  <c r="H335" i="71" l="1"/>
  <c r="T335" i="71"/>
  <c r="V271" i="71"/>
  <c r="AF320" i="71"/>
  <c r="AE270" i="71"/>
  <c r="J271" i="71"/>
  <c r="Q335" i="71"/>
  <c r="AC335" i="71"/>
  <c r="AF332" i="71"/>
  <c r="K335" i="71"/>
  <c r="W335" i="71"/>
  <c r="N335" i="71"/>
  <c r="M271" i="71"/>
  <c r="P271" i="71"/>
  <c r="AB271" i="71"/>
  <c r="AE268" i="71"/>
  <c r="AF323" i="71"/>
  <c r="AF326" i="71" s="1"/>
  <c r="Z335" i="71"/>
  <c r="Y271" i="71"/>
  <c r="S271" i="71"/>
  <c r="AE262" i="71"/>
  <c r="AF334" i="71"/>
  <c r="AE256" i="71"/>
  <c r="AF335" i="71" l="1"/>
  <c r="AE271" i="71"/>
  <c r="E65" i="90"/>
  <c r="E37" i="90"/>
  <c r="E63" i="90" s="1"/>
  <c r="E36" i="90"/>
  <c r="E18" i="90"/>
  <c r="E35" i="90" s="1"/>
  <c r="E137" i="89"/>
  <c r="E102" i="89"/>
  <c r="E64" i="90" l="1"/>
  <c r="E69" i="90" s="1"/>
  <c r="D18" i="90" l="1"/>
  <c r="E95" i="89"/>
  <c r="E94" i="89" s="1"/>
  <c r="X595" i="71"/>
  <c r="N588" i="71"/>
  <c r="N585" i="71"/>
  <c r="N598" i="71" l="1"/>
  <c r="N599" i="71" s="1"/>
  <c r="N751" i="71"/>
  <c r="N760" i="71" s="1"/>
  <c r="E11" i="89"/>
  <c r="E10" i="89" s="1"/>
  <c r="D11" i="89"/>
  <c r="D10" i="89" s="1"/>
  <c r="D102" i="89"/>
  <c r="D95" i="89" s="1"/>
  <c r="F23" i="89"/>
  <c r="F20" i="89" s="1"/>
  <c r="F11" i="89" s="1"/>
  <c r="D65" i="90"/>
  <c r="D37" i="90"/>
  <c r="D63" i="90" s="1"/>
  <c r="D36" i="90"/>
  <c r="D35" i="90"/>
  <c r="D116" i="89"/>
  <c r="AL760" i="71" l="1"/>
  <c r="AL744" i="71"/>
  <c r="D94" i="89"/>
  <c r="D64" i="90"/>
  <c r="D69" i="90" s="1"/>
  <c r="D27" i="62"/>
  <c r="N851" i="86" l="1"/>
  <c r="N831" i="86"/>
  <c r="Z819" i="86"/>
  <c r="AA819" i="86"/>
  <c r="AB819" i="86"/>
  <c r="AC819" i="86"/>
  <c r="AD819" i="86"/>
  <c r="AE819" i="86"/>
  <c r="AF819" i="86"/>
  <c r="AG819" i="86"/>
  <c r="Z818" i="86"/>
  <c r="AA818" i="86"/>
  <c r="AB818" i="86"/>
  <c r="AC818" i="86"/>
  <c r="AD818" i="86"/>
  <c r="AE818" i="86"/>
  <c r="AF818" i="86"/>
  <c r="AG818" i="86"/>
  <c r="R819" i="86"/>
  <c r="S819" i="86"/>
  <c r="T819" i="86"/>
  <c r="U819" i="86"/>
  <c r="V819" i="86"/>
  <c r="W819" i="86"/>
  <c r="X819" i="86"/>
  <c r="Y819" i="86"/>
  <c r="R818" i="86"/>
  <c r="D819" i="86" l="1"/>
  <c r="E819" i="86"/>
  <c r="F819" i="86"/>
  <c r="G819" i="86"/>
  <c r="H819" i="86"/>
  <c r="I819" i="86"/>
  <c r="J819" i="86"/>
  <c r="K819" i="86"/>
  <c r="L819" i="86"/>
  <c r="D818" i="86"/>
  <c r="Y756" i="86"/>
  <c r="Z756" i="86"/>
  <c r="AA756" i="86"/>
  <c r="AB756" i="86"/>
  <c r="AC756" i="86"/>
  <c r="AD756" i="86"/>
  <c r="AE756" i="86"/>
  <c r="AF756" i="86"/>
  <c r="AG756" i="86"/>
  <c r="X757" i="86"/>
  <c r="Y757" i="86"/>
  <c r="Z757" i="86"/>
  <c r="AA757" i="86"/>
  <c r="AB757" i="86"/>
  <c r="AC757" i="86"/>
  <c r="AD757" i="86"/>
  <c r="AE757" i="86"/>
  <c r="AF757" i="86"/>
  <c r="AG757" i="86"/>
  <c r="O756" i="86"/>
  <c r="P756" i="86"/>
  <c r="Q756" i="86"/>
  <c r="R756" i="86"/>
  <c r="S756" i="86"/>
  <c r="T756" i="86"/>
  <c r="U756" i="86"/>
  <c r="V756" i="86"/>
  <c r="W756" i="86"/>
  <c r="N757" i="86"/>
  <c r="O757" i="86"/>
  <c r="P757" i="86"/>
  <c r="Q757" i="86"/>
  <c r="R757" i="86"/>
  <c r="S757" i="86"/>
  <c r="T757" i="86"/>
  <c r="U757" i="86"/>
  <c r="V757" i="86"/>
  <c r="W757" i="86"/>
  <c r="Y753" i="86"/>
  <c r="Z753" i="86"/>
  <c r="AA753" i="86"/>
  <c r="AB753" i="86"/>
  <c r="AC753" i="86"/>
  <c r="AD753" i="86"/>
  <c r="AE753" i="86"/>
  <c r="AF753" i="86"/>
  <c r="AG753" i="86"/>
  <c r="Y754" i="86"/>
  <c r="Z754" i="86"/>
  <c r="AA754" i="86"/>
  <c r="AB754" i="86"/>
  <c r="AC754" i="86"/>
  <c r="AD754" i="86"/>
  <c r="AE754" i="86"/>
  <c r="AF754" i="86"/>
  <c r="AG754" i="86"/>
  <c r="X755" i="86"/>
  <c r="Y755" i="86"/>
  <c r="Z755" i="86"/>
  <c r="AA755" i="86"/>
  <c r="AB755" i="86"/>
  <c r="AC755" i="86"/>
  <c r="AD755" i="86"/>
  <c r="AE755" i="86"/>
  <c r="AF755" i="86"/>
  <c r="AG755" i="86"/>
  <c r="O753" i="86"/>
  <c r="P753" i="86"/>
  <c r="Q753" i="86"/>
  <c r="R753" i="86"/>
  <c r="S753" i="86"/>
  <c r="T753" i="86"/>
  <c r="U753" i="86"/>
  <c r="V753" i="86"/>
  <c r="W753" i="86"/>
  <c r="O754" i="86"/>
  <c r="P754" i="86"/>
  <c r="Q754" i="86"/>
  <c r="R754" i="86"/>
  <c r="S754" i="86"/>
  <c r="T754" i="86"/>
  <c r="U754" i="86"/>
  <c r="V754" i="86"/>
  <c r="W754" i="86"/>
  <c r="N755" i="86"/>
  <c r="O755" i="86"/>
  <c r="P755" i="86"/>
  <c r="Q755" i="86"/>
  <c r="R755" i="86"/>
  <c r="S755" i="86"/>
  <c r="T755" i="86"/>
  <c r="U755" i="86"/>
  <c r="V755" i="86"/>
  <c r="W755" i="86"/>
  <c r="X747" i="86"/>
  <c r="Y747" i="86"/>
  <c r="Z747" i="86"/>
  <c r="AA747" i="86"/>
  <c r="AB747" i="86"/>
  <c r="AC747" i="86"/>
  <c r="AD747" i="86"/>
  <c r="AE747" i="86"/>
  <c r="AF747" i="86"/>
  <c r="AG747" i="86"/>
  <c r="X748" i="86"/>
  <c r="Y748" i="86"/>
  <c r="Z748" i="86"/>
  <c r="AA748" i="86"/>
  <c r="AB748" i="86"/>
  <c r="AC748" i="86"/>
  <c r="AD748" i="86"/>
  <c r="AE748" i="86"/>
  <c r="AF748" i="86"/>
  <c r="AG748" i="86"/>
  <c r="X749" i="86"/>
  <c r="Y749" i="86"/>
  <c r="Z749" i="86"/>
  <c r="AA749" i="86"/>
  <c r="AB749" i="86"/>
  <c r="AC749" i="86"/>
  <c r="AD749" i="86"/>
  <c r="AE749" i="86"/>
  <c r="AF749" i="86"/>
  <c r="AG749" i="86"/>
  <c r="X750" i="86"/>
  <c r="Y750" i="86"/>
  <c r="Z750" i="86"/>
  <c r="AA750" i="86"/>
  <c r="AB750" i="86"/>
  <c r="AC750" i="86"/>
  <c r="AD750" i="86"/>
  <c r="AE750" i="86"/>
  <c r="AF750" i="86"/>
  <c r="AG750" i="86"/>
  <c r="X751" i="86"/>
  <c r="Y751" i="86"/>
  <c r="Z751" i="86"/>
  <c r="AA751" i="86"/>
  <c r="AB751" i="86"/>
  <c r="AC751" i="86"/>
  <c r="AD751" i="86"/>
  <c r="AE751" i="86"/>
  <c r="AF751" i="86"/>
  <c r="AG751" i="86"/>
  <c r="X752" i="86"/>
  <c r="Y752" i="86"/>
  <c r="Z752" i="86"/>
  <c r="AA752" i="86"/>
  <c r="AB752" i="86"/>
  <c r="AC752" i="86"/>
  <c r="AD752" i="86"/>
  <c r="AE752" i="86"/>
  <c r="AF752" i="86"/>
  <c r="AG752" i="86"/>
  <c r="N747" i="86"/>
  <c r="O747" i="86"/>
  <c r="P747" i="86"/>
  <c r="Q747" i="86"/>
  <c r="R747" i="86"/>
  <c r="S747" i="86"/>
  <c r="T747" i="86"/>
  <c r="U747" i="86"/>
  <c r="V747" i="86"/>
  <c r="W747" i="86"/>
  <c r="N748" i="86"/>
  <c r="O748" i="86"/>
  <c r="P748" i="86"/>
  <c r="Q748" i="86"/>
  <c r="R748" i="86"/>
  <c r="S748" i="86"/>
  <c r="T748" i="86"/>
  <c r="U748" i="86"/>
  <c r="V748" i="86"/>
  <c r="W748" i="86"/>
  <c r="N749" i="86"/>
  <c r="O749" i="86"/>
  <c r="P749" i="86"/>
  <c r="Q749" i="86"/>
  <c r="R749" i="86"/>
  <c r="S749" i="86"/>
  <c r="T749" i="86"/>
  <c r="U749" i="86"/>
  <c r="V749" i="86"/>
  <c r="W749" i="86"/>
  <c r="N750" i="86"/>
  <c r="O750" i="86"/>
  <c r="P750" i="86"/>
  <c r="Q750" i="86"/>
  <c r="R750" i="86"/>
  <c r="S750" i="86"/>
  <c r="T750" i="86"/>
  <c r="U750" i="86"/>
  <c r="V750" i="86"/>
  <c r="W750" i="86"/>
  <c r="N751" i="86"/>
  <c r="O751" i="86"/>
  <c r="P751" i="86"/>
  <c r="Q751" i="86"/>
  <c r="R751" i="86"/>
  <c r="S751" i="86"/>
  <c r="T751" i="86"/>
  <c r="U751" i="86"/>
  <c r="V751" i="86"/>
  <c r="W751" i="86"/>
  <c r="N752" i="86"/>
  <c r="O752" i="86"/>
  <c r="P752" i="86"/>
  <c r="Q752" i="86"/>
  <c r="R752" i="86"/>
  <c r="S752" i="86"/>
  <c r="T752" i="86"/>
  <c r="U752" i="86"/>
  <c r="V752" i="86"/>
  <c r="W752" i="86"/>
  <c r="M749" i="86"/>
  <c r="L749" i="86"/>
  <c r="K749" i="86"/>
  <c r="J749" i="86"/>
  <c r="I749" i="86"/>
  <c r="H749" i="86"/>
  <c r="G749" i="86"/>
  <c r="F749" i="86"/>
  <c r="E749" i="86"/>
  <c r="M748" i="86"/>
  <c r="L748" i="86"/>
  <c r="K748" i="86"/>
  <c r="J748" i="86"/>
  <c r="I748" i="86"/>
  <c r="H748" i="86"/>
  <c r="G748" i="86"/>
  <c r="F748" i="86"/>
  <c r="E748" i="86"/>
  <c r="M747" i="86"/>
  <c r="L747" i="86"/>
  <c r="K747" i="86"/>
  <c r="J747" i="86"/>
  <c r="I747" i="86"/>
  <c r="H747" i="86"/>
  <c r="G747" i="86"/>
  <c r="F747" i="86"/>
  <c r="E747" i="86"/>
  <c r="X738" i="86"/>
  <c r="Y738" i="86"/>
  <c r="Z738" i="86"/>
  <c r="AA738" i="86"/>
  <c r="AB738" i="86"/>
  <c r="AC738" i="86"/>
  <c r="AD738" i="86"/>
  <c r="AE738" i="86"/>
  <c r="AF738" i="86"/>
  <c r="AG738" i="86"/>
  <c r="X739" i="86"/>
  <c r="Y739" i="86"/>
  <c r="Z739" i="86"/>
  <c r="AA739" i="86"/>
  <c r="AB739" i="86"/>
  <c r="AC739" i="86"/>
  <c r="AD739" i="86"/>
  <c r="AE739" i="86"/>
  <c r="AF739" i="86"/>
  <c r="AG739" i="86"/>
  <c r="X740" i="86"/>
  <c r="Y740" i="86"/>
  <c r="Z740" i="86"/>
  <c r="AA740" i="86"/>
  <c r="AB740" i="86"/>
  <c r="AC740" i="86"/>
  <c r="AD740" i="86"/>
  <c r="AE740" i="86"/>
  <c r="AF740" i="86"/>
  <c r="AG740" i="86"/>
  <c r="Y741" i="86"/>
  <c r="Z741" i="86"/>
  <c r="AA741" i="86"/>
  <c r="AB741" i="86"/>
  <c r="AC741" i="86"/>
  <c r="AD741" i="86"/>
  <c r="AE741" i="86"/>
  <c r="AF741" i="86"/>
  <c r="AG741" i="86"/>
  <c r="X742" i="86"/>
  <c r="Y742" i="86"/>
  <c r="Z742" i="86"/>
  <c r="AA742" i="86"/>
  <c r="AB742" i="86"/>
  <c r="AC742" i="86"/>
  <c r="AD742" i="86"/>
  <c r="AE742" i="86"/>
  <c r="AF742" i="86"/>
  <c r="AG742" i="86"/>
  <c r="X743" i="86"/>
  <c r="Y743" i="86"/>
  <c r="Z743" i="86"/>
  <c r="AA743" i="86"/>
  <c r="AB743" i="86"/>
  <c r="AC743" i="86"/>
  <c r="AD743" i="86"/>
  <c r="AE743" i="86"/>
  <c r="AF743" i="86"/>
  <c r="AG743" i="86"/>
  <c r="X744" i="86"/>
  <c r="Y744" i="86"/>
  <c r="Z744" i="86"/>
  <c r="AA744" i="86"/>
  <c r="AB744" i="86"/>
  <c r="AC744" i="86"/>
  <c r="AD744" i="86"/>
  <c r="AE744" i="86"/>
  <c r="AF744" i="86"/>
  <c r="AG744" i="86"/>
  <c r="Y745" i="86"/>
  <c r="Z745" i="86"/>
  <c r="AA745" i="86"/>
  <c r="AB745" i="86"/>
  <c r="AC745" i="86"/>
  <c r="AD745" i="86"/>
  <c r="AE745" i="86"/>
  <c r="AF745" i="86"/>
  <c r="AG745" i="86"/>
  <c r="N738" i="86"/>
  <c r="O738" i="86"/>
  <c r="P738" i="86"/>
  <c r="Q738" i="86"/>
  <c r="R738" i="86"/>
  <c r="S738" i="86"/>
  <c r="T738" i="86"/>
  <c r="U738" i="86"/>
  <c r="V738" i="86"/>
  <c r="W738" i="86"/>
  <c r="N739" i="86"/>
  <c r="O739" i="86"/>
  <c r="P739" i="86"/>
  <c r="Q739" i="86"/>
  <c r="R739" i="86"/>
  <c r="S739" i="86"/>
  <c r="T739" i="86"/>
  <c r="U739" i="86"/>
  <c r="V739" i="86"/>
  <c r="W739" i="86"/>
  <c r="N740" i="86"/>
  <c r="O740" i="86"/>
  <c r="P740" i="86"/>
  <c r="Q740" i="86"/>
  <c r="R740" i="86"/>
  <c r="S740" i="86"/>
  <c r="T740" i="86"/>
  <c r="U740" i="86"/>
  <c r="V740" i="86"/>
  <c r="W740" i="86"/>
  <c r="N741" i="86"/>
  <c r="O741" i="86"/>
  <c r="P741" i="86"/>
  <c r="Q741" i="86"/>
  <c r="R741" i="86"/>
  <c r="S741" i="86"/>
  <c r="T741" i="86"/>
  <c r="U741" i="86"/>
  <c r="V741" i="86"/>
  <c r="W741" i="86"/>
  <c r="N742" i="86"/>
  <c r="O742" i="86"/>
  <c r="P742" i="86"/>
  <c r="Q742" i="86"/>
  <c r="R742" i="86"/>
  <c r="S742" i="86"/>
  <c r="T742" i="86"/>
  <c r="U742" i="86"/>
  <c r="V742" i="86"/>
  <c r="W742" i="86"/>
  <c r="N743" i="86"/>
  <c r="O743" i="86"/>
  <c r="P743" i="86"/>
  <c r="Q743" i="86"/>
  <c r="R743" i="86"/>
  <c r="S743" i="86"/>
  <c r="T743" i="86"/>
  <c r="U743" i="86"/>
  <c r="V743" i="86"/>
  <c r="W743" i="86"/>
  <c r="N744" i="86"/>
  <c r="O744" i="86"/>
  <c r="P744" i="86"/>
  <c r="Q744" i="86"/>
  <c r="R744" i="86"/>
  <c r="S744" i="86"/>
  <c r="T744" i="86"/>
  <c r="U744" i="86"/>
  <c r="V744" i="86"/>
  <c r="W744" i="86"/>
  <c r="N745" i="86"/>
  <c r="O745" i="86"/>
  <c r="P745" i="86"/>
  <c r="Q745" i="86"/>
  <c r="R745" i="86"/>
  <c r="S745" i="86"/>
  <c r="T745" i="86"/>
  <c r="U745" i="86"/>
  <c r="V745" i="86"/>
  <c r="W745" i="86"/>
  <c r="M745" i="86"/>
  <c r="L745" i="86"/>
  <c r="K745" i="86"/>
  <c r="J745" i="86"/>
  <c r="I745" i="86"/>
  <c r="H745" i="86"/>
  <c r="G745" i="86"/>
  <c r="F745" i="86"/>
  <c r="E745" i="86"/>
  <c r="M744" i="86"/>
  <c r="L744" i="86"/>
  <c r="K744" i="86"/>
  <c r="J744" i="86"/>
  <c r="I744" i="86"/>
  <c r="H744" i="86"/>
  <c r="G744" i="86"/>
  <c r="F744" i="86"/>
  <c r="E744" i="86"/>
  <c r="M743" i="86"/>
  <c r="L743" i="86"/>
  <c r="K743" i="86"/>
  <c r="J743" i="86"/>
  <c r="I743" i="86"/>
  <c r="H743" i="86"/>
  <c r="G743" i="86"/>
  <c r="F743" i="86"/>
  <c r="E743" i="86"/>
  <c r="M742" i="86"/>
  <c r="L742" i="86"/>
  <c r="K742" i="86"/>
  <c r="J742" i="86"/>
  <c r="I742" i="86"/>
  <c r="H742" i="86"/>
  <c r="G742" i="86"/>
  <c r="F742" i="86"/>
  <c r="E742" i="86"/>
  <c r="M741" i="86"/>
  <c r="L741" i="86"/>
  <c r="K741" i="86"/>
  <c r="J741" i="86"/>
  <c r="I741" i="86"/>
  <c r="H741" i="86"/>
  <c r="G741" i="86"/>
  <c r="F741" i="86"/>
  <c r="E741" i="86"/>
  <c r="M740" i="86"/>
  <c r="L740" i="86"/>
  <c r="K740" i="86"/>
  <c r="J740" i="86"/>
  <c r="I740" i="86"/>
  <c r="H740" i="86"/>
  <c r="G740" i="86"/>
  <c r="F740" i="86"/>
  <c r="E740" i="86"/>
  <c r="M739" i="86"/>
  <c r="L739" i="86"/>
  <c r="K739" i="86"/>
  <c r="J739" i="86"/>
  <c r="I739" i="86"/>
  <c r="H739" i="86"/>
  <c r="G739" i="86"/>
  <c r="F739" i="86"/>
  <c r="E739" i="86"/>
  <c r="M738" i="86"/>
  <c r="L738" i="86"/>
  <c r="K738" i="86"/>
  <c r="J738" i="86"/>
  <c r="I738" i="86"/>
  <c r="H738" i="86"/>
  <c r="G738" i="86"/>
  <c r="F738" i="86"/>
  <c r="E738" i="86"/>
  <c r="H548" i="86"/>
  <c r="G548" i="86"/>
  <c r="F548" i="86"/>
  <c r="E548" i="86"/>
  <c r="H547" i="86"/>
  <c r="G547" i="86"/>
  <c r="F547" i="86"/>
  <c r="E547" i="86"/>
  <c r="AD538" i="86"/>
  <c r="AE538" i="86"/>
  <c r="AF538" i="86"/>
  <c r="AG538" i="86"/>
  <c r="AG534" i="86"/>
  <c r="AF534" i="86"/>
  <c r="AE534" i="86"/>
  <c r="AD534" i="86"/>
  <c r="M533" i="86"/>
  <c r="L533" i="86"/>
  <c r="K533" i="86"/>
  <c r="J533" i="86"/>
  <c r="R533" i="86"/>
  <c r="Q533" i="86"/>
  <c r="P533" i="86"/>
  <c r="O533" i="86"/>
  <c r="T533" i="86"/>
  <c r="U533" i="86"/>
  <c r="V533" i="86"/>
  <c r="W533" i="86"/>
  <c r="Y533" i="86"/>
  <c r="Z533" i="86"/>
  <c r="AA533" i="86"/>
  <c r="AB533" i="86"/>
  <c r="AD533" i="86"/>
  <c r="AE533" i="86"/>
  <c r="AF533" i="86"/>
  <c r="AG533" i="86"/>
  <c r="D13" i="62" l="1"/>
  <c r="E98" i="62"/>
  <c r="AL695" i="71" l="1"/>
  <c r="Z697" i="71"/>
  <c r="AP640" i="71" l="1"/>
  <c r="N537" i="71" l="1"/>
  <c r="AA434" i="71"/>
  <c r="AO434" i="71" s="1"/>
  <c r="F63" i="89" l="1"/>
  <c r="F62" i="89" s="1"/>
  <c r="F42" i="89" s="1"/>
  <c r="F10" i="89" s="1"/>
  <c r="G94" i="89" s="1"/>
  <c r="F64" i="89"/>
  <c r="M438" i="71" s="1"/>
  <c r="D141" i="89"/>
  <c r="D66" i="89"/>
  <c r="M437" i="71" s="1"/>
  <c r="I124" i="91" l="1"/>
  <c r="F66" i="89"/>
  <c r="J125" i="91"/>
  <c r="J10" i="91"/>
  <c r="D9" i="90" l="1"/>
  <c r="E9" i="90"/>
  <c r="V808" i="71" l="1"/>
  <c r="N771" i="71"/>
  <c r="N756" i="86" s="1"/>
  <c r="N769" i="71"/>
  <c r="X771" i="71"/>
  <c r="X756" i="86" s="1"/>
  <c r="X761" i="71"/>
  <c r="N720" i="71"/>
  <c r="X720" i="71"/>
  <c r="X717" i="71" s="1"/>
  <c r="N714" i="71"/>
  <c r="X714" i="71"/>
  <c r="S537" i="71"/>
  <c r="X537" i="71"/>
  <c r="I537" i="71"/>
  <c r="AC540" i="71"/>
  <c r="AD817" i="71" l="1"/>
  <c r="AD818" i="71"/>
  <c r="AL856" i="71"/>
  <c r="AM875" i="71"/>
  <c r="N754" i="86"/>
  <c r="N768" i="71"/>
  <c r="N753" i="86" s="1"/>
  <c r="AC538" i="86"/>
  <c r="AM540" i="71"/>
  <c r="X741" i="86"/>
  <c r="N717" i="71"/>
  <c r="Z809" i="71"/>
  <c r="Z816" i="71" s="1"/>
  <c r="AD816" i="71" s="1"/>
  <c r="AC550" i="71"/>
  <c r="AC549" i="71"/>
  <c r="AL538" i="71" s="1"/>
  <c r="AC547" i="71"/>
  <c r="X546" i="71"/>
  <c r="S546" i="71"/>
  <c r="N546" i="71"/>
  <c r="I546" i="71"/>
  <c r="Y502" i="71"/>
  <c r="Y499" i="71"/>
  <c r="Y496" i="71"/>
  <c r="Y493" i="71"/>
  <c r="X484" i="71"/>
  <c r="AD819" i="71" l="1"/>
  <c r="AC548" i="71"/>
  <c r="AC546" i="71"/>
  <c r="Z819" i="71" l="1"/>
  <c r="AF291" i="71"/>
  <c r="AD863" i="71" l="1"/>
  <c r="AD845" i="86" s="1"/>
  <c r="AL640" i="71"/>
  <c r="AM636" i="71"/>
  <c r="J808" i="71"/>
  <c r="N809" i="71" l="1"/>
  <c r="N816" i="71" s="1"/>
  <c r="R816" i="71" s="1"/>
  <c r="R818" i="71"/>
  <c r="R817" i="71"/>
  <c r="I229" i="91"/>
  <c r="I227" i="91"/>
  <c r="E131" i="91"/>
  <c r="E124" i="91"/>
  <c r="R819" i="71" l="1"/>
  <c r="AL771" i="71" l="1"/>
  <c r="AL768" i="71"/>
  <c r="AP744" i="71"/>
  <c r="AO744" i="71"/>
  <c r="R524" i="71" l="1"/>
  <c r="M444" i="71"/>
  <c r="N309" i="71" l="1"/>
  <c r="N301" i="71"/>
  <c r="N295" i="71"/>
  <c r="D97" i="62" l="1"/>
  <c r="D98" i="62"/>
  <c r="F30" i="65" l="1"/>
  <c r="N33" i="93" l="1"/>
  <c r="O33" i="93"/>
  <c r="P33" i="93"/>
  <c r="Q33" i="93"/>
  <c r="R33" i="93"/>
  <c r="S33" i="93"/>
  <c r="AA32" i="93"/>
  <c r="Z32" i="93"/>
  <c r="Y32" i="93"/>
  <c r="X32" i="93"/>
  <c r="W32" i="93"/>
  <c r="V32" i="93"/>
  <c r="U32" i="93"/>
  <c r="T32" i="93"/>
  <c r="S32" i="93"/>
  <c r="R32" i="93"/>
  <c r="Q32" i="93"/>
  <c r="P32" i="93"/>
  <c r="AP818" i="71"/>
  <c r="AP817" i="71"/>
  <c r="AO818" i="71"/>
  <c r="AO817" i="71"/>
  <c r="AP808" i="71"/>
  <c r="AO769" i="71"/>
  <c r="AO768" i="71"/>
  <c r="G64" i="92"/>
  <c r="AM884" i="71" l="1"/>
  <c r="AL862" i="71"/>
  <c r="AL861" i="71"/>
  <c r="AM881" i="71"/>
  <c r="AM879" i="71"/>
  <c r="AL860" i="71"/>
  <c r="AM877" i="71"/>
  <c r="AM876" i="71"/>
  <c r="AM874" i="71"/>
  <c r="AM873" i="71"/>
  <c r="AM872" i="71"/>
  <c r="AM871" i="71"/>
  <c r="AM870" i="71"/>
  <c r="AM869" i="71"/>
  <c r="AD862" i="71"/>
  <c r="AD844" i="86" s="1"/>
  <c r="AD861" i="71"/>
  <c r="AD843" i="86" s="1"/>
  <c r="AD860" i="71"/>
  <c r="AD842" i="86" s="1"/>
  <c r="AD859" i="71"/>
  <c r="AD841" i="86" s="1"/>
  <c r="AD858" i="71"/>
  <c r="AD840" i="86" s="1"/>
  <c r="AD854" i="71"/>
  <c r="AD836" i="86" s="1"/>
  <c r="AD853" i="71"/>
  <c r="AD835" i="86" s="1"/>
  <c r="AD852" i="71"/>
  <c r="AD834" i="86" s="1"/>
  <c r="AD851" i="71"/>
  <c r="AD833" i="86" s="1"/>
  <c r="AD850" i="71"/>
  <c r="AD832" i="86" s="1"/>
  <c r="AD849" i="71"/>
  <c r="AD831" i="86" s="1"/>
  <c r="AP819" i="71"/>
  <c r="N819" i="71"/>
  <c r="AP785" i="71"/>
  <c r="AO785" i="71"/>
  <c r="AM785" i="71"/>
  <c r="AL785" i="71"/>
  <c r="AM771" i="71"/>
  <c r="AO882" i="71" l="1"/>
  <c r="AO881" i="71"/>
  <c r="AO883" i="71"/>
  <c r="AO873" i="71"/>
  <c r="AO877" i="71"/>
  <c r="AO874" i="71"/>
  <c r="AO878" i="71"/>
  <c r="AO871" i="71"/>
  <c r="AO875" i="71"/>
  <c r="AO872" i="71"/>
  <c r="AM858" i="71"/>
  <c r="AO869" i="71"/>
  <c r="AO854" i="71"/>
  <c r="AO819" i="71"/>
  <c r="AL859" i="71"/>
  <c r="AO849" i="71"/>
  <c r="AO880" i="71"/>
  <c r="AO879" i="71"/>
  <c r="AO852" i="71"/>
  <c r="AO853" i="71"/>
  <c r="AL863" i="71"/>
  <c r="AO851" i="71"/>
  <c r="AO861" i="71"/>
  <c r="AO859" i="71"/>
  <c r="AO862" i="71"/>
  <c r="AO850" i="71"/>
  <c r="AO860" i="71"/>
  <c r="AM863" i="71"/>
  <c r="AL849" i="71"/>
  <c r="AL853" i="71"/>
  <c r="AM852" i="71"/>
  <c r="AL858" i="71"/>
  <c r="AM880" i="71"/>
  <c r="AL851" i="71"/>
  <c r="AM853" i="71"/>
  <c r="AL852" i="71"/>
  <c r="AM849" i="71"/>
  <c r="AM851" i="71"/>
  <c r="AM854" i="71"/>
  <c r="AM883" i="71"/>
  <c r="AM850" i="71"/>
  <c r="AL850" i="71"/>
  <c r="AL854" i="71"/>
  <c r="AM859" i="71"/>
  <c r="AM860" i="71"/>
  <c r="AM861" i="71"/>
  <c r="AM862" i="71"/>
  <c r="AO870" i="71"/>
  <c r="AM878" i="71"/>
  <c r="AM882" i="71"/>
  <c r="X613" i="71" l="1"/>
  <c r="AC536" i="71"/>
  <c r="AM536" i="71" l="1"/>
  <c r="AC534" i="86"/>
  <c r="B67" i="95" l="1"/>
  <c r="B68" i="95"/>
  <c r="B69" i="95"/>
  <c r="B70" i="95"/>
  <c r="B71" i="95"/>
  <c r="B72" i="95"/>
  <c r="B66" i="95"/>
  <c r="B37" i="95"/>
  <c r="B38" i="95"/>
  <c r="B39" i="95"/>
  <c r="B40" i="95"/>
  <c r="B41" i="95"/>
  <c r="B42" i="95"/>
  <c r="B43" i="95"/>
  <c r="B44" i="95"/>
  <c r="B45" i="95"/>
  <c r="B46" i="95"/>
  <c r="B47" i="95"/>
  <c r="B48" i="95"/>
  <c r="B49" i="95"/>
  <c r="B50" i="95"/>
  <c r="B51" i="95"/>
  <c r="B52" i="95"/>
  <c r="B53" i="95"/>
  <c r="B54" i="95"/>
  <c r="B55" i="95"/>
  <c r="B56" i="95"/>
  <c r="B57" i="95"/>
  <c r="B58" i="95"/>
  <c r="B59" i="95"/>
  <c r="B60" i="95"/>
  <c r="B61" i="95"/>
  <c r="B62" i="95"/>
  <c r="B36" i="95"/>
  <c r="B7" i="95"/>
  <c r="B8" i="95"/>
  <c r="B9" i="95"/>
  <c r="B10" i="95"/>
  <c r="B11" i="95"/>
  <c r="B12" i="95"/>
  <c r="B13" i="95"/>
  <c r="B14" i="95"/>
  <c r="B15" i="95"/>
  <c r="B16" i="95"/>
  <c r="B17" i="95"/>
  <c r="B18" i="95"/>
  <c r="B19" i="95"/>
  <c r="B20" i="95"/>
  <c r="B21" i="95"/>
  <c r="B22" i="95"/>
  <c r="B23" i="95"/>
  <c r="B24" i="95"/>
  <c r="B25" i="95"/>
  <c r="B26" i="95"/>
  <c r="B27" i="95"/>
  <c r="B28" i="95"/>
  <c r="B29" i="95"/>
  <c r="B30" i="95"/>
  <c r="B31" i="95"/>
  <c r="B32" i="95"/>
  <c r="B6" i="95"/>
  <c r="B222" i="99"/>
  <c r="B223" i="99"/>
  <c r="B224" i="99"/>
  <c r="B225" i="99"/>
  <c r="B226" i="99"/>
  <c r="B227" i="99"/>
  <c r="B228" i="99"/>
  <c r="B229" i="99"/>
  <c r="B230" i="99"/>
  <c r="B231" i="99"/>
  <c r="B232" i="99"/>
  <c r="B233" i="99"/>
  <c r="B234" i="99"/>
  <c r="B235" i="99"/>
  <c r="B236" i="99"/>
  <c r="B237" i="99"/>
  <c r="B238" i="99"/>
  <c r="B239" i="99"/>
  <c r="B240" i="99"/>
  <c r="B241" i="99"/>
  <c r="B242" i="99"/>
  <c r="B243" i="99"/>
  <c r="B244" i="99"/>
  <c r="B245" i="99"/>
  <c r="B246" i="99"/>
  <c r="B247" i="99"/>
  <c r="B248" i="99"/>
  <c r="B221" i="99"/>
  <c r="B193" i="99"/>
  <c r="B194" i="99"/>
  <c r="B195" i="99"/>
  <c r="B196" i="99"/>
  <c r="B197" i="99"/>
  <c r="B198" i="99"/>
  <c r="B199" i="99"/>
  <c r="B200" i="99"/>
  <c r="B201" i="99"/>
  <c r="B202" i="99"/>
  <c r="B203" i="99"/>
  <c r="B204" i="99"/>
  <c r="B205" i="99"/>
  <c r="B206" i="99"/>
  <c r="B207" i="99"/>
  <c r="B208" i="99"/>
  <c r="B209" i="99"/>
  <c r="B210" i="99"/>
  <c r="B211" i="99"/>
  <c r="B212" i="99"/>
  <c r="B213" i="99"/>
  <c r="B214" i="99"/>
  <c r="B215" i="99"/>
  <c r="B216" i="99"/>
  <c r="B217" i="99"/>
  <c r="B218" i="99"/>
  <c r="B219" i="99"/>
  <c r="B192" i="99"/>
  <c r="B181" i="99"/>
  <c r="B182" i="99"/>
  <c r="B183" i="99"/>
  <c r="B184" i="99"/>
  <c r="B185" i="99"/>
  <c r="B186" i="99"/>
  <c r="B187" i="99"/>
  <c r="B188" i="99"/>
  <c r="B189" i="99"/>
  <c r="B190" i="99"/>
  <c r="B180" i="99"/>
  <c r="AP731" i="71" l="1"/>
  <c r="AP730" i="71"/>
  <c r="AO731" i="71"/>
  <c r="AO730" i="71"/>
  <c r="AP729" i="71"/>
  <c r="AO729" i="71"/>
  <c r="R13" i="65" l="1"/>
  <c r="R12" i="65"/>
  <c r="AG3" i="86" l="1"/>
  <c r="AF3" i="86"/>
  <c r="AE3" i="86"/>
  <c r="AD3" i="86"/>
  <c r="AC3" i="86"/>
  <c r="AB3" i="86"/>
  <c r="AA3" i="86"/>
  <c r="Z3" i="86"/>
  <c r="W3" i="86"/>
  <c r="V3" i="86"/>
  <c r="U3" i="86"/>
  <c r="T3" i="86"/>
  <c r="S3" i="86"/>
  <c r="R3" i="86"/>
  <c r="Q3" i="86"/>
  <c r="P3" i="86"/>
  <c r="O3" i="86"/>
  <c r="N3" i="86"/>
  <c r="X571" i="71" l="1"/>
  <c r="AM571" i="71" s="1"/>
  <c r="N571" i="71"/>
  <c r="AL571" i="71" s="1"/>
  <c r="X574" i="71"/>
  <c r="AM574" i="71" s="1"/>
  <c r="N574" i="71"/>
  <c r="X535" i="71"/>
  <c r="X533" i="86" s="1"/>
  <c r="S535" i="71"/>
  <c r="S533" i="86" s="1"/>
  <c r="N535" i="71"/>
  <c r="N533" i="86" s="1"/>
  <c r="I535" i="71"/>
  <c r="I533" i="86" s="1"/>
  <c r="P493" i="71"/>
  <c r="AO493" i="71" s="1"/>
  <c r="P496" i="71"/>
  <c r="P499" i="71"/>
  <c r="P502" i="71"/>
  <c r="AL574" i="71" l="1"/>
  <c r="AO574" i="71"/>
  <c r="AF3" i="71"/>
  <c r="AE3" i="71"/>
  <c r="AD3" i="71"/>
  <c r="AC3" i="71"/>
  <c r="AB3" i="71"/>
  <c r="AA3" i="71"/>
  <c r="Z3" i="71"/>
  <c r="Y3" i="71"/>
  <c r="K203" i="99" l="1"/>
  <c r="H66" i="103"/>
  <c r="G88" i="89"/>
  <c r="E88" i="89"/>
  <c r="F88" i="89"/>
  <c r="E77" i="101"/>
  <c r="H65" i="103"/>
  <c r="G65" i="103"/>
  <c r="H64" i="103"/>
  <c r="G64" i="103"/>
  <c r="H63" i="103"/>
  <c r="G63" i="103"/>
  <c r="H62" i="103"/>
  <c r="G62" i="103"/>
  <c r="H60" i="103"/>
  <c r="G60" i="103"/>
  <c r="H59" i="103"/>
  <c r="G59" i="103"/>
  <c r="H58" i="103"/>
  <c r="G58" i="103"/>
  <c r="H57" i="103"/>
  <c r="G57" i="103"/>
  <c r="H56" i="103"/>
  <c r="G56" i="103"/>
  <c r="H55" i="103"/>
  <c r="G55" i="103"/>
  <c r="H54" i="103"/>
  <c r="G54" i="103"/>
  <c r="H53" i="103"/>
  <c r="G53" i="103"/>
  <c r="H52" i="103"/>
  <c r="G52" i="103"/>
  <c r="H51" i="103"/>
  <c r="G51" i="103"/>
  <c r="H50" i="103"/>
  <c r="G50" i="103"/>
  <c r="H49" i="103"/>
  <c r="G49" i="103"/>
  <c r="H48" i="103"/>
  <c r="G48" i="103"/>
  <c r="H47" i="103"/>
  <c r="G47" i="103"/>
  <c r="H46" i="103"/>
  <c r="G46" i="103"/>
  <c r="H45" i="103"/>
  <c r="G45" i="103"/>
  <c r="H44" i="103"/>
  <c r="G44" i="103"/>
  <c r="H43" i="103"/>
  <c r="G43" i="103"/>
  <c r="H42" i="103"/>
  <c r="G42" i="103"/>
  <c r="H41" i="103"/>
  <c r="G41" i="103"/>
  <c r="H40" i="103"/>
  <c r="G40" i="103"/>
  <c r="H39" i="103"/>
  <c r="G39" i="103"/>
  <c r="H38" i="103"/>
  <c r="G38" i="103"/>
  <c r="H37" i="103"/>
  <c r="G37" i="103"/>
  <c r="H36" i="103"/>
  <c r="G36" i="103"/>
  <c r="H35" i="103"/>
  <c r="G35" i="103"/>
  <c r="H34" i="103"/>
  <c r="G34" i="103"/>
  <c r="H33" i="103"/>
  <c r="G33" i="103"/>
  <c r="H32" i="103"/>
  <c r="H31" i="103"/>
  <c r="G31" i="103"/>
  <c r="H30" i="103"/>
  <c r="G30" i="103"/>
  <c r="H29" i="103"/>
  <c r="G29" i="103"/>
  <c r="H28" i="103"/>
  <c r="G28" i="103"/>
  <c r="H27" i="103"/>
  <c r="G27" i="103"/>
  <c r="H26" i="103"/>
  <c r="G26" i="103"/>
  <c r="H25" i="103"/>
  <c r="G25" i="103"/>
  <c r="H24" i="103"/>
  <c r="G24" i="103"/>
  <c r="H23" i="103"/>
  <c r="G23" i="103"/>
  <c r="H22" i="103"/>
  <c r="G22" i="103"/>
  <c r="H21" i="103"/>
  <c r="G21" i="103"/>
  <c r="H20" i="103"/>
  <c r="G20" i="103"/>
  <c r="H19" i="103"/>
  <c r="G19" i="103"/>
  <c r="H18" i="103"/>
  <c r="G18" i="103"/>
  <c r="H17" i="103"/>
  <c r="G17" i="103"/>
  <c r="H16" i="103"/>
  <c r="G16" i="103"/>
  <c r="H15" i="103"/>
  <c r="G15" i="103"/>
  <c r="H14" i="103"/>
  <c r="G14" i="103"/>
  <c r="H13" i="103"/>
  <c r="G13" i="103"/>
  <c r="H12" i="103"/>
  <c r="G12" i="103"/>
  <c r="H11" i="103"/>
  <c r="G11" i="103"/>
  <c r="H10" i="103"/>
  <c r="G10" i="103"/>
  <c r="H9" i="103"/>
  <c r="G9" i="103"/>
  <c r="H8" i="103"/>
  <c r="G8" i="103"/>
  <c r="H7" i="103"/>
  <c r="G7" i="103"/>
  <c r="H6" i="103"/>
  <c r="G6" i="103"/>
  <c r="K248" i="101"/>
  <c r="I248" i="101"/>
  <c r="K247" i="101"/>
  <c r="I247" i="101"/>
  <c r="K246" i="101"/>
  <c r="I246" i="101"/>
  <c r="K245" i="101"/>
  <c r="I245" i="101"/>
  <c r="K244" i="101"/>
  <c r="I244" i="101"/>
  <c r="K243" i="101"/>
  <c r="I243" i="101"/>
  <c r="K242" i="101"/>
  <c r="I242" i="101"/>
  <c r="K241" i="101"/>
  <c r="K240" i="101"/>
  <c r="I240" i="101"/>
  <c r="K239" i="101"/>
  <c r="K238" i="101"/>
  <c r="I238" i="101"/>
  <c r="K237" i="101"/>
  <c r="I237" i="101"/>
  <c r="K236" i="101"/>
  <c r="I236" i="101"/>
  <c r="K235" i="101"/>
  <c r="I235" i="101"/>
  <c r="K234" i="101"/>
  <c r="I234" i="101"/>
  <c r="K233" i="101"/>
  <c r="I233" i="101"/>
  <c r="K232" i="101"/>
  <c r="I232" i="101"/>
  <c r="K231" i="101"/>
  <c r="I231" i="101"/>
  <c r="K230" i="101"/>
  <c r="I230" i="101"/>
  <c r="K229" i="101"/>
  <c r="I229" i="101"/>
  <c r="K228" i="101"/>
  <c r="I228" i="101"/>
  <c r="K227" i="101"/>
  <c r="I227" i="101"/>
  <c r="K226" i="101"/>
  <c r="I226" i="101"/>
  <c r="K225" i="101"/>
  <c r="I225" i="101"/>
  <c r="K224" i="101"/>
  <c r="I224" i="101"/>
  <c r="K223" i="101"/>
  <c r="I223" i="101"/>
  <c r="K222" i="101"/>
  <c r="I222" i="101"/>
  <c r="K221" i="101"/>
  <c r="I221" i="101"/>
  <c r="K219" i="101"/>
  <c r="I219" i="101"/>
  <c r="K218" i="101"/>
  <c r="I218" i="101"/>
  <c r="K217" i="101"/>
  <c r="I217" i="101"/>
  <c r="K216" i="101"/>
  <c r="I216" i="101"/>
  <c r="K215" i="101"/>
  <c r="I215" i="101"/>
  <c r="K214" i="101"/>
  <c r="I214" i="101"/>
  <c r="K213" i="101"/>
  <c r="I213" i="101"/>
  <c r="K212" i="101"/>
  <c r="I212" i="101"/>
  <c r="K211" i="101"/>
  <c r="I211" i="101"/>
  <c r="K210" i="101"/>
  <c r="I210" i="101"/>
  <c r="K209" i="101"/>
  <c r="I209" i="101"/>
  <c r="K208" i="101"/>
  <c r="I208" i="101"/>
  <c r="K207" i="101"/>
  <c r="I207" i="101"/>
  <c r="K206" i="101"/>
  <c r="I206" i="101"/>
  <c r="K205" i="101"/>
  <c r="I205" i="101"/>
  <c r="K204" i="101"/>
  <c r="I204" i="101"/>
  <c r="I203" i="101"/>
  <c r="K201" i="101"/>
  <c r="I201" i="101"/>
  <c r="K200" i="101"/>
  <c r="I200" i="101"/>
  <c r="K199" i="101"/>
  <c r="I199" i="101"/>
  <c r="K198" i="101"/>
  <c r="I198" i="101"/>
  <c r="K197" i="101"/>
  <c r="I197" i="101"/>
  <c r="K196" i="101"/>
  <c r="I196" i="101"/>
  <c r="K195" i="101"/>
  <c r="I195" i="101"/>
  <c r="K194" i="101"/>
  <c r="I194" i="101"/>
  <c r="K193" i="101"/>
  <c r="I193" i="101"/>
  <c r="K192" i="101"/>
  <c r="I192" i="101"/>
  <c r="K190" i="101"/>
  <c r="I190" i="101"/>
  <c r="K189" i="101"/>
  <c r="I189" i="101"/>
  <c r="K188" i="101"/>
  <c r="I188" i="101"/>
  <c r="K187" i="101"/>
  <c r="I187" i="101"/>
  <c r="K186" i="101"/>
  <c r="I186" i="101"/>
  <c r="K185" i="101"/>
  <c r="I185" i="101"/>
  <c r="K184" i="101"/>
  <c r="I184" i="101"/>
  <c r="K183" i="101"/>
  <c r="I183" i="101"/>
  <c r="K182" i="101"/>
  <c r="I182" i="101"/>
  <c r="J177" i="101"/>
  <c r="J175" i="101"/>
  <c r="J173" i="101"/>
  <c r="J171" i="101"/>
  <c r="J169" i="101"/>
  <c r="J167" i="101"/>
  <c r="J165" i="101"/>
  <c r="J163" i="101"/>
  <c r="E177" i="101"/>
  <c r="E176" i="101"/>
  <c r="E175" i="101"/>
  <c r="E174" i="101"/>
  <c r="E173" i="101"/>
  <c r="E172" i="101"/>
  <c r="E171" i="101"/>
  <c r="E170" i="101"/>
  <c r="E169" i="101"/>
  <c r="E168" i="101"/>
  <c r="E167" i="101"/>
  <c r="E166" i="101"/>
  <c r="E165" i="101"/>
  <c r="E164" i="101"/>
  <c r="E163" i="101"/>
  <c r="E162" i="101"/>
  <c r="J158" i="101"/>
  <c r="J156" i="101"/>
  <c r="J154" i="101"/>
  <c r="J152" i="101"/>
  <c r="J150" i="101"/>
  <c r="J148" i="101"/>
  <c r="J146" i="101"/>
  <c r="J144" i="101"/>
  <c r="J142" i="101"/>
  <c r="J140" i="101"/>
  <c r="J138" i="101"/>
  <c r="J136" i="101"/>
  <c r="J134" i="101"/>
  <c r="J132" i="101"/>
  <c r="E158" i="101"/>
  <c r="E157" i="101"/>
  <c r="E156" i="101"/>
  <c r="E155" i="101"/>
  <c r="E154" i="101"/>
  <c r="E153" i="101"/>
  <c r="E152" i="101"/>
  <c r="E151" i="101"/>
  <c r="E150" i="101"/>
  <c r="E149" i="101"/>
  <c r="E148" i="101"/>
  <c r="E147" i="101"/>
  <c r="E146" i="101"/>
  <c r="E145" i="101"/>
  <c r="E144" i="101"/>
  <c r="E143" i="101"/>
  <c r="E142" i="101"/>
  <c r="E141" i="101"/>
  <c r="E140" i="101"/>
  <c r="E139" i="101"/>
  <c r="E138" i="101"/>
  <c r="E137" i="101"/>
  <c r="E136" i="101"/>
  <c r="E135" i="101"/>
  <c r="E134" i="101"/>
  <c r="E133" i="101"/>
  <c r="E132" i="101"/>
  <c r="E131" i="101"/>
  <c r="J127" i="101"/>
  <c r="J125" i="101"/>
  <c r="J123" i="101"/>
  <c r="J121" i="101"/>
  <c r="J119" i="101"/>
  <c r="J117" i="101"/>
  <c r="J115" i="101"/>
  <c r="J113" i="101"/>
  <c r="J111" i="101"/>
  <c r="J109" i="101"/>
  <c r="J107" i="101"/>
  <c r="J105" i="101"/>
  <c r="J103" i="101"/>
  <c r="J101" i="101"/>
  <c r="E127" i="101"/>
  <c r="E126" i="101"/>
  <c r="E125" i="101"/>
  <c r="E124" i="101"/>
  <c r="E123" i="101"/>
  <c r="E122" i="101"/>
  <c r="E121" i="101"/>
  <c r="E120" i="101"/>
  <c r="E119" i="101"/>
  <c r="E118" i="101"/>
  <c r="E117" i="101"/>
  <c r="E116" i="101"/>
  <c r="E115" i="101"/>
  <c r="E114" i="101"/>
  <c r="E113" i="101"/>
  <c r="E112" i="101"/>
  <c r="E111" i="101"/>
  <c r="E110" i="101"/>
  <c r="E109" i="101"/>
  <c r="E108" i="101"/>
  <c r="E107" i="101"/>
  <c r="E106" i="101"/>
  <c r="E105" i="101"/>
  <c r="E104" i="101"/>
  <c r="E103" i="101"/>
  <c r="E102" i="101"/>
  <c r="E101" i="101"/>
  <c r="E100" i="101"/>
  <c r="J96" i="101"/>
  <c r="J94" i="101"/>
  <c r="J92" i="101"/>
  <c r="J90" i="101"/>
  <c r="J88" i="101"/>
  <c r="J86" i="101"/>
  <c r="J84" i="101"/>
  <c r="J82" i="101"/>
  <c r="J80" i="101"/>
  <c r="J78" i="101"/>
  <c r="J76" i="101"/>
  <c r="J74" i="101"/>
  <c r="J72" i="101"/>
  <c r="J70" i="101"/>
  <c r="E96" i="101"/>
  <c r="E95" i="101"/>
  <c r="E94" i="101"/>
  <c r="E93" i="101"/>
  <c r="E92" i="101"/>
  <c r="E91" i="101"/>
  <c r="I91" i="101" s="1"/>
  <c r="E90" i="101"/>
  <c r="E89" i="101"/>
  <c r="E88" i="101"/>
  <c r="E87" i="101"/>
  <c r="E86" i="101"/>
  <c r="E85" i="101"/>
  <c r="E84" i="101"/>
  <c r="E83" i="101"/>
  <c r="E82" i="101"/>
  <c r="E81" i="101"/>
  <c r="E80" i="101"/>
  <c r="E79" i="101"/>
  <c r="E76" i="101"/>
  <c r="E75" i="101"/>
  <c r="E74" i="101"/>
  <c r="E73" i="101"/>
  <c r="E72" i="101"/>
  <c r="E71" i="101"/>
  <c r="I71" i="101" s="1"/>
  <c r="E70" i="101"/>
  <c r="E69" i="101"/>
  <c r="J65" i="101"/>
  <c r="J63" i="101"/>
  <c r="J61" i="101"/>
  <c r="J59" i="101"/>
  <c r="J57" i="101"/>
  <c r="J55" i="101"/>
  <c r="J53" i="101"/>
  <c r="J51" i="101"/>
  <c r="J49" i="101"/>
  <c r="J47" i="101"/>
  <c r="J45" i="101"/>
  <c r="J43" i="101"/>
  <c r="J41" i="101"/>
  <c r="J39" i="101"/>
  <c r="E65" i="101"/>
  <c r="E64" i="101"/>
  <c r="E63" i="101"/>
  <c r="E62" i="101"/>
  <c r="E61" i="101"/>
  <c r="E60" i="101"/>
  <c r="E59" i="101"/>
  <c r="E58" i="101"/>
  <c r="E57" i="101"/>
  <c r="E56" i="101"/>
  <c r="E55" i="101"/>
  <c r="E54" i="101"/>
  <c r="E53" i="101"/>
  <c r="E52" i="101"/>
  <c r="E51" i="101"/>
  <c r="E50" i="101"/>
  <c r="E49" i="101"/>
  <c r="E48" i="101"/>
  <c r="E47" i="101"/>
  <c r="E46" i="101"/>
  <c r="E45" i="101"/>
  <c r="E44" i="101"/>
  <c r="E43" i="101"/>
  <c r="E42" i="101"/>
  <c r="E41" i="101"/>
  <c r="E40" i="101"/>
  <c r="E39" i="101"/>
  <c r="E38" i="101"/>
  <c r="J34" i="101"/>
  <c r="J32" i="101"/>
  <c r="J30" i="101"/>
  <c r="J28" i="101"/>
  <c r="J26" i="101"/>
  <c r="J24" i="101"/>
  <c r="J22" i="101"/>
  <c r="J20" i="101"/>
  <c r="J18" i="101"/>
  <c r="J16" i="101"/>
  <c r="J14" i="101"/>
  <c r="J12" i="101"/>
  <c r="J10" i="101"/>
  <c r="J8" i="101"/>
  <c r="E34" i="101"/>
  <c r="E33" i="101"/>
  <c r="E32" i="101"/>
  <c r="E31" i="101"/>
  <c r="E30" i="101"/>
  <c r="E29" i="101"/>
  <c r="I29" i="101" s="1"/>
  <c r="E28" i="101"/>
  <c r="E27" i="101"/>
  <c r="E26" i="101"/>
  <c r="E25" i="101"/>
  <c r="E24" i="101"/>
  <c r="E23" i="101"/>
  <c r="E22" i="101"/>
  <c r="E21" i="101"/>
  <c r="E20" i="101"/>
  <c r="E19" i="101"/>
  <c r="E18" i="101"/>
  <c r="E17" i="101"/>
  <c r="E16" i="101"/>
  <c r="E15" i="101"/>
  <c r="E14" i="101"/>
  <c r="E13" i="101"/>
  <c r="E12" i="101"/>
  <c r="E11" i="101"/>
  <c r="E10" i="101"/>
  <c r="I176" i="101"/>
  <c r="I168" i="101"/>
  <c r="K248" i="99"/>
  <c r="I248" i="99"/>
  <c r="K247" i="99"/>
  <c r="I247" i="99"/>
  <c r="K246" i="99"/>
  <c r="I246" i="99"/>
  <c r="K245" i="99"/>
  <c r="I245" i="99"/>
  <c r="K244" i="99"/>
  <c r="I244" i="99"/>
  <c r="K243" i="99"/>
  <c r="I243" i="99"/>
  <c r="K242" i="99"/>
  <c r="I242" i="99"/>
  <c r="K241" i="99"/>
  <c r="K240" i="99"/>
  <c r="I240" i="99"/>
  <c r="K239" i="99"/>
  <c r="K238" i="99"/>
  <c r="I238" i="99"/>
  <c r="K237" i="99"/>
  <c r="I237" i="99"/>
  <c r="K236" i="99"/>
  <c r="I236" i="99"/>
  <c r="K235" i="99"/>
  <c r="I235" i="99"/>
  <c r="K234" i="99"/>
  <c r="I234" i="99"/>
  <c r="K233" i="99"/>
  <c r="I233" i="99"/>
  <c r="K232" i="99"/>
  <c r="I232" i="99"/>
  <c r="K231" i="99"/>
  <c r="I231" i="99"/>
  <c r="K230" i="99"/>
  <c r="I230" i="99"/>
  <c r="K229" i="99"/>
  <c r="I229" i="99"/>
  <c r="K228" i="99"/>
  <c r="I228" i="99"/>
  <c r="K227" i="99"/>
  <c r="I227" i="99"/>
  <c r="K226" i="99"/>
  <c r="I226" i="99"/>
  <c r="K225" i="99"/>
  <c r="I225" i="99"/>
  <c r="K224" i="99"/>
  <c r="I224" i="99"/>
  <c r="K223" i="99"/>
  <c r="I223" i="99"/>
  <c r="K222" i="99"/>
  <c r="I222" i="99"/>
  <c r="K221" i="99"/>
  <c r="I221" i="99"/>
  <c r="K219" i="99"/>
  <c r="I219" i="99"/>
  <c r="K218" i="99"/>
  <c r="I218" i="99"/>
  <c r="K217" i="99"/>
  <c r="I217" i="99"/>
  <c r="K216" i="99"/>
  <c r="I216" i="99"/>
  <c r="K215" i="99"/>
  <c r="I215" i="99"/>
  <c r="K214" i="99"/>
  <c r="I214" i="99"/>
  <c r="K213" i="99"/>
  <c r="I213" i="99"/>
  <c r="K212" i="99"/>
  <c r="I212" i="99"/>
  <c r="K211" i="99"/>
  <c r="I211" i="99"/>
  <c r="K210" i="99"/>
  <c r="I210" i="99"/>
  <c r="K209" i="99"/>
  <c r="I209" i="99"/>
  <c r="K208" i="99"/>
  <c r="I208" i="99"/>
  <c r="K207" i="99"/>
  <c r="I207" i="99"/>
  <c r="K206" i="99"/>
  <c r="I206" i="99"/>
  <c r="K205" i="99"/>
  <c r="I205" i="99"/>
  <c r="K204" i="99"/>
  <c r="I204" i="99"/>
  <c r="I203" i="99"/>
  <c r="K201" i="99"/>
  <c r="I201" i="99"/>
  <c r="K200" i="99"/>
  <c r="I200" i="99"/>
  <c r="K199" i="99"/>
  <c r="I199" i="99"/>
  <c r="K198" i="99"/>
  <c r="I198" i="99"/>
  <c r="K197" i="99"/>
  <c r="I197" i="99"/>
  <c r="K196" i="99"/>
  <c r="I196" i="99"/>
  <c r="K195" i="99"/>
  <c r="I195" i="99"/>
  <c r="K194" i="99"/>
  <c r="I194" i="99"/>
  <c r="K193" i="99"/>
  <c r="I193" i="99"/>
  <c r="K192" i="99"/>
  <c r="I192" i="99"/>
  <c r="K190" i="99"/>
  <c r="I190" i="99"/>
  <c r="K189" i="99"/>
  <c r="I189" i="99"/>
  <c r="K188" i="99"/>
  <c r="I188" i="99"/>
  <c r="K187" i="99"/>
  <c r="I187" i="99"/>
  <c r="K186" i="99"/>
  <c r="I186" i="99"/>
  <c r="K185" i="99"/>
  <c r="I185" i="99"/>
  <c r="K184" i="99"/>
  <c r="I184" i="99"/>
  <c r="K183" i="99"/>
  <c r="I183" i="99"/>
  <c r="K182" i="99"/>
  <c r="I182" i="99"/>
  <c r="J177" i="99"/>
  <c r="J175" i="99"/>
  <c r="J173" i="99"/>
  <c r="J171" i="99"/>
  <c r="J169" i="99"/>
  <c r="J167" i="99"/>
  <c r="J165" i="99"/>
  <c r="J163" i="99"/>
  <c r="E177" i="99"/>
  <c r="E176" i="99"/>
  <c r="E175" i="99"/>
  <c r="E174" i="99"/>
  <c r="I174" i="99" s="1"/>
  <c r="E173" i="99"/>
  <c r="E172" i="99"/>
  <c r="E171" i="99"/>
  <c r="E170" i="99"/>
  <c r="E169" i="99"/>
  <c r="E168" i="99"/>
  <c r="E167" i="99"/>
  <c r="E166" i="99"/>
  <c r="E165" i="99"/>
  <c r="E164" i="99"/>
  <c r="E163" i="99"/>
  <c r="E162" i="99"/>
  <c r="J158" i="99"/>
  <c r="J156" i="99"/>
  <c r="J154" i="99"/>
  <c r="J152" i="99"/>
  <c r="J150" i="99"/>
  <c r="J148" i="99"/>
  <c r="J146" i="99"/>
  <c r="J144" i="99"/>
  <c r="J142" i="99"/>
  <c r="J140" i="99"/>
  <c r="J138" i="99"/>
  <c r="J136" i="99"/>
  <c r="J134" i="99"/>
  <c r="J132" i="99"/>
  <c r="E158" i="99"/>
  <c r="E157" i="99"/>
  <c r="I157" i="99" s="1"/>
  <c r="E156" i="99"/>
  <c r="E155" i="99"/>
  <c r="E154" i="99"/>
  <c r="E153" i="99"/>
  <c r="E152" i="99"/>
  <c r="E151" i="99"/>
  <c r="E150" i="99"/>
  <c r="E149" i="99"/>
  <c r="E148" i="99"/>
  <c r="E147" i="99"/>
  <c r="E146" i="99"/>
  <c r="E145" i="99"/>
  <c r="E144" i="99"/>
  <c r="E143" i="99"/>
  <c r="E142" i="99"/>
  <c r="E141" i="99"/>
  <c r="E140" i="99"/>
  <c r="E139" i="99"/>
  <c r="E138" i="99"/>
  <c r="E137" i="99"/>
  <c r="I137" i="99" s="1"/>
  <c r="E136" i="99"/>
  <c r="E135" i="99"/>
  <c r="E134" i="99"/>
  <c r="E133" i="99"/>
  <c r="E132" i="99"/>
  <c r="E131" i="99"/>
  <c r="J127" i="99"/>
  <c r="J125" i="99"/>
  <c r="J123" i="99"/>
  <c r="J121" i="99"/>
  <c r="J119" i="99"/>
  <c r="J117" i="99"/>
  <c r="J115" i="99"/>
  <c r="J113" i="99"/>
  <c r="J111" i="99"/>
  <c r="J109" i="99"/>
  <c r="J107" i="99"/>
  <c r="J105" i="99"/>
  <c r="J103" i="99"/>
  <c r="J101" i="99"/>
  <c r="E127" i="99"/>
  <c r="E126" i="99"/>
  <c r="E125" i="99"/>
  <c r="E124" i="99"/>
  <c r="E123" i="99"/>
  <c r="E122" i="99"/>
  <c r="E121" i="99"/>
  <c r="E120" i="99"/>
  <c r="E119" i="99"/>
  <c r="E118" i="99"/>
  <c r="E117" i="99"/>
  <c r="E116" i="99"/>
  <c r="E115" i="99"/>
  <c r="E114" i="99"/>
  <c r="E113" i="99"/>
  <c r="E112" i="99"/>
  <c r="E111" i="99"/>
  <c r="E110" i="99"/>
  <c r="E109" i="99"/>
  <c r="E108" i="99"/>
  <c r="E107" i="99"/>
  <c r="E106" i="99"/>
  <c r="E105" i="99"/>
  <c r="E104" i="99"/>
  <c r="I104" i="99" s="1"/>
  <c r="E103" i="99"/>
  <c r="E102" i="99"/>
  <c r="E101" i="99"/>
  <c r="E100" i="99"/>
  <c r="J96" i="99"/>
  <c r="J94" i="99"/>
  <c r="J92" i="99"/>
  <c r="J90" i="99"/>
  <c r="J88" i="99"/>
  <c r="J86" i="99"/>
  <c r="J84" i="99"/>
  <c r="J82" i="99"/>
  <c r="J80" i="99"/>
  <c r="J78" i="99"/>
  <c r="J76" i="99"/>
  <c r="J74" i="99"/>
  <c r="J72" i="99"/>
  <c r="J70" i="99"/>
  <c r="E96" i="99"/>
  <c r="E95" i="99"/>
  <c r="E94" i="99"/>
  <c r="E93" i="99"/>
  <c r="E92" i="99"/>
  <c r="E91" i="99"/>
  <c r="I91" i="99" s="1"/>
  <c r="E90" i="99"/>
  <c r="E89" i="99"/>
  <c r="E88" i="99"/>
  <c r="E87" i="99"/>
  <c r="E86" i="99"/>
  <c r="E85" i="99"/>
  <c r="E84" i="99"/>
  <c r="E83" i="99"/>
  <c r="E82" i="99"/>
  <c r="E81" i="99"/>
  <c r="E80" i="99"/>
  <c r="E79" i="99"/>
  <c r="E76" i="99"/>
  <c r="E75" i="99"/>
  <c r="E74" i="99"/>
  <c r="E73" i="99"/>
  <c r="E72" i="99"/>
  <c r="E71" i="99"/>
  <c r="E70" i="99"/>
  <c r="E69" i="99"/>
  <c r="I69" i="99" s="1"/>
  <c r="J65" i="99"/>
  <c r="J63" i="99"/>
  <c r="J61" i="99"/>
  <c r="J59" i="99"/>
  <c r="J57" i="99"/>
  <c r="J55" i="99"/>
  <c r="J53" i="99"/>
  <c r="J51" i="99"/>
  <c r="J49" i="99"/>
  <c r="J47" i="99"/>
  <c r="J45" i="99"/>
  <c r="J43" i="99"/>
  <c r="J41" i="99"/>
  <c r="J39" i="99"/>
  <c r="E65" i="99"/>
  <c r="E64" i="99"/>
  <c r="E63" i="99"/>
  <c r="E62" i="99"/>
  <c r="E61" i="99"/>
  <c r="E60" i="99"/>
  <c r="E59" i="99"/>
  <c r="E58" i="99"/>
  <c r="E57" i="99"/>
  <c r="E56" i="99"/>
  <c r="E55" i="99"/>
  <c r="E54" i="99"/>
  <c r="E53" i="99"/>
  <c r="E52" i="99"/>
  <c r="E51" i="99"/>
  <c r="E50" i="99"/>
  <c r="E49" i="99"/>
  <c r="E48" i="99"/>
  <c r="E47" i="99"/>
  <c r="E46" i="99"/>
  <c r="E45" i="99"/>
  <c r="E44" i="99"/>
  <c r="E43" i="99"/>
  <c r="E42" i="99"/>
  <c r="E41" i="99"/>
  <c r="E40" i="99"/>
  <c r="E39" i="99"/>
  <c r="E38" i="99"/>
  <c r="J34" i="99"/>
  <c r="J32" i="99"/>
  <c r="J30" i="99"/>
  <c r="J28" i="99"/>
  <c r="J26" i="99"/>
  <c r="J24" i="99"/>
  <c r="J22" i="99"/>
  <c r="J20" i="99"/>
  <c r="J18" i="99"/>
  <c r="J16" i="99"/>
  <c r="J14" i="99"/>
  <c r="J12" i="99"/>
  <c r="J10" i="99"/>
  <c r="J8" i="99"/>
  <c r="E34" i="99"/>
  <c r="E33" i="99"/>
  <c r="E32" i="99"/>
  <c r="E31" i="99"/>
  <c r="E30" i="99"/>
  <c r="E29" i="99"/>
  <c r="E28" i="99"/>
  <c r="E27" i="99"/>
  <c r="E26" i="99"/>
  <c r="E25" i="99"/>
  <c r="E24" i="99"/>
  <c r="E23" i="99"/>
  <c r="I23" i="99" s="1"/>
  <c r="E22" i="99"/>
  <c r="E21" i="99"/>
  <c r="E20" i="99"/>
  <c r="E19" i="99"/>
  <c r="I19" i="99" s="1"/>
  <c r="E18" i="99"/>
  <c r="E17" i="99"/>
  <c r="E16" i="99"/>
  <c r="E15" i="99"/>
  <c r="I15" i="99" s="1"/>
  <c r="E14" i="99"/>
  <c r="E13" i="99"/>
  <c r="E12" i="99"/>
  <c r="E11" i="99"/>
  <c r="E10" i="99"/>
  <c r="I79" i="99" l="1"/>
  <c r="I13" i="99"/>
  <c r="I139" i="99"/>
  <c r="I75" i="101"/>
  <c r="I106" i="101"/>
  <c r="I114" i="101"/>
  <c r="I40" i="101"/>
  <c r="I48" i="101"/>
  <c r="I122" i="101"/>
  <c r="I31" i="101"/>
  <c r="I44" i="101"/>
  <c r="I73" i="101"/>
  <c r="I64" i="101"/>
  <c r="I69" i="101"/>
  <c r="I145" i="101"/>
  <c r="I147" i="99"/>
  <c r="I17" i="99"/>
  <c r="I81" i="99"/>
  <c r="I85" i="99"/>
  <c r="I89" i="99"/>
  <c r="I102" i="99"/>
  <c r="I106" i="99"/>
  <c r="I110" i="99"/>
  <c r="I114" i="99"/>
  <c r="I126" i="99"/>
  <c r="I135" i="99"/>
  <c r="I151" i="99"/>
  <c r="I155" i="99"/>
  <c r="I176" i="99"/>
  <c r="I95" i="101"/>
  <c r="I133" i="101"/>
  <c r="I137" i="101"/>
  <c r="I141" i="101"/>
  <c r="I149" i="101"/>
  <c r="I153" i="101"/>
  <c r="I157" i="101"/>
  <c r="I95" i="99"/>
  <c r="I100" i="99"/>
  <c r="I108" i="99"/>
  <c r="I112" i="99"/>
  <c r="I116" i="99"/>
  <c r="I133" i="99"/>
  <c r="I141" i="99"/>
  <c r="I145" i="99"/>
  <c r="I153" i="99"/>
  <c r="I170" i="99"/>
  <c r="I81" i="101"/>
  <c r="I85" i="101"/>
  <c r="I89" i="101"/>
  <c r="I102" i="101"/>
  <c r="I110" i="101"/>
  <c r="I126" i="101"/>
  <c r="I135" i="101"/>
  <c r="I139" i="101"/>
  <c r="I147" i="101"/>
  <c r="I151" i="101"/>
  <c r="I155" i="101"/>
  <c r="I164" i="101"/>
  <c r="I172" i="101"/>
  <c r="I120" i="99"/>
  <c r="I124" i="99"/>
  <c r="AO808" i="71"/>
  <c r="I143" i="99"/>
  <c r="I118" i="101"/>
  <c r="I93" i="99"/>
  <c r="I118" i="99"/>
  <c r="I33" i="101"/>
  <c r="K203" i="101"/>
  <c r="K202" i="99"/>
  <c r="G32" i="103"/>
  <c r="G61" i="103"/>
  <c r="H61" i="103"/>
  <c r="I172" i="99"/>
  <c r="I166" i="99"/>
  <c r="I164" i="99"/>
  <c r="I143" i="101"/>
  <c r="I131" i="99"/>
  <c r="I131" i="101"/>
  <c r="E78" i="101"/>
  <c r="I77" i="101" s="1"/>
  <c r="I93" i="101"/>
  <c r="E78" i="99"/>
  <c r="E7" i="91"/>
  <c r="I83" i="99"/>
  <c r="I87" i="99"/>
  <c r="I83" i="101"/>
  <c r="I87" i="101"/>
  <c r="E9" i="99"/>
  <c r="I9" i="99" s="1"/>
  <c r="I52" i="101"/>
  <c r="I60" i="101"/>
  <c r="E9" i="101"/>
  <c r="I9" i="101" s="1"/>
  <c r="E8" i="101"/>
  <c r="I56" i="101"/>
  <c r="E8" i="99"/>
  <c r="I58" i="99"/>
  <c r="I29" i="99"/>
  <c r="I33" i="99"/>
  <c r="I42" i="99"/>
  <c r="I21" i="101"/>
  <c r="I11" i="101"/>
  <c r="I15" i="101"/>
  <c r="I19" i="101"/>
  <c r="I23" i="101"/>
  <c r="I21" i="99"/>
  <c r="I25" i="99"/>
  <c r="I13" i="101"/>
  <c r="I17" i="101"/>
  <c r="I25" i="101"/>
  <c r="E77" i="99"/>
  <c r="I122" i="99"/>
  <c r="I168" i="99"/>
  <c r="I162" i="99"/>
  <c r="I149" i="99"/>
  <c r="I79" i="101"/>
  <c r="I50" i="99"/>
  <c r="I38" i="99"/>
  <c r="I46" i="99"/>
  <c r="I54" i="99"/>
  <c r="I62" i="99"/>
  <c r="I71" i="99"/>
  <c r="I75" i="99"/>
  <c r="I31" i="99"/>
  <c r="I40" i="99"/>
  <c r="I44" i="99"/>
  <c r="I48" i="99"/>
  <c r="I52" i="99"/>
  <c r="I56" i="99"/>
  <c r="I60" i="99"/>
  <c r="I64" i="99"/>
  <c r="I73" i="99"/>
  <c r="I27" i="99"/>
  <c r="I27" i="101"/>
  <c r="I11" i="99"/>
  <c r="I46" i="101"/>
  <c r="I54" i="101"/>
  <c r="I62" i="101"/>
  <c r="I100" i="101"/>
  <c r="I108" i="101"/>
  <c r="I116" i="101"/>
  <c r="I124" i="101"/>
  <c r="I162" i="101"/>
  <c r="I166" i="101"/>
  <c r="I170" i="101"/>
  <c r="I174" i="101"/>
  <c r="I38" i="101"/>
  <c r="I42" i="101"/>
  <c r="I50" i="101"/>
  <c r="I58" i="101"/>
  <c r="I104" i="101"/>
  <c r="I112" i="101"/>
  <c r="I120" i="101"/>
  <c r="E7" i="99" l="1"/>
  <c r="E7" i="101"/>
  <c r="I7" i="101" s="1"/>
  <c r="AO884" i="71"/>
  <c r="AO863" i="71"/>
  <c r="K202" i="101"/>
  <c r="K181" i="99"/>
  <c r="D88" i="89"/>
  <c r="I77" i="99"/>
  <c r="I7" i="99"/>
  <c r="I202" i="99"/>
  <c r="I202" i="101"/>
  <c r="AP723" i="71"/>
  <c r="AO723" i="71"/>
  <c r="AP718" i="71"/>
  <c r="AO718" i="71"/>
  <c r="AP717" i="71"/>
  <c r="AO717" i="71"/>
  <c r="AP696" i="71"/>
  <c r="AP695" i="71"/>
  <c r="AP694" i="71"/>
  <c r="AO696" i="71"/>
  <c r="AO695" i="71"/>
  <c r="AO694" i="71"/>
  <c r="AP638" i="71"/>
  <c r="AP636" i="71"/>
  <c r="AP634" i="71"/>
  <c r="G66" i="103" l="1"/>
  <c r="K180" i="101"/>
  <c r="K181" i="101"/>
  <c r="I181" i="99"/>
  <c r="I181" i="101"/>
  <c r="W29" i="96"/>
  <c r="E161" i="89" l="1"/>
  <c r="K180" i="99"/>
  <c r="I180" i="99"/>
  <c r="I180" i="101"/>
  <c r="W42" i="96"/>
  <c r="U41" i="96"/>
  <c r="T41" i="96"/>
  <c r="S41" i="96"/>
  <c r="R41" i="96"/>
  <c r="P41" i="96"/>
  <c r="O41" i="96"/>
  <c r="M41" i="96"/>
  <c r="L41" i="96"/>
  <c r="J41" i="96"/>
  <c r="I41" i="96"/>
  <c r="H41" i="96"/>
  <c r="G41" i="96"/>
  <c r="E41" i="96"/>
  <c r="D41" i="96"/>
  <c r="B41" i="96"/>
  <c r="A41" i="96"/>
  <c r="AK38" i="96"/>
  <c r="AJ38" i="96"/>
  <c r="AI38" i="96"/>
  <c r="AH38" i="96"/>
  <c r="AG38" i="96"/>
  <c r="AF38" i="96"/>
  <c r="AE38" i="96"/>
  <c r="AD38" i="96"/>
  <c r="AC38" i="96"/>
  <c r="AB38" i="96"/>
  <c r="AA38" i="96"/>
  <c r="Z38" i="96"/>
  <c r="Y38" i="96"/>
  <c r="X38" i="96"/>
  <c r="W38" i="96"/>
  <c r="V38" i="96"/>
  <c r="U38" i="96"/>
  <c r="T38" i="96"/>
  <c r="S38" i="96"/>
  <c r="R38" i="96"/>
  <c r="Q38" i="96"/>
  <c r="P38" i="96"/>
  <c r="O38" i="96"/>
  <c r="N38" i="96"/>
  <c r="M38" i="96"/>
  <c r="L38" i="96"/>
  <c r="K38" i="96"/>
  <c r="J38" i="96"/>
  <c r="I38" i="96"/>
  <c r="H38" i="96"/>
  <c r="G38" i="96"/>
  <c r="F38" i="96"/>
  <c r="E38" i="96"/>
  <c r="D38" i="96"/>
  <c r="C38" i="96"/>
  <c r="B38" i="96"/>
  <c r="A38" i="96"/>
  <c r="AA36" i="96"/>
  <c r="Z36" i="96"/>
  <c r="Y36" i="96"/>
  <c r="X36" i="96"/>
  <c r="W36" i="96"/>
  <c r="V36" i="96"/>
  <c r="U36" i="96"/>
  <c r="T36" i="96"/>
  <c r="R36" i="96"/>
  <c r="Q36" i="96"/>
  <c r="P36" i="96"/>
  <c r="M36" i="96"/>
  <c r="L36" i="96"/>
  <c r="K36" i="96"/>
  <c r="J36" i="96"/>
  <c r="I36" i="96"/>
  <c r="H36" i="96"/>
  <c r="G36" i="96"/>
  <c r="F36" i="96"/>
  <c r="D36" i="96"/>
  <c r="C36" i="96"/>
  <c r="B36" i="96"/>
  <c r="AK34" i="96"/>
  <c r="AJ34" i="96"/>
  <c r="AI34" i="96"/>
  <c r="AH34" i="96"/>
  <c r="AG34" i="96"/>
  <c r="AF34" i="96"/>
  <c r="AE34" i="96"/>
  <c r="AD34" i="96"/>
  <c r="AC34" i="96"/>
  <c r="AB34" i="96"/>
  <c r="AA34" i="96"/>
  <c r="Z34" i="96"/>
  <c r="Y34" i="96"/>
  <c r="X34" i="96"/>
  <c r="W34" i="96"/>
  <c r="V34" i="96"/>
  <c r="U34" i="96"/>
  <c r="T34" i="96"/>
  <c r="S34" i="96"/>
  <c r="R34" i="96"/>
  <c r="Q34" i="96"/>
  <c r="P34" i="96"/>
  <c r="O34" i="96"/>
  <c r="N34" i="96"/>
  <c r="M34" i="96"/>
  <c r="L34" i="96"/>
  <c r="K34" i="96"/>
  <c r="J34" i="96"/>
  <c r="I34" i="96"/>
  <c r="H34" i="96"/>
  <c r="G34" i="96"/>
  <c r="F34" i="96"/>
  <c r="E34" i="96"/>
  <c r="D34" i="96"/>
  <c r="C34" i="96"/>
  <c r="B34" i="96"/>
  <c r="A34" i="96"/>
  <c r="AK33" i="96"/>
  <c r="AJ33" i="96"/>
  <c r="AI33" i="96"/>
  <c r="AH33" i="96"/>
  <c r="AG33" i="96"/>
  <c r="AF33" i="96"/>
  <c r="AE33" i="96"/>
  <c r="AD33" i="96"/>
  <c r="AC33" i="96"/>
  <c r="AB33" i="96"/>
  <c r="AA33" i="96"/>
  <c r="Z33" i="96"/>
  <c r="Y33" i="96"/>
  <c r="X33" i="96"/>
  <c r="W33" i="96"/>
  <c r="V33" i="96"/>
  <c r="U33" i="96"/>
  <c r="T33" i="96"/>
  <c r="S33" i="96"/>
  <c r="R33" i="96"/>
  <c r="Q33" i="96"/>
  <c r="P33" i="96"/>
  <c r="O33" i="96"/>
  <c r="N33" i="96"/>
  <c r="M33" i="96"/>
  <c r="L33" i="96"/>
  <c r="K33" i="96"/>
  <c r="J33" i="96"/>
  <c r="I33" i="96"/>
  <c r="H33" i="96"/>
  <c r="G33" i="96"/>
  <c r="F33" i="96"/>
  <c r="E33" i="96"/>
  <c r="D33" i="96"/>
  <c r="C33" i="96"/>
  <c r="B33" i="96"/>
  <c r="A33" i="96"/>
  <c r="AK3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E31" i="96"/>
  <c r="D31" i="96"/>
  <c r="C31" i="96"/>
  <c r="B31" i="96"/>
  <c r="A31" i="96"/>
  <c r="AK29" i="96"/>
  <c r="AJ29" i="96"/>
  <c r="AI29" i="96"/>
  <c r="AH29" i="96"/>
  <c r="AG29" i="96"/>
  <c r="AF29" i="96"/>
  <c r="AE29" i="96"/>
  <c r="AD29" i="96"/>
  <c r="AB29" i="96"/>
  <c r="AA29" i="96"/>
  <c r="Z29" i="96"/>
  <c r="Y29" i="96"/>
  <c r="X29" i="96"/>
  <c r="V29" i="96"/>
  <c r="U29" i="96"/>
  <c r="T29" i="96"/>
  <c r="S29" i="96"/>
  <c r="R29" i="96"/>
  <c r="Q29" i="96"/>
  <c r="P29" i="96"/>
  <c r="O29" i="96"/>
  <c r="N29" i="96"/>
  <c r="M29" i="96"/>
  <c r="L29" i="96"/>
  <c r="K29" i="96"/>
  <c r="J29" i="96"/>
  <c r="I29" i="96"/>
  <c r="H29" i="96"/>
  <c r="G29" i="96"/>
  <c r="F29" i="96"/>
  <c r="E29" i="96"/>
  <c r="D29" i="96"/>
  <c r="C29" i="96"/>
  <c r="B29" i="96"/>
  <c r="A29" i="96"/>
  <c r="AK26" i="96"/>
  <c r="AJ26" i="96"/>
  <c r="AI26" i="96"/>
  <c r="AH26" i="96"/>
  <c r="AG26" i="96"/>
  <c r="AF26" i="96"/>
  <c r="AE26" i="96"/>
  <c r="AD26" i="96"/>
  <c r="AC26" i="96"/>
  <c r="AB26" i="96"/>
  <c r="AA26" i="96"/>
  <c r="Z26" i="96"/>
  <c r="Y26" i="96"/>
  <c r="X26" i="96"/>
  <c r="W26" i="96"/>
  <c r="V26" i="96"/>
  <c r="U26" i="96"/>
  <c r="T26" i="96"/>
  <c r="S26" i="96"/>
  <c r="R26" i="96"/>
  <c r="Q26" i="96"/>
  <c r="P26" i="96"/>
  <c r="O26" i="96"/>
  <c r="N26" i="96"/>
  <c r="M26" i="96"/>
  <c r="L26" i="96"/>
  <c r="K26" i="96"/>
  <c r="J26" i="96"/>
  <c r="I26" i="96"/>
  <c r="H26" i="96"/>
  <c r="G26" i="96"/>
  <c r="AK24" i="96"/>
  <c r="AJ24" i="96"/>
  <c r="AI24" i="96"/>
  <c r="AH24" i="96"/>
  <c r="AG24" i="96"/>
  <c r="AF24" i="96"/>
  <c r="AE24" i="96"/>
  <c r="AD24" i="96"/>
  <c r="AC24" i="96"/>
  <c r="AB24" i="96"/>
  <c r="AA24" i="96"/>
  <c r="Z24" i="96"/>
  <c r="Y24" i="96"/>
  <c r="X24" i="96"/>
  <c r="W24" i="96"/>
  <c r="V24" i="96"/>
  <c r="U24" i="96"/>
  <c r="T24" i="96"/>
  <c r="S24" i="96"/>
  <c r="R24" i="96"/>
  <c r="Q24" i="96"/>
  <c r="P24" i="96"/>
  <c r="O24" i="96"/>
  <c r="N24" i="96"/>
  <c r="M24" i="96"/>
  <c r="L24" i="96"/>
  <c r="K24" i="96"/>
  <c r="J24" i="96"/>
  <c r="I24" i="96"/>
  <c r="H24" i="96"/>
  <c r="G24" i="96"/>
  <c r="F24" i="96"/>
  <c r="E24" i="96"/>
  <c r="D24" i="96"/>
  <c r="C24" i="96"/>
  <c r="B24" i="96"/>
  <c r="A24" i="96"/>
  <c r="AK23" i="96"/>
  <c r="AJ23" i="96"/>
  <c r="AI23" i="96"/>
  <c r="AH23" i="96"/>
  <c r="AG23" i="96"/>
  <c r="AF23" i="96"/>
  <c r="AE23" i="96"/>
  <c r="AD23" i="96"/>
  <c r="AC23" i="96"/>
  <c r="AB23" i="96"/>
  <c r="AA23" i="96"/>
  <c r="Z23" i="96"/>
  <c r="Y23" i="96"/>
  <c r="X23" i="96"/>
  <c r="W23" i="96"/>
  <c r="V23" i="96"/>
  <c r="U23" i="96"/>
  <c r="T23" i="96"/>
  <c r="S23" i="96"/>
  <c r="R23" i="96"/>
  <c r="Q23" i="96"/>
  <c r="P23" i="96"/>
  <c r="O23" i="96"/>
  <c r="N23" i="96"/>
  <c r="M23" i="96"/>
  <c r="L23" i="96"/>
  <c r="K23" i="96"/>
  <c r="J23" i="96"/>
  <c r="I23" i="96"/>
  <c r="H23" i="96"/>
  <c r="G23" i="96"/>
  <c r="F23" i="96"/>
  <c r="E23" i="96"/>
  <c r="D23" i="96"/>
  <c r="C23" i="96"/>
  <c r="B23" i="96"/>
  <c r="A23" i="96"/>
  <c r="W19" i="96"/>
  <c r="K19" i="96"/>
  <c r="B19" i="96"/>
  <c r="L16" i="96"/>
  <c r="G16" i="96"/>
  <c r="E16" i="96"/>
  <c r="D16" i="96"/>
  <c r="B16" i="96"/>
  <c r="A16" i="96"/>
  <c r="L15" i="96"/>
  <c r="R14" i="96"/>
  <c r="L14" i="96"/>
  <c r="H14" i="96"/>
  <c r="G14" i="96"/>
  <c r="F14" i="96"/>
  <c r="E14" i="96"/>
  <c r="D14" i="96"/>
  <c r="C14" i="96"/>
  <c r="B14" i="96"/>
  <c r="A14" i="96"/>
  <c r="R13" i="96"/>
  <c r="L13" i="96"/>
  <c r="J12" i="96"/>
  <c r="I12" i="96"/>
  <c r="H12" i="96"/>
  <c r="G12" i="96"/>
  <c r="F12" i="96"/>
  <c r="E12" i="96"/>
  <c r="D12" i="96"/>
  <c r="C12" i="96"/>
  <c r="B12" i="96"/>
  <c r="A12" i="96"/>
  <c r="H72" i="95"/>
  <c r="G72" i="95"/>
  <c r="H71" i="95"/>
  <c r="G71" i="95"/>
  <c r="H70" i="95"/>
  <c r="G70" i="95"/>
  <c r="H69" i="95"/>
  <c r="G69" i="95"/>
  <c r="H68" i="95"/>
  <c r="G68" i="95"/>
  <c r="H67" i="95"/>
  <c r="G67" i="95"/>
  <c r="H66" i="95"/>
  <c r="G66" i="95"/>
  <c r="H62" i="95"/>
  <c r="G62" i="95"/>
  <c r="H61" i="95"/>
  <c r="G61" i="95"/>
  <c r="H60" i="95"/>
  <c r="G60" i="95"/>
  <c r="H59" i="95"/>
  <c r="G59" i="95"/>
  <c r="H58" i="95"/>
  <c r="G58" i="95"/>
  <c r="H57" i="95"/>
  <c r="G57" i="95"/>
  <c r="H56" i="95"/>
  <c r="G56" i="95"/>
  <c r="H55" i="95"/>
  <c r="G55" i="95"/>
  <c r="H54" i="95"/>
  <c r="G54" i="95"/>
  <c r="H53" i="95"/>
  <c r="G53" i="95"/>
  <c r="H52" i="95"/>
  <c r="G52" i="95"/>
  <c r="H51" i="95"/>
  <c r="G51" i="95"/>
  <c r="H50" i="95"/>
  <c r="G50" i="95"/>
  <c r="H49" i="95"/>
  <c r="G49" i="95"/>
  <c r="H48" i="95"/>
  <c r="G48" i="95"/>
  <c r="H47" i="95"/>
  <c r="G47" i="95"/>
  <c r="H46" i="95"/>
  <c r="G46" i="95"/>
  <c r="H45" i="95"/>
  <c r="G45" i="95"/>
  <c r="H44" i="95"/>
  <c r="G44" i="95"/>
  <c r="H43" i="95"/>
  <c r="G43" i="95"/>
  <c r="H42" i="95"/>
  <c r="G42" i="95"/>
  <c r="H41" i="95"/>
  <c r="G41" i="95"/>
  <c r="H40" i="95"/>
  <c r="G40" i="95"/>
  <c r="H39" i="95"/>
  <c r="G39" i="95"/>
  <c r="H38" i="95"/>
  <c r="G38" i="95"/>
  <c r="H37" i="95"/>
  <c r="G37" i="95"/>
  <c r="H36" i="95"/>
  <c r="G36" i="95"/>
  <c r="H32" i="95"/>
  <c r="G32" i="95"/>
  <c r="H31" i="95"/>
  <c r="G31" i="95"/>
  <c r="H30" i="95"/>
  <c r="G30" i="95"/>
  <c r="H29" i="95"/>
  <c r="G29" i="95"/>
  <c r="H28" i="95"/>
  <c r="G28" i="95"/>
  <c r="H27" i="95"/>
  <c r="G27" i="95"/>
  <c r="H26" i="95"/>
  <c r="G26" i="95"/>
  <c r="H25" i="95"/>
  <c r="G25" i="95"/>
  <c r="H24" i="95"/>
  <c r="G24" i="95"/>
  <c r="H23" i="95"/>
  <c r="G23" i="95"/>
  <c r="H22" i="95"/>
  <c r="G22" i="95"/>
  <c r="H21" i="95"/>
  <c r="G21" i="95"/>
  <c r="H20" i="95"/>
  <c r="G20" i="95"/>
  <c r="H19" i="95"/>
  <c r="G19" i="95"/>
  <c r="H18" i="95"/>
  <c r="G18" i="95"/>
  <c r="H17" i="95"/>
  <c r="G17" i="95"/>
  <c r="H16" i="95"/>
  <c r="G16" i="95"/>
  <c r="H15" i="95"/>
  <c r="G15" i="95"/>
  <c r="H14" i="95"/>
  <c r="G14" i="95"/>
  <c r="H13" i="95"/>
  <c r="G13" i="95"/>
  <c r="H12" i="95"/>
  <c r="G12" i="95"/>
  <c r="H11" i="95"/>
  <c r="G11" i="95"/>
  <c r="H10" i="95"/>
  <c r="G10" i="95"/>
  <c r="H9" i="95"/>
  <c r="G9" i="95"/>
  <c r="H8" i="95"/>
  <c r="G8" i="95"/>
  <c r="H7" i="95"/>
  <c r="G7" i="95"/>
  <c r="H6" i="95"/>
  <c r="G6" i="95"/>
  <c r="E156" i="91"/>
  <c r="E11" i="62" l="1"/>
  <c r="D11" i="62"/>
  <c r="U40" i="93"/>
  <c r="T40" i="93"/>
  <c r="S40" i="93"/>
  <c r="R40" i="93"/>
  <c r="P40" i="93"/>
  <c r="O40" i="93"/>
  <c r="M40" i="93"/>
  <c r="L40" i="93"/>
  <c r="J40" i="93"/>
  <c r="I40" i="93"/>
  <c r="H40" i="93"/>
  <c r="G40" i="93"/>
  <c r="E40" i="93"/>
  <c r="D40" i="93"/>
  <c r="B40" i="93"/>
  <c r="A40" i="93"/>
  <c r="AK37" i="93"/>
  <c r="AJ37" i="93"/>
  <c r="AI37" i="93"/>
  <c r="AH37" i="93"/>
  <c r="AG37" i="93"/>
  <c r="AF37" i="93"/>
  <c r="AE37" i="93"/>
  <c r="AD37" i="93"/>
  <c r="AC37" i="93"/>
  <c r="AB37" i="93"/>
  <c r="AA37" i="93"/>
  <c r="Z37" i="93"/>
  <c r="Y37" i="93"/>
  <c r="X37" i="93"/>
  <c r="W37" i="93"/>
  <c r="V37" i="93"/>
  <c r="U37" i="93"/>
  <c r="T37" i="93"/>
  <c r="S37" i="93"/>
  <c r="R37" i="93"/>
  <c r="Q37" i="93"/>
  <c r="P37" i="93"/>
  <c r="O37" i="93"/>
  <c r="N37" i="93"/>
  <c r="M37" i="93"/>
  <c r="L37" i="93"/>
  <c r="K37" i="93"/>
  <c r="J37" i="93"/>
  <c r="I37" i="93"/>
  <c r="H37" i="93"/>
  <c r="G37" i="93"/>
  <c r="F37" i="93"/>
  <c r="E37" i="93"/>
  <c r="D37" i="93"/>
  <c r="C37" i="93"/>
  <c r="B37" i="93"/>
  <c r="A37" i="93"/>
  <c r="AA35" i="93"/>
  <c r="Z35" i="93"/>
  <c r="Y35" i="93"/>
  <c r="X35" i="93"/>
  <c r="W35" i="93"/>
  <c r="V35" i="93"/>
  <c r="U35" i="93"/>
  <c r="T35" i="93"/>
  <c r="R35" i="93"/>
  <c r="Q35" i="93"/>
  <c r="P35" i="93"/>
  <c r="M35" i="93"/>
  <c r="L35" i="93"/>
  <c r="K35" i="93"/>
  <c r="J35" i="93"/>
  <c r="I35" i="93"/>
  <c r="H35" i="93"/>
  <c r="G35" i="93"/>
  <c r="F35" i="93"/>
  <c r="D35" i="93"/>
  <c r="C35" i="93"/>
  <c r="B35" i="93"/>
  <c r="AK33" i="93"/>
  <c r="AJ33" i="93"/>
  <c r="AI33" i="93"/>
  <c r="AH33" i="93"/>
  <c r="AG33" i="93"/>
  <c r="AF33" i="93"/>
  <c r="AE33" i="93"/>
  <c r="AD33" i="93"/>
  <c r="AC33" i="93"/>
  <c r="AB33" i="93"/>
  <c r="AA33" i="93"/>
  <c r="Z33" i="93"/>
  <c r="Y33" i="93"/>
  <c r="X33" i="93"/>
  <c r="W33" i="93"/>
  <c r="V33" i="93"/>
  <c r="U33" i="93"/>
  <c r="T33" i="93"/>
  <c r="AK30" i="93"/>
  <c r="AJ30" i="93"/>
  <c r="AI30" i="93"/>
  <c r="AH30" i="93"/>
  <c r="AG30" i="93"/>
  <c r="AF30" i="93"/>
  <c r="AE30" i="93"/>
  <c r="AD30" i="93"/>
  <c r="AC30" i="93"/>
  <c r="AB30" i="93"/>
  <c r="AA30" i="93"/>
  <c r="Z30" i="93"/>
  <c r="Y30" i="93"/>
  <c r="X30" i="93"/>
  <c r="W30" i="93"/>
  <c r="V30" i="93"/>
  <c r="U30" i="93"/>
  <c r="T30" i="93"/>
  <c r="S30" i="93"/>
  <c r="R30" i="93"/>
  <c r="Q30" i="93"/>
  <c r="P30" i="93"/>
  <c r="O30" i="93"/>
  <c r="N30" i="93"/>
  <c r="M30" i="93"/>
  <c r="L30" i="93"/>
  <c r="K30" i="93"/>
  <c r="J30" i="93"/>
  <c r="I30" i="93"/>
  <c r="H30" i="93"/>
  <c r="G30" i="93"/>
  <c r="E30" i="93"/>
  <c r="D30" i="93"/>
  <c r="C30" i="93"/>
  <c r="B30" i="93"/>
  <c r="A30" i="93"/>
  <c r="AK28" i="93"/>
  <c r="AJ28" i="93"/>
  <c r="AI28" i="93"/>
  <c r="AH28" i="93"/>
  <c r="AG28" i="93"/>
  <c r="AF28" i="93"/>
  <c r="AE28" i="93"/>
  <c r="AD28" i="93"/>
  <c r="AB28" i="93"/>
  <c r="AA28" i="93"/>
  <c r="Z28" i="93"/>
  <c r="Y28" i="93"/>
  <c r="X28" i="93"/>
  <c r="W28" i="93"/>
  <c r="V28" i="93"/>
  <c r="U28" i="93"/>
  <c r="T28" i="93"/>
  <c r="S28" i="93"/>
  <c r="R28" i="93"/>
  <c r="Q28" i="93"/>
  <c r="P28" i="93"/>
  <c r="O28" i="93"/>
  <c r="N28" i="93"/>
  <c r="M28" i="93"/>
  <c r="L28" i="93"/>
  <c r="K28" i="93"/>
  <c r="J28" i="93"/>
  <c r="I28" i="93"/>
  <c r="H28" i="93"/>
  <c r="G28" i="93"/>
  <c r="F28" i="93"/>
  <c r="E28" i="93"/>
  <c r="D28" i="93"/>
  <c r="C28" i="93"/>
  <c r="B28" i="93"/>
  <c r="A28" i="93"/>
  <c r="AK25" i="93"/>
  <c r="AJ25" i="93"/>
  <c r="AI25" i="93"/>
  <c r="AH25" i="93"/>
  <c r="AG25" i="93"/>
  <c r="AF25" i="93"/>
  <c r="AE25" i="93"/>
  <c r="AD25" i="93"/>
  <c r="AC25" i="93"/>
  <c r="AB25" i="93"/>
  <c r="AA25" i="93"/>
  <c r="Z25" i="93"/>
  <c r="Y25" i="93"/>
  <c r="X25" i="93"/>
  <c r="W25" i="93"/>
  <c r="V25" i="93"/>
  <c r="U25" i="93"/>
  <c r="T25" i="93"/>
  <c r="S25" i="93"/>
  <c r="R25" i="93"/>
  <c r="Q25" i="93"/>
  <c r="P25" i="93"/>
  <c r="O25" i="93"/>
  <c r="N25" i="93"/>
  <c r="M25" i="93"/>
  <c r="L25" i="93"/>
  <c r="K25" i="93"/>
  <c r="J25" i="93"/>
  <c r="I25" i="93"/>
  <c r="H25" i="93"/>
  <c r="G25" i="93"/>
  <c r="AK23" i="93"/>
  <c r="AJ23" i="93"/>
  <c r="AI23" i="93"/>
  <c r="AH23" i="93"/>
  <c r="AG23" i="93"/>
  <c r="AF23" i="93"/>
  <c r="AE23" i="93"/>
  <c r="AD23" i="93"/>
  <c r="AC23" i="93"/>
  <c r="AB23" i="93"/>
  <c r="AA23" i="93"/>
  <c r="Z23" i="93"/>
  <c r="Y23" i="93"/>
  <c r="X23" i="93"/>
  <c r="W23" i="93"/>
  <c r="V23" i="93"/>
  <c r="U23" i="93"/>
  <c r="T23" i="93"/>
  <c r="S23" i="93"/>
  <c r="R23" i="93"/>
  <c r="Q23" i="93"/>
  <c r="P23" i="93"/>
  <c r="O23" i="93"/>
  <c r="N23" i="93"/>
  <c r="M23" i="93"/>
  <c r="L23" i="93"/>
  <c r="K23" i="93"/>
  <c r="J23" i="93"/>
  <c r="I23" i="93"/>
  <c r="H23" i="93"/>
  <c r="G23" i="93"/>
  <c r="F23" i="93"/>
  <c r="E23" i="93"/>
  <c r="D23" i="93"/>
  <c r="C23" i="93"/>
  <c r="B23" i="93"/>
  <c r="A23" i="93"/>
  <c r="AK22" i="93"/>
  <c r="AJ22" i="93"/>
  <c r="AI22" i="93"/>
  <c r="AH22" i="93"/>
  <c r="AG22" i="93"/>
  <c r="AF22" i="93"/>
  <c r="AE22" i="93"/>
  <c r="AD22" i="93"/>
  <c r="AC22" i="93"/>
  <c r="AB22" i="93"/>
  <c r="AA22" i="93"/>
  <c r="Z22" i="93"/>
  <c r="Y22" i="93"/>
  <c r="X22" i="93"/>
  <c r="W22" i="93"/>
  <c r="V22" i="93"/>
  <c r="U22" i="93"/>
  <c r="T22" i="93"/>
  <c r="S22" i="93"/>
  <c r="R22" i="93"/>
  <c r="Q22" i="93"/>
  <c r="P22" i="93"/>
  <c r="O22" i="93"/>
  <c r="N22" i="93"/>
  <c r="M22" i="93"/>
  <c r="L22" i="93"/>
  <c r="K22" i="93"/>
  <c r="J22" i="93"/>
  <c r="I22" i="93"/>
  <c r="H22" i="93"/>
  <c r="G22" i="93"/>
  <c r="F22" i="93"/>
  <c r="E22" i="93"/>
  <c r="D22" i="93"/>
  <c r="C22" i="93"/>
  <c r="B22" i="93"/>
  <c r="A22" i="93"/>
  <c r="Z18" i="93"/>
  <c r="N18" i="93"/>
  <c r="B18" i="93"/>
  <c r="L15" i="93"/>
  <c r="G15" i="93"/>
  <c r="E15" i="93"/>
  <c r="D15" i="93"/>
  <c r="B15" i="93"/>
  <c r="A15" i="93"/>
  <c r="L14" i="93"/>
  <c r="L13" i="93"/>
  <c r="H13" i="93"/>
  <c r="G13" i="93"/>
  <c r="F13" i="93"/>
  <c r="E13" i="93"/>
  <c r="D13" i="93"/>
  <c r="C13" i="93"/>
  <c r="B13" i="93"/>
  <c r="A13" i="93"/>
  <c r="L12" i="93"/>
  <c r="J11" i="93"/>
  <c r="I11" i="93"/>
  <c r="H11" i="93"/>
  <c r="G11" i="93"/>
  <c r="F11" i="93"/>
  <c r="E11" i="93"/>
  <c r="D11" i="93"/>
  <c r="C11" i="93"/>
  <c r="B11" i="93"/>
  <c r="A11" i="93"/>
  <c r="D32" i="62" l="1"/>
  <c r="AP625" i="71"/>
  <c r="AO625" i="71"/>
  <c r="AP623" i="71"/>
  <c r="AO623" i="71"/>
  <c r="AP574" i="71"/>
  <c r="AP571" i="71"/>
  <c r="AO571" i="71"/>
  <c r="AP502" i="71"/>
  <c r="AO502" i="71"/>
  <c r="AP499" i="71"/>
  <c r="AO499" i="71"/>
  <c r="AP496" i="71"/>
  <c r="AO496" i="71"/>
  <c r="AP493" i="71"/>
  <c r="AP481" i="71"/>
  <c r="AO481" i="71"/>
  <c r="AP480" i="71"/>
  <c r="AP483" i="71" s="1"/>
  <c r="AO480" i="71"/>
  <c r="AO483" i="71" s="1"/>
  <c r="AP482" i="71"/>
  <c r="AO482" i="71"/>
  <c r="D37" i="62" l="1"/>
  <c r="D41" i="62" s="1"/>
  <c r="H35" i="92"/>
  <c r="L72" i="89"/>
  <c r="M72" i="89"/>
  <c r="N72" i="89"/>
  <c r="G7" i="92"/>
  <c r="G6" i="92"/>
  <c r="J70" i="91" l="1"/>
  <c r="E30" i="91"/>
  <c r="E101" i="91"/>
  <c r="E95" i="91"/>
  <c r="H66" i="92"/>
  <c r="H65" i="92"/>
  <c r="G65" i="92"/>
  <c r="H64" i="92"/>
  <c r="H63" i="92"/>
  <c r="G63" i="92"/>
  <c r="H62" i="92"/>
  <c r="G62" i="92"/>
  <c r="H60" i="92"/>
  <c r="H59" i="92"/>
  <c r="G59" i="92"/>
  <c r="H58" i="92"/>
  <c r="G58" i="92"/>
  <c r="H57" i="92"/>
  <c r="G57" i="92"/>
  <c r="H56" i="92"/>
  <c r="G56" i="92"/>
  <c r="H55" i="92"/>
  <c r="G55" i="92"/>
  <c r="H54" i="92"/>
  <c r="G54" i="92"/>
  <c r="H53" i="92"/>
  <c r="G53" i="92"/>
  <c r="H52" i="92"/>
  <c r="G52" i="92"/>
  <c r="H51" i="92"/>
  <c r="G51" i="92"/>
  <c r="H50" i="92"/>
  <c r="G50" i="92"/>
  <c r="H49" i="92"/>
  <c r="G49" i="92"/>
  <c r="H48" i="92"/>
  <c r="G48" i="92"/>
  <c r="H47" i="92"/>
  <c r="G47" i="92"/>
  <c r="H46" i="92"/>
  <c r="G46" i="92"/>
  <c r="H45" i="92"/>
  <c r="G45" i="92"/>
  <c r="H44" i="92"/>
  <c r="G44" i="92"/>
  <c r="H43" i="92"/>
  <c r="G43" i="92"/>
  <c r="H42" i="92"/>
  <c r="G42" i="92"/>
  <c r="H41" i="92"/>
  <c r="G41" i="92"/>
  <c r="H40" i="92"/>
  <c r="G40" i="92"/>
  <c r="H39" i="92"/>
  <c r="G39" i="92"/>
  <c r="H38" i="92"/>
  <c r="G38" i="92"/>
  <c r="H37" i="92"/>
  <c r="G37" i="92"/>
  <c r="H36" i="92"/>
  <c r="G36" i="92"/>
  <c r="G35" i="92"/>
  <c r="H34" i="92"/>
  <c r="G34" i="92"/>
  <c r="H33" i="92"/>
  <c r="G33" i="92"/>
  <c r="H32" i="92"/>
  <c r="G32" i="92"/>
  <c r="H31" i="92"/>
  <c r="G31" i="92"/>
  <c r="H30" i="92"/>
  <c r="G30" i="92"/>
  <c r="H29" i="92"/>
  <c r="G29" i="92"/>
  <c r="H28" i="92"/>
  <c r="G28" i="92"/>
  <c r="H27" i="92"/>
  <c r="G27" i="92"/>
  <c r="H26" i="92"/>
  <c r="G26" i="92"/>
  <c r="H25" i="92"/>
  <c r="G25" i="92"/>
  <c r="H24" i="92"/>
  <c r="G24" i="92"/>
  <c r="H23" i="92"/>
  <c r="G23" i="92"/>
  <c r="H22" i="92"/>
  <c r="G22" i="92"/>
  <c r="H21" i="92"/>
  <c r="G21" i="92"/>
  <c r="H20" i="92"/>
  <c r="G20" i="92"/>
  <c r="H19" i="92"/>
  <c r="G19" i="92"/>
  <c r="H18" i="92"/>
  <c r="G18" i="92"/>
  <c r="H17" i="92"/>
  <c r="G17" i="92"/>
  <c r="H16" i="92"/>
  <c r="G16" i="92"/>
  <c r="H15" i="92"/>
  <c r="G15" i="92"/>
  <c r="H14" i="92"/>
  <c r="G14" i="92"/>
  <c r="H13" i="92"/>
  <c r="G13" i="92"/>
  <c r="H12" i="92"/>
  <c r="G12" i="92"/>
  <c r="H11" i="92"/>
  <c r="G11" i="92"/>
  <c r="H10" i="92"/>
  <c r="G10" i="92"/>
  <c r="H9" i="92"/>
  <c r="G9" i="92"/>
  <c r="H8" i="92"/>
  <c r="G8" i="92"/>
  <c r="H7" i="92"/>
  <c r="H6" i="92"/>
  <c r="E38" i="91"/>
  <c r="K248" i="91"/>
  <c r="I248" i="91"/>
  <c r="K247" i="91"/>
  <c r="I247" i="91"/>
  <c r="K246" i="91"/>
  <c r="I246" i="91"/>
  <c r="K245" i="91"/>
  <c r="I245" i="91"/>
  <c r="K244" i="91"/>
  <c r="I244" i="91"/>
  <c r="K243" i="91"/>
  <c r="I243" i="91"/>
  <c r="K242" i="91"/>
  <c r="I242" i="91"/>
  <c r="K241" i="91"/>
  <c r="K240" i="91"/>
  <c r="I240" i="91"/>
  <c r="K239" i="91"/>
  <c r="K238" i="91"/>
  <c r="I238" i="91"/>
  <c r="K237" i="91"/>
  <c r="I237" i="91"/>
  <c r="K236" i="91"/>
  <c r="I236" i="91"/>
  <c r="K235" i="91"/>
  <c r="I235" i="91"/>
  <c r="K234" i="91"/>
  <c r="I234" i="91"/>
  <c r="K233" i="91"/>
  <c r="I233" i="91"/>
  <c r="K232" i="91"/>
  <c r="I232" i="91"/>
  <c r="K231" i="91"/>
  <c r="I231" i="91"/>
  <c r="K230" i="91"/>
  <c r="I230" i="91"/>
  <c r="K229" i="91"/>
  <c r="K228" i="91"/>
  <c r="I228" i="91"/>
  <c r="K227" i="91"/>
  <c r="K226" i="91"/>
  <c r="I226" i="91"/>
  <c r="K225" i="91"/>
  <c r="I225" i="91"/>
  <c r="K224" i="91"/>
  <c r="I224" i="91"/>
  <c r="K223" i="91"/>
  <c r="I223" i="91"/>
  <c r="K222" i="91"/>
  <c r="I222" i="91"/>
  <c r="K221" i="91"/>
  <c r="I221" i="91"/>
  <c r="K219" i="91"/>
  <c r="I219" i="91"/>
  <c r="K218" i="91"/>
  <c r="I218" i="91"/>
  <c r="K217" i="91"/>
  <c r="I217" i="91"/>
  <c r="K216" i="91"/>
  <c r="I216" i="91"/>
  <c r="K215" i="91"/>
  <c r="I215" i="91"/>
  <c r="K214" i="91"/>
  <c r="I214" i="91"/>
  <c r="K213" i="91"/>
  <c r="I213" i="91"/>
  <c r="K212" i="91"/>
  <c r="I212" i="91"/>
  <c r="K211" i="91"/>
  <c r="I211" i="91"/>
  <c r="K210" i="91"/>
  <c r="I210" i="91"/>
  <c r="K209" i="91"/>
  <c r="I209" i="91"/>
  <c r="K208" i="91"/>
  <c r="I208" i="91"/>
  <c r="K207" i="91"/>
  <c r="I207" i="91"/>
  <c r="K206" i="91"/>
  <c r="I206" i="91"/>
  <c r="K205" i="91"/>
  <c r="I205" i="91"/>
  <c r="K204" i="91"/>
  <c r="I204" i="91"/>
  <c r="K203" i="91"/>
  <c r="I203" i="91"/>
  <c r="K202" i="91"/>
  <c r="I202" i="91"/>
  <c r="K201" i="91"/>
  <c r="I201" i="91"/>
  <c r="K200" i="91"/>
  <c r="I200" i="91"/>
  <c r="K199" i="91"/>
  <c r="I199" i="91"/>
  <c r="K198" i="91"/>
  <c r="I198" i="91"/>
  <c r="K197" i="91"/>
  <c r="I197" i="91"/>
  <c r="K196" i="91"/>
  <c r="I196" i="91"/>
  <c r="K195" i="91"/>
  <c r="I195" i="91"/>
  <c r="K194" i="91"/>
  <c r="I194" i="91"/>
  <c r="K193" i="91"/>
  <c r="I193" i="91"/>
  <c r="K192" i="91"/>
  <c r="I192" i="91"/>
  <c r="K190" i="91"/>
  <c r="I190" i="91"/>
  <c r="K189" i="91"/>
  <c r="I189" i="91"/>
  <c r="K188" i="91"/>
  <c r="I188" i="91"/>
  <c r="K187" i="91"/>
  <c r="I187" i="91"/>
  <c r="K186" i="91"/>
  <c r="I186" i="91"/>
  <c r="K185" i="91"/>
  <c r="I185" i="91"/>
  <c r="K184" i="91"/>
  <c r="I184" i="91"/>
  <c r="K183" i="91"/>
  <c r="I183" i="91"/>
  <c r="K182" i="91"/>
  <c r="I182" i="91"/>
  <c r="K181" i="91"/>
  <c r="I181" i="91"/>
  <c r="K180" i="91"/>
  <c r="I180" i="91"/>
  <c r="J177" i="91"/>
  <c r="J175" i="91"/>
  <c r="J173" i="91"/>
  <c r="J171" i="91"/>
  <c r="J169" i="91"/>
  <c r="J167" i="91"/>
  <c r="J165" i="91"/>
  <c r="E177" i="91"/>
  <c r="E176" i="91"/>
  <c r="E175" i="91"/>
  <c r="E174" i="91"/>
  <c r="E173" i="91"/>
  <c r="E172" i="91"/>
  <c r="E171" i="91"/>
  <c r="E170" i="91"/>
  <c r="E169" i="91"/>
  <c r="E168" i="91"/>
  <c r="E167" i="91"/>
  <c r="E166" i="91"/>
  <c r="E165" i="91"/>
  <c r="E164" i="91"/>
  <c r="J163" i="91"/>
  <c r="J158" i="91"/>
  <c r="J156" i="91"/>
  <c r="J154" i="91"/>
  <c r="J152" i="91"/>
  <c r="J150" i="91"/>
  <c r="J148" i="91"/>
  <c r="J146" i="91"/>
  <c r="J144" i="91"/>
  <c r="J142" i="91"/>
  <c r="J140" i="91"/>
  <c r="J138" i="91"/>
  <c r="J136" i="91"/>
  <c r="J134" i="91"/>
  <c r="J132" i="91"/>
  <c r="E163" i="91"/>
  <c r="E162" i="91"/>
  <c r="E158" i="91"/>
  <c r="E157" i="91"/>
  <c r="E155" i="91"/>
  <c r="E154" i="91"/>
  <c r="E153" i="91"/>
  <c r="E152" i="91"/>
  <c r="E151" i="91"/>
  <c r="E150" i="91"/>
  <c r="E149" i="91"/>
  <c r="E148" i="91"/>
  <c r="E147" i="91"/>
  <c r="E146" i="91"/>
  <c r="E145" i="91"/>
  <c r="E144" i="91"/>
  <c r="E143" i="91"/>
  <c r="E142" i="91"/>
  <c r="E141" i="91"/>
  <c r="E140" i="91"/>
  <c r="E139" i="91"/>
  <c r="E138" i="91"/>
  <c r="E137" i="91"/>
  <c r="E136" i="91"/>
  <c r="E135" i="91"/>
  <c r="E134" i="91"/>
  <c r="E133" i="91"/>
  <c r="E132" i="91"/>
  <c r="I131" i="91" s="1"/>
  <c r="J127" i="91"/>
  <c r="J123" i="91"/>
  <c r="J121" i="91"/>
  <c r="J119" i="91"/>
  <c r="J117" i="91"/>
  <c r="J115" i="91"/>
  <c r="J113" i="91"/>
  <c r="J111" i="91"/>
  <c r="J109" i="91"/>
  <c r="J107" i="91"/>
  <c r="J105" i="91"/>
  <c r="J103" i="91"/>
  <c r="J101" i="91"/>
  <c r="J96" i="91"/>
  <c r="E127" i="91"/>
  <c r="E126" i="91"/>
  <c r="E125" i="91"/>
  <c r="E123" i="91"/>
  <c r="E122" i="91"/>
  <c r="E121" i="91"/>
  <c r="E120" i="91"/>
  <c r="E119" i="91"/>
  <c r="E118" i="91"/>
  <c r="I118" i="91" s="1"/>
  <c r="E117" i="91"/>
  <c r="E116" i="91"/>
  <c r="E115" i="91"/>
  <c r="E114" i="91"/>
  <c r="E113" i="91"/>
  <c r="E112" i="91"/>
  <c r="E111" i="91"/>
  <c r="E110" i="91"/>
  <c r="E109" i="91"/>
  <c r="E108" i="91"/>
  <c r="E107" i="91"/>
  <c r="E106" i="91"/>
  <c r="E105" i="91"/>
  <c r="E104" i="91"/>
  <c r="E103" i="91"/>
  <c r="E102" i="91"/>
  <c r="E100" i="91"/>
  <c r="E96" i="91"/>
  <c r="J94" i="91"/>
  <c r="J92" i="91"/>
  <c r="J90" i="91"/>
  <c r="J88" i="91"/>
  <c r="J86" i="91"/>
  <c r="J84" i="91"/>
  <c r="J82" i="91"/>
  <c r="J80" i="91"/>
  <c r="J78" i="91"/>
  <c r="J76" i="91"/>
  <c r="J74" i="91"/>
  <c r="J72" i="91"/>
  <c r="J65" i="91"/>
  <c r="E94" i="91"/>
  <c r="E93" i="91"/>
  <c r="E92" i="91"/>
  <c r="E91" i="91"/>
  <c r="E90" i="91"/>
  <c r="E89" i="91"/>
  <c r="E88" i="91"/>
  <c r="E87" i="91"/>
  <c r="E86" i="91"/>
  <c r="E85" i="91"/>
  <c r="E84" i="91"/>
  <c r="E83" i="91"/>
  <c r="E82" i="91"/>
  <c r="E81" i="91"/>
  <c r="E80" i="91"/>
  <c r="E79" i="91"/>
  <c r="E78" i="91"/>
  <c r="E77" i="91"/>
  <c r="E76" i="91"/>
  <c r="E75" i="91"/>
  <c r="E74" i="91"/>
  <c r="E73" i="91"/>
  <c r="E72" i="91"/>
  <c r="E71" i="91"/>
  <c r="E70" i="91"/>
  <c r="E69" i="91"/>
  <c r="E65" i="91"/>
  <c r="E64" i="91"/>
  <c r="J63" i="91"/>
  <c r="J61" i="91"/>
  <c r="J59" i="91"/>
  <c r="J57" i="91"/>
  <c r="J55" i="91"/>
  <c r="J53" i="91"/>
  <c r="J51" i="91"/>
  <c r="J49" i="91"/>
  <c r="J47" i="91"/>
  <c r="J45" i="91"/>
  <c r="J43" i="91"/>
  <c r="J41" i="91"/>
  <c r="J39" i="91"/>
  <c r="J34" i="91"/>
  <c r="E63" i="91"/>
  <c r="E62" i="91"/>
  <c r="E61" i="91"/>
  <c r="E60" i="91"/>
  <c r="E59" i="91"/>
  <c r="E58" i="91"/>
  <c r="E57" i="91"/>
  <c r="E56" i="91"/>
  <c r="E55" i="91"/>
  <c r="E54" i="91"/>
  <c r="E53" i="91"/>
  <c r="E52" i="91"/>
  <c r="E51" i="91"/>
  <c r="E50" i="91"/>
  <c r="E49" i="91"/>
  <c r="E48" i="91"/>
  <c r="E47" i="91"/>
  <c r="E46" i="91"/>
  <c r="E45" i="91"/>
  <c r="E44" i="91"/>
  <c r="E43" i="91"/>
  <c r="E42" i="91"/>
  <c r="E41" i="91"/>
  <c r="E40" i="91"/>
  <c r="E39" i="91"/>
  <c r="E34" i="91"/>
  <c r="E33" i="91"/>
  <c r="J32" i="91"/>
  <c r="J30" i="91"/>
  <c r="J28" i="91"/>
  <c r="J26" i="91"/>
  <c r="J24" i="91"/>
  <c r="J22" i="91"/>
  <c r="J20" i="91"/>
  <c r="J18" i="91"/>
  <c r="J16" i="91"/>
  <c r="J14" i="91"/>
  <c r="J12" i="91"/>
  <c r="E32" i="91"/>
  <c r="E31" i="91"/>
  <c r="E29" i="91"/>
  <c r="E28" i="91"/>
  <c r="E27" i="91"/>
  <c r="E26" i="91"/>
  <c r="E25" i="91"/>
  <c r="E24" i="91"/>
  <c r="E23" i="91"/>
  <c r="E22" i="91"/>
  <c r="E21" i="91"/>
  <c r="E20" i="91"/>
  <c r="E19" i="91"/>
  <c r="E18" i="91"/>
  <c r="E17" i="91"/>
  <c r="E16" i="91"/>
  <c r="E15" i="91"/>
  <c r="E14" i="91"/>
  <c r="E13" i="91"/>
  <c r="E12" i="91"/>
  <c r="E11" i="91"/>
  <c r="E10" i="91"/>
  <c r="E9" i="91"/>
  <c r="J8" i="91"/>
  <c r="E8" i="91"/>
  <c r="G66" i="92" l="1"/>
  <c r="G61" i="92"/>
  <c r="H61" i="92"/>
  <c r="G60" i="92"/>
  <c r="I73" i="91"/>
  <c r="I81" i="91"/>
  <c r="I89" i="91"/>
  <c r="I7" i="91"/>
  <c r="I9" i="91"/>
  <c r="I170" i="91"/>
  <c r="I11" i="91"/>
  <c r="I15" i="91"/>
  <c r="I19" i="91"/>
  <c r="I23" i="91"/>
  <c r="I27" i="91"/>
  <c r="I31" i="91"/>
  <c r="I38" i="91"/>
  <c r="I42" i="91"/>
  <c r="I46" i="91"/>
  <c r="I50" i="91"/>
  <c r="I54" i="91"/>
  <c r="I58" i="91"/>
  <c r="I62" i="91"/>
  <c r="I64" i="91"/>
  <c r="I71" i="91"/>
  <c r="I75" i="91"/>
  <c r="I79" i="91"/>
  <c r="I83" i="91"/>
  <c r="I87" i="91"/>
  <c r="I91" i="91"/>
  <c r="I100" i="91"/>
  <c r="I104" i="91"/>
  <c r="I108" i="91"/>
  <c r="I112" i="91"/>
  <c r="I116" i="91"/>
  <c r="I120" i="91"/>
  <c r="I164" i="91"/>
  <c r="I168" i="91"/>
  <c r="I172" i="91"/>
  <c r="I176" i="91"/>
  <c r="I135" i="91"/>
  <c r="I139" i="91"/>
  <c r="I143" i="91"/>
  <c r="I147" i="91"/>
  <c r="I151" i="91"/>
  <c r="I155" i="91"/>
  <c r="I162" i="91"/>
  <c r="I133" i="91"/>
  <c r="I137" i="91"/>
  <c r="I141" i="91"/>
  <c r="I145" i="91"/>
  <c r="I149" i="91"/>
  <c r="I153" i="91"/>
  <c r="I157" i="91"/>
  <c r="I13" i="91"/>
  <c r="I17" i="91"/>
  <c r="I21" i="91"/>
  <c r="I25" i="91"/>
  <c r="I29" i="91"/>
  <c r="I33" i="91"/>
  <c r="I40" i="91"/>
  <c r="I44" i="91"/>
  <c r="I48" i="91"/>
  <c r="I52" i="91"/>
  <c r="I56" i="91"/>
  <c r="I60" i="91"/>
  <c r="I69" i="91"/>
  <c r="I77" i="91"/>
  <c r="I85" i="91"/>
  <c r="I93" i="91"/>
  <c r="I95" i="91"/>
  <c r="I102" i="91"/>
  <c r="I106" i="91"/>
  <c r="I110" i="91"/>
  <c r="I114" i="91"/>
  <c r="I122" i="91"/>
  <c r="I126" i="91"/>
  <c r="I166" i="91"/>
  <c r="I174" i="91"/>
  <c r="J10" i="66"/>
  <c r="E10" i="66"/>
  <c r="E9" i="66"/>
  <c r="J8" i="66"/>
  <c r="E8" i="66"/>
  <c r="E7" i="66"/>
  <c r="X3" i="89"/>
  <c r="W3" i="89"/>
  <c r="V3" i="89"/>
  <c r="U3" i="89"/>
  <c r="T3" i="89"/>
  <c r="S3" i="89"/>
  <c r="R3" i="89"/>
  <c r="Q3" i="89"/>
  <c r="Y7" i="89" l="1"/>
  <c r="Y19" i="89"/>
  <c r="H9" i="66"/>
  <c r="H7" i="66"/>
  <c r="Y10" i="89"/>
  <c r="Y14" i="89"/>
  <c r="Y16" i="89"/>
  <c r="Y11" i="89"/>
  <c r="Y17" i="89"/>
  <c r="Y18" i="89"/>
  <c r="Y8" i="89"/>
  <c r="Y25" i="89"/>
  <c r="Y5" i="89"/>
  <c r="Y9" i="89"/>
  <c r="Y12" i="89"/>
  <c r="Y20" i="89"/>
  <c r="Y6" i="89"/>
  <c r="Y13" i="89"/>
  <c r="Y15" i="89"/>
  <c r="Y22" i="89"/>
  <c r="Y26" i="89"/>
  <c r="Y23" i="89"/>
  <c r="Y27" i="89"/>
  <c r="Y24" i="89"/>
  <c r="Y28" i="89"/>
  <c r="AK33" i="65" l="1"/>
  <c r="AJ33" i="65"/>
  <c r="AI33" i="65"/>
  <c r="AH33" i="65"/>
  <c r="AG33" i="65"/>
  <c r="AF33" i="65"/>
  <c r="AE33" i="65"/>
  <c r="AD33" i="65"/>
  <c r="AC33" i="65"/>
  <c r="AB33" i="65"/>
  <c r="AA33" i="65"/>
  <c r="Z33" i="65"/>
  <c r="Y33" i="65"/>
  <c r="X33" i="65"/>
  <c r="W33" i="65"/>
  <c r="V33" i="65"/>
  <c r="U33" i="65"/>
  <c r="T33" i="65"/>
  <c r="S33" i="65"/>
  <c r="R33" i="65"/>
  <c r="Q33" i="65"/>
  <c r="P33" i="65"/>
  <c r="O33" i="65"/>
  <c r="N33" i="65"/>
  <c r="M33" i="65"/>
  <c r="L33" i="65"/>
  <c r="K33" i="65"/>
  <c r="J33" i="65"/>
  <c r="I33" i="65"/>
  <c r="H33" i="65"/>
  <c r="G33" i="65"/>
  <c r="F33" i="65"/>
  <c r="E33" i="65"/>
  <c r="D33" i="65"/>
  <c r="C33" i="65"/>
  <c r="B33" i="65"/>
  <c r="A33" i="65"/>
  <c r="AK32" i="65"/>
  <c r="AJ32" i="65"/>
  <c r="AI32" i="65"/>
  <c r="AH32" i="65"/>
  <c r="AG32" i="65"/>
  <c r="AF32" i="65"/>
  <c r="AE32" i="65"/>
  <c r="AD32" i="65"/>
  <c r="AC32" i="65"/>
  <c r="AB32" i="65"/>
  <c r="AA32" i="65"/>
  <c r="Z32" i="65"/>
  <c r="Y32" i="65"/>
  <c r="X32" i="65"/>
  <c r="W32" i="65"/>
  <c r="V32" i="65"/>
  <c r="U32" i="65"/>
  <c r="T32" i="65"/>
  <c r="S32" i="65"/>
  <c r="R32" i="65"/>
  <c r="Q32" i="65"/>
  <c r="P32" i="65"/>
  <c r="O32" i="65"/>
  <c r="N32" i="65"/>
  <c r="M32" i="65"/>
  <c r="L32" i="65"/>
  <c r="K32" i="65"/>
  <c r="J32" i="65"/>
  <c r="I32" i="65"/>
  <c r="H32" i="65"/>
  <c r="G32" i="65"/>
  <c r="F32" i="65"/>
  <c r="E32" i="65"/>
  <c r="D32" i="65"/>
  <c r="C32" i="65"/>
  <c r="B32" i="65"/>
  <c r="A32" i="65"/>
  <c r="U40" i="65"/>
  <c r="T40" i="65"/>
  <c r="S40" i="65"/>
  <c r="R40" i="65"/>
  <c r="W18" i="65"/>
  <c r="K18" i="65"/>
  <c r="B18" i="65"/>
  <c r="P40" i="65" l="1"/>
  <c r="O40" i="65"/>
  <c r="M40" i="65"/>
  <c r="L40" i="65"/>
  <c r="N23" i="65"/>
  <c r="L15" i="65"/>
  <c r="L14" i="65"/>
  <c r="L13" i="65"/>
  <c r="E67" i="62" l="1"/>
  <c r="E93" i="88" l="1"/>
  <c r="D95" i="88"/>
  <c r="E95" i="88"/>
  <c r="E62" i="88"/>
  <c r="E63" i="88"/>
  <c r="E64" i="88"/>
  <c r="E65" i="88"/>
  <c r="E66" i="88"/>
  <c r="E67" i="88"/>
  <c r="E68" i="88"/>
  <c r="E69" i="88"/>
  <c r="E70" i="88"/>
  <c r="E71" i="88"/>
  <c r="E73" i="88"/>
  <c r="E74" i="88"/>
  <c r="E75" i="88"/>
  <c r="E76" i="88"/>
  <c r="E77" i="88"/>
  <c r="E78" i="88"/>
  <c r="E79" i="88"/>
  <c r="E80" i="88"/>
  <c r="E81" i="88"/>
  <c r="E82" i="88"/>
  <c r="E83" i="88"/>
  <c r="E84" i="88"/>
  <c r="E85" i="88"/>
  <c r="E86" i="88"/>
  <c r="E87" i="88"/>
  <c r="E88" i="88"/>
  <c r="E89" i="88"/>
  <c r="E61" i="88"/>
  <c r="E39" i="88"/>
  <c r="E40" i="88"/>
  <c r="E41" i="88"/>
  <c r="E42" i="88"/>
  <c r="E43" i="88"/>
  <c r="E44" i="88"/>
  <c r="E45" i="88"/>
  <c r="E46" i="88"/>
  <c r="E47" i="88"/>
  <c r="E48" i="88"/>
  <c r="E49" i="88"/>
  <c r="E50" i="88"/>
  <c r="E51" i="88"/>
  <c r="E52" i="88"/>
  <c r="E53" i="88"/>
  <c r="E54" i="88"/>
  <c r="E55" i="88"/>
  <c r="E56" i="88"/>
  <c r="E57" i="88"/>
  <c r="E58" i="88"/>
  <c r="E59" i="88"/>
  <c r="E38" i="88"/>
  <c r="E27" i="88"/>
  <c r="E29" i="88"/>
  <c r="E30" i="88"/>
  <c r="E31" i="88"/>
  <c r="E32" i="88"/>
  <c r="E34" i="88"/>
  <c r="E35" i="88"/>
  <c r="E36" i="88"/>
  <c r="E8" i="88"/>
  <c r="D94" i="88"/>
  <c r="D62" i="88"/>
  <c r="D63" i="88"/>
  <c r="D64" i="88"/>
  <c r="D65" i="88"/>
  <c r="D66" i="88"/>
  <c r="D67" i="88"/>
  <c r="D68" i="88"/>
  <c r="D69" i="88"/>
  <c r="D70" i="88"/>
  <c r="D71" i="88"/>
  <c r="D73" i="88"/>
  <c r="D74" i="88"/>
  <c r="D75" i="88"/>
  <c r="D76" i="88"/>
  <c r="D77" i="88"/>
  <c r="D78" i="88"/>
  <c r="D79" i="88"/>
  <c r="D80" i="88"/>
  <c r="D81" i="88"/>
  <c r="D82" i="88"/>
  <c r="D83" i="88"/>
  <c r="D84" i="88"/>
  <c r="D85" i="88"/>
  <c r="D86" i="88"/>
  <c r="D87" i="88"/>
  <c r="D88" i="88"/>
  <c r="D89" i="88"/>
  <c r="D61" i="88"/>
  <c r="D39" i="88"/>
  <c r="D40" i="88"/>
  <c r="D41" i="88"/>
  <c r="D42" i="88"/>
  <c r="D43" i="88"/>
  <c r="D44" i="88"/>
  <c r="D45" i="88"/>
  <c r="D46" i="88"/>
  <c r="D47" i="88"/>
  <c r="D48" i="88"/>
  <c r="D49" i="88"/>
  <c r="D50" i="88"/>
  <c r="D51" i="88"/>
  <c r="D52" i="88"/>
  <c r="D53" i="88"/>
  <c r="D54" i="88"/>
  <c r="D55" i="88"/>
  <c r="D56" i="88"/>
  <c r="D57" i="88"/>
  <c r="D58" i="88"/>
  <c r="D59" i="88"/>
  <c r="D38" i="88"/>
  <c r="D36" i="88"/>
  <c r="D29" i="88"/>
  <c r="D30" i="88"/>
  <c r="D31" i="88"/>
  <c r="D32" i="88"/>
  <c r="D34" i="88"/>
  <c r="D35" i="88"/>
  <c r="D10" i="88"/>
  <c r="D11" i="88"/>
  <c r="D12" i="88"/>
  <c r="D13" i="88"/>
  <c r="D14" i="88"/>
  <c r="D15" i="88"/>
  <c r="D16" i="88"/>
  <c r="D17" i="88"/>
  <c r="D18" i="88"/>
  <c r="D19" i="88"/>
  <c r="D20" i="88"/>
  <c r="D21" i="88"/>
  <c r="D22" i="88"/>
  <c r="D24" i="88"/>
  <c r="D25" i="88"/>
  <c r="D26" i="88"/>
  <c r="D27" i="88"/>
  <c r="D8" i="88"/>
  <c r="D64" i="62"/>
  <c r="D23" i="88"/>
  <c r="D60" i="88" l="1"/>
  <c r="A40" i="65"/>
  <c r="AK22" i="84" l="1"/>
  <c r="AJ22" i="84"/>
  <c r="AI22" i="84"/>
  <c r="AH22" i="84"/>
  <c r="AG22" i="84"/>
  <c r="AF22" i="84"/>
  <c r="AE22" i="84"/>
  <c r="AD22" i="84"/>
  <c r="AC22" i="84"/>
  <c r="AB22" i="84"/>
  <c r="AA22" i="84"/>
  <c r="Z22" i="84"/>
  <c r="Y22" i="84"/>
  <c r="X22" i="84"/>
  <c r="W22" i="84"/>
  <c r="V22" i="84"/>
  <c r="U22" i="84"/>
  <c r="T22" i="84"/>
  <c r="S22" i="84"/>
  <c r="R22" i="84"/>
  <c r="Q22" i="84"/>
  <c r="P22" i="84"/>
  <c r="O22" i="84"/>
  <c r="N22" i="84"/>
  <c r="M22" i="84"/>
  <c r="L22" i="84"/>
  <c r="K22" i="84"/>
  <c r="J22" i="84"/>
  <c r="I22" i="84"/>
  <c r="H22" i="84"/>
  <c r="G22" i="84"/>
  <c r="F22" i="84"/>
  <c r="E22" i="84"/>
  <c r="D22" i="84"/>
  <c r="C22" i="84"/>
  <c r="B22" i="84"/>
  <c r="A22" i="84"/>
  <c r="AK21" i="84"/>
  <c r="AJ21" i="84"/>
  <c r="AI21" i="84"/>
  <c r="AH21" i="84"/>
  <c r="AG21" i="84"/>
  <c r="AF21" i="84"/>
  <c r="AE21" i="84"/>
  <c r="AD21" i="84"/>
  <c r="AC21" i="84"/>
  <c r="AB21" i="84"/>
  <c r="AA21" i="84"/>
  <c r="Z21" i="84"/>
  <c r="Y21" i="84"/>
  <c r="X21" i="84"/>
  <c r="W21" i="84"/>
  <c r="V21" i="84"/>
  <c r="U21" i="84"/>
  <c r="T21" i="84"/>
  <c r="S21" i="84"/>
  <c r="R21" i="84"/>
  <c r="Q21" i="84"/>
  <c r="P21" i="84"/>
  <c r="O21" i="84"/>
  <c r="N21" i="84"/>
  <c r="M21" i="84"/>
  <c r="L21" i="84"/>
  <c r="K21" i="84"/>
  <c r="J21" i="84"/>
  <c r="I21" i="84"/>
  <c r="H21" i="84"/>
  <c r="G21" i="84"/>
  <c r="F21" i="84"/>
  <c r="E21" i="84"/>
  <c r="D21" i="84"/>
  <c r="C21" i="84"/>
  <c r="B21" i="84"/>
  <c r="A21" i="84"/>
  <c r="AK21" i="83"/>
  <c r="AJ21" i="83"/>
  <c r="AI21" i="83"/>
  <c r="AH21" i="83"/>
  <c r="AG21" i="83"/>
  <c r="AF21" i="83"/>
  <c r="AE21" i="83"/>
  <c r="AD21" i="83"/>
  <c r="AC21" i="83"/>
  <c r="AB21" i="83"/>
  <c r="AA21" i="83"/>
  <c r="Z21" i="83"/>
  <c r="Y21" i="83"/>
  <c r="X21" i="83"/>
  <c r="W21" i="83"/>
  <c r="V21" i="83"/>
  <c r="U21" i="83"/>
  <c r="T21" i="83"/>
  <c r="S21" i="83"/>
  <c r="R21" i="83"/>
  <c r="Q21" i="83"/>
  <c r="P21" i="83"/>
  <c r="O21" i="83"/>
  <c r="N21" i="83"/>
  <c r="M21" i="83"/>
  <c r="L21" i="83"/>
  <c r="K21" i="83"/>
  <c r="J21" i="83"/>
  <c r="I21" i="83"/>
  <c r="H21" i="83"/>
  <c r="G21" i="83"/>
  <c r="F21" i="83"/>
  <c r="E21" i="83"/>
  <c r="D21" i="83"/>
  <c r="C21" i="83"/>
  <c r="B21" i="83"/>
  <c r="A21" i="83"/>
  <c r="AK20" i="83"/>
  <c r="AJ20" i="83"/>
  <c r="AI20" i="83"/>
  <c r="AH20" i="83"/>
  <c r="AG20" i="83"/>
  <c r="AF20" i="83"/>
  <c r="AE20" i="83"/>
  <c r="AD20" i="83"/>
  <c r="AC20" i="83"/>
  <c r="AB20" i="83"/>
  <c r="AA20" i="83"/>
  <c r="Z20" i="83"/>
  <c r="Y20" i="83"/>
  <c r="X20" i="83"/>
  <c r="W20" i="83"/>
  <c r="V20" i="83"/>
  <c r="U20" i="83"/>
  <c r="T20" i="83"/>
  <c r="S20" i="83"/>
  <c r="R20" i="83"/>
  <c r="Q20" i="83"/>
  <c r="P20" i="83"/>
  <c r="O20" i="83"/>
  <c r="N20" i="83"/>
  <c r="M20" i="83"/>
  <c r="L20" i="83"/>
  <c r="K20" i="83"/>
  <c r="J20" i="83"/>
  <c r="I20" i="83"/>
  <c r="H20" i="83"/>
  <c r="G20" i="83"/>
  <c r="F20" i="83"/>
  <c r="E20" i="83"/>
  <c r="D20" i="83"/>
  <c r="C20" i="83"/>
  <c r="B20" i="83"/>
  <c r="A20" i="83"/>
  <c r="AK20" i="75"/>
  <c r="AJ20" i="75"/>
  <c r="AI20" i="75"/>
  <c r="AH20" i="75"/>
  <c r="AG20" i="75"/>
  <c r="AF20" i="75"/>
  <c r="AE20" i="75"/>
  <c r="AD20" i="75"/>
  <c r="AC20" i="75"/>
  <c r="AB20" i="75"/>
  <c r="AA20" i="75"/>
  <c r="Z20" i="75"/>
  <c r="Y20" i="75"/>
  <c r="X20" i="75"/>
  <c r="W20" i="75"/>
  <c r="V20" i="75"/>
  <c r="U20" i="75"/>
  <c r="T20" i="75"/>
  <c r="S20" i="75"/>
  <c r="R20" i="75"/>
  <c r="Q20" i="75"/>
  <c r="P20" i="75"/>
  <c r="O20" i="75"/>
  <c r="N20" i="75"/>
  <c r="M20" i="75"/>
  <c r="L20" i="75"/>
  <c r="K20" i="75"/>
  <c r="J20" i="75"/>
  <c r="I20" i="75"/>
  <c r="H20" i="75"/>
  <c r="G20" i="75"/>
  <c r="F20" i="75"/>
  <c r="E20" i="75"/>
  <c r="D20" i="75"/>
  <c r="C20" i="75"/>
  <c r="B20" i="75"/>
  <c r="A20" i="75"/>
  <c r="AK19" i="75"/>
  <c r="AJ19" i="75"/>
  <c r="AI19" i="75"/>
  <c r="AH19" i="75"/>
  <c r="AG19" i="75"/>
  <c r="AF19" i="75"/>
  <c r="AE19" i="75"/>
  <c r="AD19" i="75"/>
  <c r="AC19" i="75"/>
  <c r="AB19" i="75"/>
  <c r="AA19" i="75"/>
  <c r="Z19" i="75"/>
  <c r="Y19" i="75"/>
  <c r="X19" i="75"/>
  <c r="W19" i="75"/>
  <c r="V19" i="75"/>
  <c r="U19" i="75"/>
  <c r="T19" i="75"/>
  <c r="S19" i="75"/>
  <c r="R19" i="75"/>
  <c r="Q19" i="75"/>
  <c r="P19" i="75"/>
  <c r="O19" i="75"/>
  <c r="N19" i="75"/>
  <c r="M19" i="75"/>
  <c r="L19" i="75"/>
  <c r="K19" i="75"/>
  <c r="J19" i="75"/>
  <c r="I19" i="75"/>
  <c r="H19" i="75"/>
  <c r="G19" i="75"/>
  <c r="F19" i="75"/>
  <c r="E19" i="75"/>
  <c r="D19" i="75"/>
  <c r="C19" i="75"/>
  <c r="B19" i="75"/>
  <c r="A19" i="75"/>
  <c r="AK20" i="72"/>
  <c r="AJ20" i="72"/>
  <c r="AI20" i="72"/>
  <c r="AH20" i="72"/>
  <c r="AG20" i="72"/>
  <c r="AF20" i="72"/>
  <c r="AE20" i="72"/>
  <c r="AD20" i="72"/>
  <c r="AC20" i="72"/>
  <c r="AB20" i="72"/>
  <c r="AA20" i="72"/>
  <c r="Z20" i="72"/>
  <c r="Y20" i="72"/>
  <c r="X20" i="72"/>
  <c r="W20" i="72"/>
  <c r="V20" i="72"/>
  <c r="U20" i="72"/>
  <c r="T20" i="72"/>
  <c r="S20" i="72"/>
  <c r="R20" i="72"/>
  <c r="Q20" i="72"/>
  <c r="P20" i="72"/>
  <c r="O20" i="72"/>
  <c r="N20" i="72"/>
  <c r="M20" i="72"/>
  <c r="L20" i="72"/>
  <c r="K20" i="72"/>
  <c r="J20" i="72"/>
  <c r="I20" i="72"/>
  <c r="H20" i="72"/>
  <c r="G20" i="72"/>
  <c r="F20" i="72"/>
  <c r="E20" i="72"/>
  <c r="D20" i="72"/>
  <c r="C20" i="72"/>
  <c r="B20" i="72"/>
  <c r="A20" i="72"/>
  <c r="AK19" i="72"/>
  <c r="AJ19" i="72"/>
  <c r="AI19" i="72"/>
  <c r="AH19" i="72"/>
  <c r="AG19" i="72"/>
  <c r="AF19" i="72"/>
  <c r="AE19" i="72"/>
  <c r="AD19" i="72"/>
  <c r="AC19" i="72"/>
  <c r="AB19" i="72"/>
  <c r="AA19" i="72"/>
  <c r="Z19" i="72"/>
  <c r="Y19" i="72"/>
  <c r="X19" i="72"/>
  <c r="W19" i="72"/>
  <c r="V19" i="72"/>
  <c r="U19" i="72"/>
  <c r="T19" i="72"/>
  <c r="S19" i="72"/>
  <c r="R19" i="72"/>
  <c r="Q19" i="72"/>
  <c r="P19" i="72"/>
  <c r="O19" i="72"/>
  <c r="N19" i="72"/>
  <c r="M19" i="72"/>
  <c r="L19" i="72"/>
  <c r="K19" i="72"/>
  <c r="J19" i="72"/>
  <c r="I19" i="72"/>
  <c r="H19" i="72"/>
  <c r="G19" i="72"/>
  <c r="F19" i="72"/>
  <c r="E19" i="72"/>
  <c r="D19" i="72"/>
  <c r="C19" i="72"/>
  <c r="B19" i="72"/>
  <c r="A19" i="72"/>
  <c r="AK20" i="85"/>
  <c r="AJ20" i="85"/>
  <c r="AI20" i="85"/>
  <c r="AH20" i="85"/>
  <c r="AG20" i="85"/>
  <c r="AF20" i="85"/>
  <c r="AE20" i="85"/>
  <c r="AD20" i="85"/>
  <c r="AC20" i="85"/>
  <c r="AB20" i="85"/>
  <c r="AA20" i="85"/>
  <c r="Z20" i="85"/>
  <c r="Y20" i="85"/>
  <c r="X20" i="85"/>
  <c r="W20" i="85"/>
  <c r="V20" i="85"/>
  <c r="U20" i="85"/>
  <c r="T20" i="85"/>
  <c r="S20" i="85"/>
  <c r="R20" i="85"/>
  <c r="Q20" i="85"/>
  <c r="P20" i="85"/>
  <c r="O20" i="85"/>
  <c r="N20" i="85"/>
  <c r="M20" i="85"/>
  <c r="L20" i="85"/>
  <c r="K20" i="85"/>
  <c r="J20" i="85"/>
  <c r="I20" i="85"/>
  <c r="H20" i="85"/>
  <c r="G20" i="85"/>
  <c r="F20" i="85"/>
  <c r="E20" i="85"/>
  <c r="D20" i="85"/>
  <c r="C20" i="85"/>
  <c r="B20" i="85"/>
  <c r="A20" i="85"/>
  <c r="AK19" i="85"/>
  <c r="AJ19" i="85"/>
  <c r="AI19" i="85"/>
  <c r="AH19" i="85"/>
  <c r="AG19" i="85"/>
  <c r="AF19" i="85"/>
  <c r="AE19" i="85"/>
  <c r="AD19" i="85"/>
  <c r="AC19" i="85"/>
  <c r="AB19" i="85"/>
  <c r="AA19" i="85"/>
  <c r="Z19" i="85"/>
  <c r="Y19" i="85"/>
  <c r="X19" i="85"/>
  <c r="W19" i="85"/>
  <c r="V19" i="85"/>
  <c r="U19" i="85"/>
  <c r="T19" i="85"/>
  <c r="S19" i="85"/>
  <c r="R19" i="85"/>
  <c r="Q19" i="85"/>
  <c r="P19" i="85"/>
  <c r="O19" i="85"/>
  <c r="N19" i="85"/>
  <c r="M19" i="85"/>
  <c r="L19" i="85"/>
  <c r="K19" i="85"/>
  <c r="J19" i="85"/>
  <c r="I19" i="85"/>
  <c r="H19" i="85"/>
  <c r="G19" i="85"/>
  <c r="F19" i="85"/>
  <c r="E19" i="85"/>
  <c r="D19" i="85"/>
  <c r="C19" i="85"/>
  <c r="B19" i="85"/>
  <c r="A19" i="85"/>
  <c r="AK20" i="67"/>
  <c r="AJ20" i="67"/>
  <c r="AI20" i="67"/>
  <c r="AH20" i="67"/>
  <c r="AG20" i="67"/>
  <c r="AF20" i="67"/>
  <c r="AE20" i="67"/>
  <c r="AD20" i="67"/>
  <c r="AC20" i="67"/>
  <c r="AB20" i="67"/>
  <c r="AA20" i="67"/>
  <c r="Z20" i="67"/>
  <c r="Y20" i="67"/>
  <c r="X20" i="67"/>
  <c r="W20" i="67"/>
  <c r="V20" i="67"/>
  <c r="U20" i="67"/>
  <c r="T20" i="67"/>
  <c r="S20" i="67"/>
  <c r="R20" i="67"/>
  <c r="Q20" i="67"/>
  <c r="P20" i="67"/>
  <c r="O20" i="67"/>
  <c r="N20" i="67"/>
  <c r="M20" i="67"/>
  <c r="L20" i="67"/>
  <c r="K20" i="67"/>
  <c r="J20" i="67"/>
  <c r="I20" i="67"/>
  <c r="H20" i="67"/>
  <c r="G20" i="67"/>
  <c r="F20" i="67"/>
  <c r="E20" i="67"/>
  <c r="D20" i="67"/>
  <c r="C20" i="67"/>
  <c r="B20" i="67"/>
  <c r="A20" i="67"/>
  <c r="AK19" i="67"/>
  <c r="AJ19" i="67"/>
  <c r="AI19" i="67"/>
  <c r="AH19" i="67"/>
  <c r="AG19" i="67"/>
  <c r="AF19" i="67"/>
  <c r="AE19" i="67"/>
  <c r="AD19" i="67"/>
  <c r="AC19" i="67"/>
  <c r="AB19" i="67"/>
  <c r="AA19" i="67"/>
  <c r="Z19" i="67"/>
  <c r="Y19" i="67"/>
  <c r="X19" i="67"/>
  <c r="W19" i="67"/>
  <c r="V19" i="67"/>
  <c r="U19" i="67"/>
  <c r="T19" i="67"/>
  <c r="S19" i="67"/>
  <c r="R19" i="67"/>
  <c r="Q19" i="67"/>
  <c r="P19" i="67"/>
  <c r="O19" i="67"/>
  <c r="N19" i="67"/>
  <c r="M19" i="67"/>
  <c r="L19" i="67"/>
  <c r="K19" i="67"/>
  <c r="J19" i="67"/>
  <c r="I19" i="67"/>
  <c r="H19" i="67"/>
  <c r="G19" i="67"/>
  <c r="F19" i="67"/>
  <c r="E19" i="67"/>
  <c r="D19" i="67"/>
  <c r="C19" i="67"/>
  <c r="B19" i="67"/>
  <c r="A19" i="67"/>
  <c r="AK23" i="65"/>
  <c r="AJ23" i="65"/>
  <c r="AI23" i="65"/>
  <c r="AH23" i="65"/>
  <c r="AG23" i="65"/>
  <c r="AF23" i="65"/>
  <c r="AE23" i="65"/>
  <c r="AD23" i="65"/>
  <c r="AC23" i="65"/>
  <c r="AB23" i="65"/>
  <c r="AA23" i="65"/>
  <c r="Z23" i="65"/>
  <c r="Y23" i="65"/>
  <c r="X23" i="65"/>
  <c r="W23" i="65"/>
  <c r="V23" i="65"/>
  <c r="U23" i="65"/>
  <c r="T23" i="65"/>
  <c r="S23" i="65"/>
  <c r="R23" i="65"/>
  <c r="Q23" i="65"/>
  <c r="P23" i="65"/>
  <c r="O23" i="65"/>
  <c r="M23" i="65"/>
  <c r="L23" i="65"/>
  <c r="K23" i="65"/>
  <c r="J23" i="65"/>
  <c r="I23" i="65"/>
  <c r="H23" i="65"/>
  <c r="G23" i="65"/>
  <c r="F23" i="65"/>
  <c r="E23" i="65"/>
  <c r="D23" i="65"/>
  <c r="C23" i="65"/>
  <c r="B23" i="65"/>
  <c r="A23" i="65"/>
  <c r="AK22" i="65"/>
  <c r="AJ22" i="65"/>
  <c r="AI22" i="65"/>
  <c r="AH22" i="65"/>
  <c r="D20" i="61" l="1"/>
  <c r="D63" i="61"/>
  <c r="E63" i="61"/>
  <c r="E62" i="61"/>
  <c r="D62" i="61"/>
  <c r="E56" i="61"/>
  <c r="D56" i="61"/>
  <c r="D37" i="61"/>
  <c r="E37" i="61"/>
  <c r="E54" i="61" s="1"/>
  <c r="E20" i="61"/>
  <c r="E16" i="61"/>
  <c r="D16" i="61"/>
  <c r="E12" i="61"/>
  <c r="D12" i="61"/>
  <c r="E11" i="61"/>
  <c r="D11" i="61"/>
  <c r="G70" i="60"/>
  <c r="F70" i="60"/>
  <c r="E70" i="60"/>
  <c r="D70" i="60"/>
  <c r="G64" i="60"/>
  <c r="E64" i="60"/>
  <c r="E55" i="60"/>
  <c r="G55" i="60"/>
  <c r="E47" i="60"/>
  <c r="G47" i="60"/>
  <c r="G40" i="60"/>
  <c r="E40" i="60"/>
  <c r="D40" i="60"/>
  <c r="G30" i="60"/>
  <c r="E30" i="60"/>
  <c r="G20" i="60"/>
  <c r="E20" i="60"/>
  <c r="D20" i="60"/>
  <c r="G12" i="60"/>
  <c r="E12" i="60"/>
  <c r="D12" i="60"/>
  <c r="E19" i="61" l="1"/>
  <c r="E34" i="61" s="1"/>
  <c r="E11" i="60"/>
  <c r="D66" i="61"/>
  <c r="E66" i="61"/>
  <c r="D19" i="61"/>
  <c r="D34" i="61" s="1"/>
  <c r="D54" i="61"/>
  <c r="E39" i="60"/>
  <c r="E10" i="60" s="1"/>
  <c r="E75" i="60" s="1"/>
  <c r="G11" i="60"/>
  <c r="F12" i="60"/>
  <c r="F20" i="60"/>
  <c r="F30" i="60"/>
  <c r="F40" i="60"/>
  <c r="G39" i="60"/>
  <c r="F47" i="60"/>
  <c r="F55" i="60"/>
  <c r="F64" i="60"/>
  <c r="D47" i="60"/>
  <c r="D55" i="60"/>
  <c r="D30" i="60"/>
  <c r="D11" i="60" s="1"/>
  <c r="D64" i="60"/>
  <c r="G10" i="60" l="1"/>
  <c r="G75" i="60" s="1"/>
  <c r="D67" i="61"/>
  <c r="E67" i="61"/>
  <c r="E59" i="61"/>
  <c r="E69" i="61" s="1"/>
  <c r="F39" i="60"/>
  <c r="D39" i="60"/>
  <c r="D10" i="60" s="1"/>
  <c r="D75" i="60" s="1"/>
  <c r="F11" i="60"/>
  <c r="D59" i="61" l="1"/>
  <c r="D69" i="61" s="1"/>
  <c r="F10" i="60"/>
  <c r="F75" i="60" s="1"/>
  <c r="P3" i="71" l="1"/>
  <c r="AK38" i="87" l="1"/>
  <c r="AJ38" i="87"/>
  <c r="AI38" i="87"/>
  <c r="AH38" i="87"/>
  <c r="AG38" i="87"/>
  <c r="AF38" i="87"/>
  <c r="AE38" i="87"/>
  <c r="AD38" i="87"/>
  <c r="AB38" i="87"/>
  <c r="AA38" i="87"/>
  <c r="Z38" i="87"/>
  <c r="Y38" i="87"/>
  <c r="X38" i="87"/>
  <c r="W38" i="87"/>
  <c r="V38" i="87"/>
  <c r="T38" i="87"/>
  <c r="S38" i="87"/>
  <c r="R38" i="87"/>
  <c r="Q38" i="87"/>
  <c r="P38" i="87"/>
  <c r="O38" i="87"/>
  <c r="N38" i="87"/>
  <c r="M38" i="87"/>
  <c r="F37" i="87"/>
  <c r="C37" i="87"/>
  <c r="F34" i="87"/>
  <c r="C34" i="87"/>
  <c r="AK29" i="87"/>
  <c r="AJ29" i="87"/>
  <c r="AI29" i="87"/>
  <c r="AH29" i="87"/>
  <c r="AG29" i="87"/>
  <c r="AF29" i="87"/>
  <c r="AE29" i="87"/>
  <c r="AD29" i="87"/>
  <c r="AC29" i="87"/>
  <c r="AB29" i="87"/>
  <c r="S29" i="87"/>
  <c r="O29" i="87"/>
  <c r="E29" i="87"/>
  <c r="A29" i="87"/>
  <c r="AK20" i="87" l="1"/>
  <c r="AJ20" i="87"/>
  <c r="AI20" i="87"/>
  <c r="AH20" i="87"/>
  <c r="AG20" i="87"/>
  <c r="AF20" i="87"/>
  <c r="AE20" i="87"/>
  <c r="AD20" i="87"/>
  <c r="AC20" i="87"/>
  <c r="AB20" i="87"/>
  <c r="AA20" i="87"/>
  <c r="Z20" i="87"/>
  <c r="Y20" i="87"/>
  <c r="X20" i="87"/>
  <c r="W20" i="87"/>
  <c r="V20" i="87"/>
  <c r="U20" i="87"/>
  <c r="T20" i="87"/>
  <c r="S20" i="87"/>
  <c r="R20" i="87"/>
  <c r="Q20" i="87"/>
  <c r="P20" i="87"/>
  <c r="O20" i="87"/>
  <c r="N20" i="87"/>
  <c r="M20" i="87"/>
  <c r="L20" i="87"/>
  <c r="K20" i="87"/>
  <c r="J20" i="87"/>
  <c r="I20" i="87"/>
  <c r="H20" i="87"/>
  <c r="G20" i="87"/>
  <c r="F20" i="87"/>
  <c r="E20" i="87"/>
  <c r="D20" i="87"/>
  <c r="C20" i="87"/>
  <c r="B20" i="87"/>
  <c r="A20" i="87"/>
  <c r="AK19" i="87"/>
  <c r="AJ19" i="87"/>
  <c r="AI19" i="87"/>
  <c r="AH19" i="87"/>
  <c r="L15" i="87"/>
  <c r="L14" i="87"/>
  <c r="F15" i="87"/>
  <c r="C15" i="87"/>
  <c r="U4" i="87"/>
  <c r="R4" i="87"/>
  <c r="AG598" i="86" l="1"/>
  <c r="AF598" i="86"/>
  <c r="AE598" i="86"/>
  <c r="AD598" i="86"/>
  <c r="AC598" i="86"/>
  <c r="AB598" i="86"/>
  <c r="AA598" i="86"/>
  <c r="Z598" i="86"/>
  <c r="Y598" i="86"/>
  <c r="X598" i="86"/>
  <c r="W598" i="86"/>
  <c r="V598" i="86"/>
  <c r="U598" i="86"/>
  <c r="T598" i="86"/>
  <c r="S598" i="86"/>
  <c r="R598" i="86"/>
  <c r="Q598" i="86"/>
  <c r="P598" i="86"/>
  <c r="O598" i="86"/>
  <c r="N598" i="86"/>
  <c r="AC330" i="86"/>
  <c r="Z330" i="86"/>
  <c r="W330" i="86"/>
  <c r="T330" i="86"/>
  <c r="Q330" i="86"/>
  <c r="N330" i="86"/>
  <c r="K330" i="86"/>
  <c r="H330" i="86"/>
  <c r="AC324" i="86"/>
  <c r="Z324" i="86"/>
  <c r="W324" i="86"/>
  <c r="T324" i="86"/>
  <c r="Q324" i="86"/>
  <c r="N324" i="86"/>
  <c r="K324" i="86"/>
  <c r="H324" i="86"/>
  <c r="AC305" i="86"/>
  <c r="Z305" i="86"/>
  <c r="W305" i="86"/>
  <c r="T305" i="86"/>
  <c r="Q305" i="86"/>
  <c r="N305" i="86"/>
  <c r="K305" i="86"/>
  <c r="H305" i="86"/>
  <c r="AC299" i="86"/>
  <c r="Z299" i="86"/>
  <c r="W299" i="86"/>
  <c r="T299" i="86"/>
  <c r="Q299" i="86"/>
  <c r="N299" i="86"/>
  <c r="K299" i="86"/>
  <c r="H299" i="86"/>
  <c r="AB261" i="86"/>
  <c r="Y261" i="86"/>
  <c r="V261" i="86"/>
  <c r="S261" i="86"/>
  <c r="P261" i="86"/>
  <c r="M261" i="86"/>
  <c r="J261" i="86"/>
  <c r="AB255" i="86"/>
  <c r="Y255" i="86"/>
  <c r="V255" i="86"/>
  <c r="S255" i="86"/>
  <c r="P255" i="86"/>
  <c r="M255" i="86"/>
  <c r="J255" i="86"/>
  <c r="AB236" i="86"/>
  <c r="Y236" i="86"/>
  <c r="V236" i="86"/>
  <c r="S236" i="86"/>
  <c r="P236" i="86"/>
  <c r="M236" i="86"/>
  <c r="J236" i="86"/>
  <c r="AB230" i="86"/>
  <c r="Y230" i="86"/>
  <c r="V230" i="86"/>
  <c r="S230" i="86"/>
  <c r="P230" i="86"/>
  <c r="M230" i="86"/>
  <c r="J230" i="86"/>
  <c r="AM332" i="71"/>
  <c r="AP332" i="71"/>
  <c r="AO332" i="71"/>
  <c r="AN332" i="71"/>
  <c r="AL332" i="71"/>
  <c r="AK332" i="71"/>
  <c r="AJ332" i="71"/>
  <c r="AI332" i="71"/>
  <c r="AM326" i="71"/>
  <c r="AP326" i="71"/>
  <c r="AO326" i="71"/>
  <c r="AN326" i="71"/>
  <c r="AL326" i="71"/>
  <c r="AK326" i="71"/>
  <c r="AJ326" i="71"/>
  <c r="AI326" i="71"/>
  <c r="AQ331" i="71"/>
  <c r="AQ325" i="71"/>
  <c r="AM307" i="71"/>
  <c r="AC307" i="71"/>
  <c r="AP307" i="71" s="1"/>
  <c r="Z307" i="71"/>
  <c r="AO307" i="71" s="1"/>
  <c r="W307" i="71"/>
  <c r="AN307" i="71" s="1"/>
  <c r="T307" i="71"/>
  <c r="Q307" i="71"/>
  <c r="AL307" i="71" s="1"/>
  <c r="N307" i="71"/>
  <c r="BE301" i="71" s="1"/>
  <c r="K307" i="71"/>
  <c r="AJ307" i="71" s="1"/>
  <c r="H307" i="71"/>
  <c r="AI307" i="71" s="1"/>
  <c r="AM301" i="71"/>
  <c r="AC301" i="71"/>
  <c r="Z301" i="71"/>
  <c r="W301" i="71"/>
  <c r="T301" i="71"/>
  <c r="Q301" i="71"/>
  <c r="K301" i="71"/>
  <c r="H301" i="71"/>
  <c r="AF306" i="71"/>
  <c r="AF305" i="86" s="1"/>
  <c r="AF300" i="71"/>
  <c r="AQ300" i="71" s="1"/>
  <c r="AO268" i="71"/>
  <c r="AW239" i="71"/>
  <c r="AM268" i="71"/>
  <c r="AU239" i="71"/>
  <c r="AK268" i="71"/>
  <c r="AJ268" i="71"/>
  <c r="AI268" i="71"/>
  <c r="AO262" i="71"/>
  <c r="AN262" i="71"/>
  <c r="AM262" i="71"/>
  <c r="AL262" i="71"/>
  <c r="AK262" i="71"/>
  <c r="AJ262" i="71"/>
  <c r="AI262" i="71"/>
  <c r="AE261" i="86"/>
  <c r="AP261" i="71"/>
  <c r="AB243" i="71"/>
  <c r="AO243" i="71" s="1"/>
  <c r="Y243" i="71"/>
  <c r="AN243" i="71" s="1"/>
  <c r="V243" i="71"/>
  <c r="AM243" i="71" s="1"/>
  <c r="S243" i="71"/>
  <c r="AL243" i="71" s="1"/>
  <c r="P243" i="71"/>
  <c r="AK243" i="71" s="1"/>
  <c r="M243" i="71"/>
  <c r="AJ243" i="71" s="1"/>
  <c r="J243" i="71"/>
  <c r="AI243" i="71" s="1"/>
  <c r="AB237" i="71"/>
  <c r="Y237" i="71"/>
  <c r="V237" i="71"/>
  <c r="V231" i="86" s="1"/>
  <c r="S237" i="71"/>
  <c r="S231" i="86" s="1"/>
  <c r="P237" i="71"/>
  <c r="M237" i="71"/>
  <c r="J237" i="71"/>
  <c r="J231" i="86" s="1"/>
  <c r="AE242" i="71"/>
  <c r="AP242" i="71" s="1"/>
  <c r="AE236" i="71"/>
  <c r="AP236" i="71" s="1"/>
  <c r="AE233" i="71"/>
  <c r="AP233" i="71" s="1"/>
  <c r="AE234" i="71"/>
  <c r="AP234" i="71" s="1"/>
  <c r="AE235" i="71"/>
  <c r="AP235" i="71" s="1"/>
  <c r="AE239" i="71"/>
  <c r="AP239" i="71" s="1"/>
  <c r="AE240" i="71"/>
  <c r="AP240" i="71" s="1"/>
  <c r="AE241" i="71"/>
  <c r="AP241" i="71" s="1"/>
  <c r="AP258" i="71"/>
  <c r="AP259" i="71"/>
  <c r="AP260" i="71"/>
  <c r="AP264" i="71"/>
  <c r="AP265" i="71"/>
  <c r="AP266" i="71"/>
  <c r="AK307" i="71" l="1"/>
  <c r="AW233" i="71"/>
  <c r="BG301" i="71"/>
  <c r="AQ306" i="71"/>
  <c r="AF330" i="86"/>
  <c r="AE243" i="71"/>
  <c r="AE237" i="86" s="1"/>
  <c r="BD301" i="71"/>
  <c r="BH301" i="71"/>
  <c r="AN301" i="71"/>
  <c r="V237" i="86"/>
  <c r="AF324" i="86"/>
  <c r="J237" i="86"/>
  <c r="AF299" i="86"/>
  <c r="AN237" i="71"/>
  <c r="BF237" i="71"/>
  <c r="AP301" i="71"/>
  <c r="BJ301" i="71"/>
  <c r="AO237" i="71"/>
  <c r="BG237" i="71"/>
  <c r="AP267" i="71"/>
  <c r="Y231" i="86"/>
  <c r="Y237" i="86"/>
  <c r="AI237" i="71"/>
  <c r="BA237" i="71"/>
  <c r="AM237" i="71"/>
  <c r="BE237" i="71"/>
  <c r="AK301" i="71"/>
  <c r="AO301" i="71"/>
  <c r="BI301" i="71"/>
  <c r="AE230" i="86"/>
  <c r="AE236" i="86"/>
  <c r="S237" i="86"/>
  <c r="AE255" i="86"/>
  <c r="AJ237" i="71"/>
  <c r="BB237" i="71"/>
  <c r="AL301" i="71"/>
  <c r="BF301" i="71"/>
  <c r="AK237" i="71"/>
  <c r="BC237" i="71"/>
  <c r="AP262" i="71"/>
  <c r="AP268" i="71"/>
  <c r="AI301" i="71"/>
  <c r="BC301" i="71"/>
  <c r="M231" i="86"/>
  <c r="M237" i="86"/>
  <c r="AL237" i="71"/>
  <c r="BD237" i="71"/>
  <c r="AE237" i="71"/>
  <c r="AJ301" i="71"/>
  <c r="P231" i="86"/>
  <c r="AB231" i="86"/>
  <c r="P237" i="86"/>
  <c r="AB237" i="86"/>
  <c r="AN268" i="71"/>
  <c r="AL268" i="71"/>
  <c r="AX233" i="71"/>
  <c r="AT233" i="71"/>
  <c r="AV239" i="71"/>
  <c r="AS233" i="71"/>
  <c r="AR239" i="71"/>
  <c r="AU233" i="71"/>
  <c r="AS239" i="71"/>
  <c r="AV233" i="71"/>
  <c r="AR233" i="71"/>
  <c r="AX239" i="71"/>
  <c r="AT239" i="71"/>
  <c r="AP243" i="71" l="1"/>
  <c r="AP237" i="71"/>
  <c r="BH237" i="71"/>
  <c r="AE231" i="86"/>
  <c r="AY233" i="71"/>
  <c r="AY239" i="71"/>
  <c r="V3" i="71" l="1"/>
  <c r="U3" i="71"/>
  <c r="T3" i="71"/>
  <c r="S3" i="71"/>
  <c r="R3" i="71"/>
  <c r="Q3" i="71"/>
  <c r="O3" i="71"/>
  <c r="N3" i="71"/>
  <c r="M3" i="71"/>
  <c r="AG623" i="86" l="1"/>
  <c r="AF623" i="86"/>
  <c r="AE623" i="86"/>
  <c r="AD623" i="86"/>
  <c r="AC623" i="86"/>
  <c r="AB623" i="86"/>
  <c r="AA623" i="86"/>
  <c r="Z623" i="86"/>
  <c r="Y623" i="86"/>
  <c r="X623" i="86"/>
  <c r="W623" i="86"/>
  <c r="V623" i="86"/>
  <c r="U623" i="86"/>
  <c r="T623" i="86"/>
  <c r="S623" i="86"/>
  <c r="R623" i="86"/>
  <c r="Q623" i="86"/>
  <c r="P623" i="86"/>
  <c r="O623" i="86"/>
  <c r="N623" i="86"/>
  <c r="M623" i="86"/>
  <c r="L623" i="86"/>
  <c r="K623" i="86"/>
  <c r="Q851" i="86" l="1"/>
  <c r="P851" i="86"/>
  <c r="O851" i="86"/>
  <c r="Q831" i="86"/>
  <c r="P831" i="86"/>
  <c r="O831" i="86"/>
  <c r="Q819" i="86"/>
  <c r="P819" i="86"/>
  <c r="O819" i="86"/>
  <c r="N819" i="86"/>
  <c r="Y818" i="86"/>
  <c r="X818" i="86"/>
  <c r="W818" i="86"/>
  <c r="V818" i="86"/>
  <c r="U818" i="86"/>
  <c r="T818" i="86"/>
  <c r="S818" i="86"/>
  <c r="Q818" i="86"/>
  <c r="P818" i="86"/>
  <c r="O818" i="86"/>
  <c r="N818" i="86"/>
  <c r="L818" i="86"/>
  <c r="K818" i="86"/>
  <c r="J818" i="86"/>
  <c r="I818" i="86"/>
  <c r="H818" i="86"/>
  <c r="G818" i="86"/>
  <c r="F818" i="86"/>
  <c r="E818" i="86"/>
  <c r="AG765" i="86"/>
  <c r="AF765" i="86"/>
  <c r="AE765" i="86"/>
  <c r="AD765" i="86"/>
  <c r="AC765" i="86"/>
  <c r="AB765" i="86"/>
  <c r="AA765" i="86"/>
  <c r="Z765" i="86"/>
  <c r="Y765" i="86"/>
  <c r="X765" i="86"/>
  <c r="W765" i="86"/>
  <c r="V765" i="86"/>
  <c r="U765" i="86"/>
  <c r="T765" i="86"/>
  <c r="S765" i="86"/>
  <c r="R765" i="86"/>
  <c r="Q765" i="86"/>
  <c r="P765" i="86"/>
  <c r="O765" i="86"/>
  <c r="N765" i="86"/>
  <c r="AG764" i="86"/>
  <c r="AF764" i="86"/>
  <c r="AE764" i="86"/>
  <c r="AD764" i="86"/>
  <c r="AC764" i="86"/>
  <c r="AB764" i="86"/>
  <c r="AA764" i="86"/>
  <c r="Z764" i="86"/>
  <c r="Y764" i="86"/>
  <c r="X764" i="86"/>
  <c r="W764" i="86"/>
  <c r="V764" i="86"/>
  <c r="U764" i="86"/>
  <c r="T764" i="86"/>
  <c r="S764" i="86"/>
  <c r="R764" i="86"/>
  <c r="Q764" i="86"/>
  <c r="P764" i="86"/>
  <c r="O764" i="86"/>
  <c r="N764" i="86"/>
  <c r="AG763" i="86"/>
  <c r="AF763" i="86"/>
  <c r="AE763" i="86"/>
  <c r="AD763" i="86"/>
  <c r="AC763" i="86"/>
  <c r="AB763" i="86"/>
  <c r="AA763" i="86"/>
  <c r="Z763" i="86"/>
  <c r="Y763" i="86"/>
  <c r="X763" i="86"/>
  <c r="W763" i="86"/>
  <c r="V763" i="86"/>
  <c r="U763" i="86"/>
  <c r="T763" i="86"/>
  <c r="S763" i="86"/>
  <c r="R763" i="86"/>
  <c r="Q763" i="86"/>
  <c r="P763" i="86"/>
  <c r="O763" i="86"/>
  <c r="N763" i="86"/>
  <c r="AG762" i="86"/>
  <c r="AF762" i="86"/>
  <c r="AE762" i="86"/>
  <c r="AD762" i="86"/>
  <c r="AC762" i="86"/>
  <c r="AB762" i="86"/>
  <c r="AA762" i="86"/>
  <c r="Z762" i="86"/>
  <c r="Y762" i="86"/>
  <c r="X762" i="86"/>
  <c r="W762" i="86"/>
  <c r="V762" i="86"/>
  <c r="U762" i="86"/>
  <c r="T762" i="86"/>
  <c r="S762" i="86"/>
  <c r="R762" i="86"/>
  <c r="Q762" i="86"/>
  <c r="P762" i="86"/>
  <c r="O762" i="86"/>
  <c r="N762" i="86"/>
  <c r="AG761" i="86"/>
  <c r="AF761" i="86"/>
  <c r="AE761" i="86"/>
  <c r="AD761" i="86"/>
  <c r="AC761" i="86"/>
  <c r="AB761" i="86"/>
  <c r="AA761" i="86"/>
  <c r="Z761" i="86"/>
  <c r="Y761" i="86"/>
  <c r="X761" i="86"/>
  <c r="W761" i="86"/>
  <c r="V761" i="86"/>
  <c r="U761" i="86"/>
  <c r="T761" i="86"/>
  <c r="S761" i="86"/>
  <c r="R761" i="86"/>
  <c r="Q761" i="86"/>
  <c r="P761" i="86"/>
  <c r="O761" i="86"/>
  <c r="N761" i="86"/>
  <c r="AG760" i="86"/>
  <c r="AF760" i="86"/>
  <c r="AE760" i="86"/>
  <c r="AD760" i="86"/>
  <c r="AC760" i="86"/>
  <c r="AB760" i="86"/>
  <c r="AA760" i="86"/>
  <c r="Z760" i="86"/>
  <c r="Y760" i="86"/>
  <c r="X760" i="86"/>
  <c r="W760" i="86"/>
  <c r="V760" i="86"/>
  <c r="U760" i="86"/>
  <c r="T760" i="86"/>
  <c r="S760" i="86"/>
  <c r="R760" i="86"/>
  <c r="Q760" i="86"/>
  <c r="P760" i="86"/>
  <c r="O760" i="86"/>
  <c r="N760" i="86"/>
  <c r="M757" i="86"/>
  <c r="L757" i="86"/>
  <c r="K757" i="86"/>
  <c r="J757" i="86"/>
  <c r="I757" i="86"/>
  <c r="H757" i="86"/>
  <c r="G757" i="86"/>
  <c r="F757" i="86"/>
  <c r="E757" i="86"/>
  <c r="M752" i="86"/>
  <c r="L752" i="86"/>
  <c r="K752" i="86"/>
  <c r="J752" i="86"/>
  <c r="I752" i="86"/>
  <c r="H752" i="86"/>
  <c r="G752" i="86"/>
  <c r="F752" i="86"/>
  <c r="E752" i="86"/>
  <c r="M751" i="86"/>
  <c r="L751" i="86"/>
  <c r="K751" i="86"/>
  <c r="J751" i="86"/>
  <c r="I751" i="86"/>
  <c r="H751" i="86"/>
  <c r="G751" i="86"/>
  <c r="F751" i="86"/>
  <c r="E751" i="86"/>
  <c r="M750" i="86"/>
  <c r="L750" i="86"/>
  <c r="K750" i="86"/>
  <c r="J750" i="86"/>
  <c r="I750" i="86"/>
  <c r="H750" i="86"/>
  <c r="G750" i="86"/>
  <c r="F750" i="86"/>
  <c r="E750" i="86"/>
  <c r="M737" i="86"/>
  <c r="L737" i="86"/>
  <c r="K737" i="86"/>
  <c r="J737" i="86"/>
  <c r="I737" i="86"/>
  <c r="H737" i="86"/>
  <c r="G737" i="86"/>
  <c r="F737" i="86"/>
  <c r="E737" i="86"/>
  <c r="M736" i="86"/>
  <c r="L736" i="86"/>
  <c r="K736" i="86"/>
  <c r="J736" i="86"/>
  <c r="I736" i="86"/>
  <c r="H736" i="86"/>
  <c r="G736" i="86"/>
  <c r="F736" i="86"/>
  <c r="E736" i="86"/>
  <c r="AG746" i="86"/>
  <c r="AF746" i="86"/>
  <c r="AE746" i="86"/>
  <c r="AD746" i="86"/>
  <c r="AC746" i="86"/>
  <c r="AB746" i="86"/>
  <c r="AA746" i="86"/>
  <c r="Z746" i="86"/>
  <c r="Y746" i="86"/>
  <c r="X746" i="86"/>
  <c r="W746" i="86"/>
  <c r="V746" i="86"/>
  <c r="U746" i="86"/>
  <c r="T746" i="86"/>
  <c r="S746" i="86"/>
  <c r="R746" i="86"/>
  <c r="Q746" i="86"/>
  <c r="P746" i="86"/>
  <c r="O746" i="86"/>
  <c r="N746" i="86"/>
  <c r="AG737" i="86"/>
  <c r="AF737" i="86"/>
  <c r="AE737" i="86"/>
  <c r="AD737" i="86"/>
  <c r="AC737" i="86"/>
  <c r="AB737" i="86"/>
  <c r="AA737" i="86"/>
  <c r="Z737" i="86"/>
  <c r="Y737" i="86"/>
  <c r="X737" i="86"/>
  <c r="W737" i="86"/>
  <c r="V737" i="86"/>
  <c r="U737" i="86"/>
  <c r="T737" i="86"/>
  <c r="S737" i="86"/>
  <c r="R737" i="86"/>
  <c r="Q737" i="86"/>
  <c r="P737" i="86"/>
  <c r="O737" i="86"/>
  <c r="N737" i="86"/>
  <c r="AG736" i="86"/>
  <c r="AF736" i="86"/>
  <c r="AE736" i="86"/>
  <c r="AD736" i="86"/>
  <c r="AC736" i="86"/>
  <c r="AB736" i="86"/>
  <c r="AA736" i="86"/>
  <c r="Z736" i="86"/>
  <c r="Y736" i="86"/>
  <c r="W736" i="86"/>
  <c r="V736" i="86"/>
  <c r="U736" i="86"/>
  <c r="T736" i="86"/>
  <c r="S736" i="86"/>
  <c r="R736" i="86"/>
  <c r="Q736" i="86"/>
  <c r="P736" i="86"/>
  <c r="O736" i="86"/>
  <c r="N736" i="86"/>
  <c r="AG735" i="86"/>
  <c r="AF735" i="86"/>
  <c r="AE735" i="86"/>
  <c r="AD735" i="86"/>
  <c r="AC735" i="86"/>
  <c r="AB735" i="86"/>
  <c r="AA735" i="86"/>
  <c r="Z735" i="86"/>
  <c r="Y735" i="86"/>
  <c r="X735" i="86"/>
  <c r="W735" i="86"/>
  <c r="V735" i="86"/>
  <c r="U735" i="86"/>
  <c r="T735" i="86"/>
  <c r="S735" i="86"/>
  <c r="R735" i="86"/>
  <c r="Q735" i="86"/>
  <c r="P735" i="86"/>
  <c r="O735" i="86"/>
  <c r="N735" i="86"/>
  <c r="AG734" i="86"/>
  <c r="AF734" i="86"/>
  <c r="AE734" i="86"/>
  <c r="AD734" i="86"/>
  <c r="AC734" i="86"/>
  <c r="AB734" i="86"/>
  <c r="AA734" i="86"/>
  <c r="Z734" i="86"/>
  <c r="Y734" i="86"/>
  <c r="X734" i="86"/>
  <c r="W734" i="86"/>
  <c r="V734" i="86"/>
  <c r="U734" i="86"/>
  <c r="T734" i="86"/>
  <c r="S734" i="86"/>
  <c r="R734" i="86"/>
  <c r="Q734" i="86"/>
  <c r="P734" i="86"/>
  <c r="O734" i="86"/>
  <c r="N734" i="86"/>
  <c r="AG733" i="86"/>
  <c r="AF733" i="86"/>
  <c r="AE733" i="86"/>
  <c r="AD733" i="86"/>
  <c r="AC733" i="86"/>
  <c r="AB733" i="86"/>
  <c r="AA733" i="86"/>
  <c r="Z733" i="86"/>
  <c r="Y733" i="86"/>
  <c r="X733" i="86"/>
  <c r="W733" i="86"/>
  <c r="V733" i="86"/>
  <c r="U733" i="86"/>
  <c r="T733" i="86"/>
  <c r="S733" i="86"/>
  <c r="R733" i="86"/>
  <c r="Q733" i="86"/>
  <c r="P733" i="86"/>
  <c r="O733" i="86"/>
  <c r="N733" i="86"/>
  <c r="AG732" i="86"/>
  <c r="AF732" i="86"/>
  <c r="AE732" i="86"/>
  <c r="AD732" i="86"/>
  <c r="AC732" i="86"/>
  <c r="AB732" i="86"/>
  <c r="AA732" i="86"/>
  <c r="Z732" i="86"/>
  <c r="Y732" i="86"/>
  <c r="X732" i="86"/>
  <c r="W732" i="86"/>
  <c r="V732" i="86"/>
  <c r="U732" i="86"/>
  <c r="T732" i="86"/>
  <c r="S732" i="86"/>
  <c r="R732" i="86"/>
  <c r="Q732" i="86"/>
  <c r="P732" i="86"/>
  <c r="O732" i="86"/>
  <c r="N732" i="86"/>
  <c r="AG731" i="86"/>
  <c r="AF731" i="86"/>
  <c r="AE731" i="86"/>
  <c r="AD731" i="86"/>
  <c r="AC731" i="86"/>
  <c r="AB731" i="86"/>
  <c r="AA731" i="86"/>
  <c r="Z731" i="86"/>
  <c r="Y731" i="86"/>
  <c r="X731" i="86"/>
  <c r="W731" i="86"/>
  <c r="V731" i="86"/>
  <c r="U731" i="86"/>
  <c r="T731" i="86"/>
  <c r="S731" i="86"/>
  <c r="R731" i="86"/>
  <c r="Q731" i="86"/>
  <c r="P731" i="86"/>
  <c r="O731" i="86"/>
  <c r="N731" i="86"/>
  <c r="AG730" i="86"/>
  <c r="AF730" i="86"/>
  <c r="AE730" i="86"/>
  <c r="AD730" i="86"/>
  <c r="AC730" i="86"/>
  <c r="AB730" i="86"/>
  <c r="AA730" i="86"/>
  <c r="Z730" i="86"/>
  <c r="Y730" i="86"/>
  <c r="X730" i="86"/>
  <c r="W730" i="86"/>
  <c r="V730" i="86"/>
  <c r="U730" i="86"/>
  <c r="T730" i="86"/>
  <c r="S730" i="86"/>
  <c r="R730" i="86"/>
  <c r="Q730" i="86"/>
  <c r="P730" i="86"/>
  <c r="O730" i="86"/>
  <c r="N730" i="86"/>
  <c r="AG729" i="86"/>
  <c r="AF729" i="86"/>
  <c r="AE729" i="86"/>
  <c r="AD729" i="86"/>
  <c r="AC729" i="86"/>
  <c r="AB729" i="86"/>
  <c r="AA729" i="86"/>
  <c r="Z729" i="86"/>
  <c r="Y729" i="86"/>
  <c r="X729" i="86"/>
  <c r="W729" i="86"/>
  <c r="V729" i="86"/>
  <c r="U729" i="86"/>
  <c r="T729" i="86"/>
  <c r="S729" i="86"/>
  <c r="R729" i="86"/>
  <c r="Q729" i="86"/>
  <c r="P729" i="86"/>
  <c r="O729" i="86"/>
  <c r="N729" i="86"/>
  <c r="M707" i="86"/>
  <c r="L707" i="86"/>
  <c r="K707" i="86"/>
  <c r="J707" i="86"/>
  <c r="I707" i="86"/>
  <c r="H707" i="86"/>
  <c r="G707" i="86"/>
  <c r="F707" i="86"/>
  <c r="E707" i="86"/>
  <c r="M706" i="86"/>
  <c r="L706" i="86"/>
  <c r="K706" i="86"/>
  <c r="J706" i="86"/>
  <c r="I706" i="86"/>
  <c r="H706" i="86"/>
  <c r="G706" i="86"/>
  <c r="F706" i="86"/>
  <c r="E706" i="86"/>
  <c r="M701" i="86"/>
  <c r="L701" i="86"/>
  <c r="K701" i="86"/>
  <c r="J701" i="86"/>
  <c r="I701" i="86"/>
  <c r="H701" i="86"/>
  <c r="G701" i="86"/>
  <c r="F701" i="86"/>
  <c r="E701" i="86"/>
  <c r="M700" i="86"/>
  <c r="L700" i="86"/>
  <c r="K700" i="86"/>
  <c r="J700" i="86"/>
  <c r="I700" i="86"/>
  <c r="H700" i="86"/>
  <c r="G700" i="86"/>
  <c r="F700" i="86"/>
  <c r="E700" i="86"/>
  <c r="M697" i="86"/>
  <c r="L697" i="86"/>
  <c r="K697" i="86"/>
  <c r="J697" i="86"/>
  <c r="I697" i="86"/>
  <c r="H697" i="86"/>
  <c r="G697" i="86"/>
  <c r="F697" i="86"/>
  <c r="E697" i="86"/>
  <c r="AG706" i="86"/>
  <c r="AF706" i="86"/>
  <c r="AE706" i="86"/>
  <c r="AD706" i="86"/>
  <c r="AC706" i="86"/>
  <c r="AB706" i="86"/>
  <c r="AA706" i="86"/>
  <c r="Z706" i="86"/>
  <c r="Y706" i="86"/>
  <c r="X706" i="86"/>
  <c r="W706" i="86"/>
  <c r="V706" i="86"/>
  <c r="U706" i="86"/>
  <c r="T706" i="86"/>
  <c r="S706" i="86"/>
  <c r="R706" i="86"/>
  <c r="Q706" i="86"/>
  <c r="P706" i="86"/>
  <c r="O706" i="86"/>
  <c r="N706" i="86"/>
  <c r="AG705" i="86"/>
  <c r="AF705" i="86"/>
  <c r="AE705" i="86"/>
  <c r="AD705" i="86"/>
  <c r="AC705" i="86"/>
  <c r="AB705" i="86"/>
  <c r="AA705" i="86"/>
  <c r="Z705" i="86"/>
  <c r="Y705" i="86"/>
  <c r="X705" i="86"/>
  <c r="W705" i="86"/>
  <c r="V705" i="86"/>
  <c r="U705" i="86"/>
  <c r="T705" i="86"/>
  <c r="S705" i="86"/>
  <c r="R705" i="86"/>
  <c r="Q705" i="86"/>
  <c r="P705" i="86"/>
  <c r="O705" i="86"/>
  <c r="N705" i="86"/>
  <c r="AG704" i="86"/>
  <c r="AF704" i="86"/>
  <c r="AE704" i="86"/>
  <c r="AD704" i="86"/>
  <c r="AC704" i="86"/>
  <c r="AB704" i="86"/>
  <c r="AA704" i="86"/>
  <c r="Z704" i="86"/>
  <c r="Y704" i="86"/>
  <c r="X704" i="86"/>
  <c r="W704" i="86"/>
  <c r="V704" i="86"/>
  <c r="U704" i="86"/>
  <c r="T704" i="86"/>
  <c r="S704" i="86"/>
  <c r="R704" i="86"/>
  <c r="Q704" i="86"/>
  <c r="P704" i="86"/>
  <c r="O704" i="86"/>
  <c r="N704" i="86"/>
  <c r="AG703" i="86"/>
  <c r="AF703" i="86"/>
  <c r="AE703" i="86"/>
  <c r="AD703" i="86"/>
  <c r="AC703" i="86"/>
  <c r="AB703" i="86"/>
  <c r="AA703" i="86"/>
  <c r="Z703" i="86"/>
  <c r="Y703" i="86"/>
  <c r="X703" i="86"/>
  <c r="W703" i="86"/>
  <c r="V703" i="86"/>
  <c r="U703" i="86"/>
  <c r="T703" i="86"/>
  <c r="S703" i="86"/>
  <c r="R703" i="86"/>
  <c r="Q703" i="86"/>
  <c r="P703" i="86"/>
  <c r="O703" i="86"/>
  <c r="N703" i="86"/>
  <c r="AG702" i="86"/>
  <c r="AF702" i="86"/>
  <c r="AE702" i="86"/>
  <c r="AD702" i="86"/>
  <c r="AC702" i="86"/>
  <c r="AB702" i="86"/>
  <c r="AA702" i="86"/>
  <c r="Z702" i="86"/>
  <c r="Y702" i="86"/>
  <c r="X702" i="86"/>
  <c r="W702" i="86"/>
  <c r="V702" i="86"/>
  <c r="U702" i="86"/>
  <c r="T702" i="86"/>
  <c r="S702" i="86"/>
  <c r="R702" i="86"/>
  <c r="Q702" i="86"/>
  <c r="P702" i="86"/>
  <c r="O702" i="86"/>
  <c r="N702" i="86"/>
  <c r="AG701" i="86"/>
  <c r="AF701" i="86"/>
  <c r="AE701" i="86"/>
  <c r="AD701" i="86"/>
  <c r="AC701" i="86"/>
  <c r="AB701" i="86"/>
  <c r="AA701" i="86"/>
  <c r="Z701" i="86"/>
  <c r="Y701" i="86"/>
  <c r="X701" i="86"/>
  <c r="W701" i="86"/>
  <c r="V701" i="86"/>
  <c r="U701" i="86"/>
  <c r="T701" i="86"/>
  <c r="S701" i="86"/>
  <c r="R701" i="86"/>
  <c r="Q701" i="86"/>
  <c r="P701" i="86"/>
  <c r="O701" i="86"/>
  <c r="N701" i="86"/>
  <c r="AG700" i="86"/>
  <c r="AF700" i="86"/>
  <c r="AE700" i="86"/>
  <c r="AD700" i="86"/>
  <c r="AC700" i="86"/>
  <c r="AB700" i="86"/>
  <c r="AA700" i="86"/>
  <c r="Z700" i="86"/>
  <c r="Y700" i="86"/>
  <c r="X700" i="86"/>
  <c r="W700" i="86"/>
  <c r="V700" i="86"/>
  <c r="U700" i="86"/>
  <c r="T700" i="86"/>
  <c r="S700" i="86"/>
  <c r="R700" i="86"/>
  <c r="Q700" i="86"/>
  <c r="P700" i="86"/>
  <c r="O700" i="86"/>
  <c r="N700" i="86"/>
  <c r="AG699" i="86"/>
  <c r="AF699" i="86"/>
  <c r="AE699" i="86"/>
  <c r="AD699" i="86"/>
  <c r="AC699" i="86"/>
  <c r="AB699" i="86"/>
  <c r="AA699" i="86"/>
  <c r="Z699" i="86"/>
  <c r="Y699" i="86"/>
  <c r="X699" i="86"/>
  <c r="W699" i="86"/>
  <c r="V699" i="86"/>
  <c r="U699" i="86"/>
  <c r="T699" i="86"/>
  <c r="S699" i="86"/>
  <c r="R699" i="86"/>
  <c r="Q699" i="86"/>
  <c r="P699" i="86"/>
  <c r="O699" i="86"/>
  <c r="N699" i="86"/>
  <c r="AG697" i="86"/>
  <c r="AF697" i="86"/>
  <c r="AE697" i="86"/>
  <c r="AD697" i="86"/>
  <c r="AC697" i="86"/>
  <c r="AB697" i="86"/>
  <c r="AA697" i="86"/>
  <c r="Z697" i="86"/>
  <c r="Y697" i="86"/>
  <c r="X697" i="86"/>
  <c r="W697" i="86"/>
  <c r="V697" i="86"/>
  <c r="U697" i="86"/>
  <c r="T697" i="86"/>
  <c r="S697" i="86"/>
  <c r="R697" i="86"/>
  <c r="Q697" i="86"/>
  <c r="P697" i="86"/>
  <c r="O697" i="86"/>
  <c r="N697" i="86"/>
  <c r="AG696" i="86"/>
  <c r="AF696" i="86"/>
  <c r="AE696" i="86"/>
  <c r="AD696" i="86"/>
  <c r="AC696" i="86"/>
  <c r="AB696" i="86"/>
  <c r="AA696" i="86"/>
  <c r="Z696" i="86"/>
  <c r="Y696" i="86"/>
  <c r="X696" i="86"/>
  <c r="W696" i="86"/>
  <c r="V696" i="86"/>
  <c r="U696" i="86"/>
  <c r="T696" i="86"/>
  <c r="S696" i="86"/>
  <c r="R696" i="86"/>
  <c r="Q696" i="86"/>
  <c r="P696" i="86"/>
  <c r="O696" i="86"/>
  <c r="N696" i="86"/>
  <c r="AG720" i="86"/>
  <c r="AF720" i="86"/>
  <c r="AE720" i="86"/>
  <c r="AD720" i="86"/>
  <c r="AC720" i="86"/>
  <c r="AB720" i="86"/>
  <c r="AA720" i="86"/>
  <c r="Z720" i="86"/>
  <c r="Y720" i="86"/>
  <c r="W720" i="86"/>
  <c r="V720" i="86"/>
  <c r="U720" i="86"/>
  <c r="T720" i="86"/>
  <c r="S720" i="86"/>
  <c r="R720" i="86"/>
  <c r="Q720" i="86"/>
  <c r="P720" i="86"/>
  <c r="O720" i="86"/>
  <c r="AG719" i="86"/>
  <c r="AF719" i="86"/>
  <c r="AE719" i="86"/>
  <c r="AD719" i="86"/>
  <c r="AC719" i="86"/>
  <c r="AB719" i="86"/>
  <c r="AA719" i="86"/>
  <c r="Z719" i="86"/>
  <c r="Y719" i="86"/>
  <c r="X719" i="86"/>
  <c r="W719" i="86"/>
  <c r="V719" i="86"/>
  <c r="U719" i="86"/>
  <c r="T719" i="86"/>
  <c r="S719" i="86"/>
  <c r="R719" i="86"/>
  <c r="Q719" i="86"/>
  <c r="P719" i="86"/>
  <c r="O719" i="86"/>
  <c r="N719" i="86"/>
  <c r="AG718" i="86"/>
  <c r="AF718" i="86"/>
  <c r="AE718" i="86"/>
  <c r="AD718" i="86"/>
  <c r="AC718" i="86"/>
  <c r="AB718" i="86"/>
  <c r="AA718" i="86"/>
  <c r="Z718" i="86"/>
  <c r="Y718" i="86"/>
  <c r="X718" i="86"/>
  <c r="W718" i="86"/>
  <c r="V718" i="86"/>
  <c r="U718" i="86"/>
  <c r="T718" i="86"/>
  <c r="S718" i="86"/>
  <c r="R718" i="86"/>
  <c r="Q718" i="86"/>
  <c r="P718" i="86"/>
  <c r="O718" i="86"/>
  <c r="N718" i="86"/>
  <c r="AG717" i="86"/>
  <c r="AF717" i="86"/>
  <c r="AE717" i="86"/>
  <c r="AD717" i="86"/>
  <c r="AC717" i="86"/>
  <c r="AB717" i="86"/>
  <c r="AA717" i="86"/>
  <c r="Z717" i="86"/>
  <c r="Y717" i="86"/>
  <c r="X717" i="86"/>
  <c r="W717" i="86"/>
  <c r="V717" i="86"/>
  <c r="U717" i="86"/>
  <c r="T717" i="86"/>
  <c r="S717" i="86"/>
  <c r="R717" i="86"/>
  <c r="Q717" i="86"/>
  <c r="P717" i="86"/>
  <c r="O717" i="86"/>
  <c r="N717" i="86"/>
  <c r="AG716" i="86"/>
  <c r="AF716" i="86"/>
  <c r="AE716" i="86"/>
  <c r="AD716" i="86"/>
  <c r="AC716" i="86"/>
  <c r="AB716" i="86"/>
  <c r="AA716" i="86"/>
  <c r="Z716" i="86"/>
  <c r="Y716" i="86"/>
  <c r="X716" i="86"/>
  <c r="W716" i="86"/>
  <c r="V716" i="86"/>
  <c r="U716" i="86"/>
  <c r="T716" i="86"/>
  <c r="S716" i="86"/>
  <c r="R716" i="86"/>
  <c r="Q716" i="86"/>
  <c r="P716" i="86"/>
  <c r="O716" i="86"/>
  <c r="N716" i="86"/>
  <c r="AG715" i="86"/>
  <c r="AF715" i="86"/>
  <c r="AE715" i="86"/>
  <c r="AD715" i="86"/>
  <c r="AC715" i="86"/>
  <c r="AB715" i="86"/>
  <c r="AA715" i="86"/>
  <c r="Z715" i="86"/>
  <c r="Y715" i="86"/>
  <c r="X715" i="86"/>
  <c r="W715" i="86"/>
  <c r="V715" i="86"/>
  <c r="U715" i="86"/>
  <c r="T715" i="86"/>
  <c r="S715" i="86"/>
  <c r="R715" i="86"/>
  <c r="Q715" i="86"/>
  <c r="P715" i="86"/>
  <c r="O715" i="86"/>
  <c r="N715" i="86"/>
  <c r="AG714" i="86"/>
  <c r="AF714" i="86"/>
  <c r="AE714" i="86"/>
  <c r="AD714" i="86"/>
  <c r="AC714" i="86"/>
  <c r="AB714" i="86"/>
  <c r="AA714" i="86"/>
  <c r="Z714" i="86"/>
  <c r="Y714" i="86"/>
  <c r="X714" i="86"/>
  <c r="W714" i="86"/>
  <c r="V714" i="86"/>
  <c r="U714" i="86"/>
  <c r="T714" i="86"/>
  <c r="S714" i="86"/>
  <c r="R714" i="86"/>
  <c r="Q714" i="86"/>
  <c r="P714" i="86"/>
  <c r="O714" i="86"/>
  <c r="N714" i="86"/>
  <c r="AG686" i="86"/>
  <c r="AF686" i="86"/>
  <c r="AE686" i="86"/>
  <c r="AC686" i="86"/>
  <c r="AB686" i="86"/>
  <c r="AA686" i="86"/>
  <c r="Y686" i="86"/>
  <c r="X686" i="86"/>
  <c r="W686" i="86"/>
  <c r="V686" i="86"/>
  <c r="U686" i="86"/>
  <c r="T686" i="86"/>
  <c r="S686" i="86"/>
  <c r="R686" i="86"/>
  <c r="Q686" i="86"/>
  <c r="P686" i="86"/>
  <c r="O686" i="86"/>
  <c r="N686" i="86"/>
  <c r="AG685" i="86"/>
  <c r="AF685" i="86"/>
  <c r="AE685" i="86"/>
  <c r="AD685" i="86"/>
  <c r="AC685" i="86"/>
  <c r="AB685" i="86"/>
  <c r="AA685" i="86"/>
  <c r="Z685" i="86"/>
  <c r="Y685" i="86"/>
  <c r="X685" i="86"/>
  <c r="W685" i="86"/>
  <c r="V685" i="86"/>
  <c r="U685" i="86"/>
  <c r="T685" i="86"/>
  <c r="S685" i="86"/>
  <c r="R685" i="86"/>
  <c r="Q685" i="86"/>
  <c r="P685" i="86"/>
  <c r="O685" i="86"/>
  <c r="N685" i="86"/>
  <c r="AG684" i="86"/>
  <c r="AF684" i="86"/>
  <c r="AE684" i="86"/>
  <c r="AD684" i="86"/>
  <c r="AC684" i="86"/>
  <c r="AB684" i="86"/>
  <c r="AA684" i="86"/>
  <c r="Z684" i="86"/>
  <c r="Y684" i="86"/>
  <c r="X684" i="86"/>
  <c r="W684" i="86"/>
  <c r="V684" i="86"/>
  <c r="U684" i="86"/>
  <c r="T684" i="86"/>
  <c r="S684" i="86"/>
  <c r="R684" i="86"/>
  <c r="Q684" i="86"/>
  <c r="P684" i="86"/>
  <c r="O684" i="86"/>
  <c r="N684" i="86"/>
  <c r="AG683" i="86"/>
  <c r="AF683" i="86"/>
  <c r="AE683" i="86"/>
  <c r="AD683" i="86"/>
  <c r="AC683" i="86"/>
  <c r="AB683" i="86"/>
  <c r="AA683" i="86"/>
  <c r="Z683" i="86"/>
  <c r="Y683" i="86"/>
  <c r="X683" i="86"/>
  <c r="W683" i="86"/>
  <c r="V683" i="86"/>
  <c r="U683" i="86"/>
  <c r="T683" i="86"/>
  <c r="S683" i="86"/>
  <c r="R683" i="86"/>
  <c r="Q683" i="86"/>
  <c r="P683" i="86"/>
  <c r="O683" i="86"/>
  <c r="N683" i="86"/>
  <c r="AG682" i="86"/>
  <c r="AF682" i="86"/>
  <c r="AE682" i="86"/>
  <c r="AD682" i="86"/>
  <c r="AC682" i="86"/>
  <c r="AB682" i="86"/>
  <c r="AA682" i="86"/>
  <c r="Z682" i="86"/>
  <c r="Y682" i="86"/>
  <c r="X682" i="86"/>
  <c r="W682" i="86"/>
  <c r="V682" i="86"/>
  <c r="U682" i="86"/>
  <c r="T682" i="86"/>
  <c r="S682" i="86"/>
  <c r="R682" i="86"/>
  <c r="Q682" i="86"/>
  <c r="P682" i="86"/>
  <c r="O682" i="86"/>
  <c r="N682" i="86"/>
  <c r="AG681" i="86"/>
  <c r="AF681" i="86"/>
  <c r="AE681" i="86"/>
  <c r="AC681" i="86"/>
  <c r="AB681" i="86"/>
  <c r="AA681" i="86"/>
  <c r="Y681" i="86"/>
  <c r="X681" i="86"/>
  <c r="W681" i="86"/>
  <c r="U681" i="86"/>
  <c r="T681" i="86"/>
  <c r="S681" i="86"/>
  <c r="Q681" i="86"/>
  <c r="P681" i="86"/>
  <c r="O681" i="86"/>
  <c r="AG680" i="86"/>
  <c r="AF680" i="86"/>
  <c r="AE680" i="86"/>
  <c r="AD680" i="86"/>
  <c r="AC680" i="86"/>
  <c r="AB680" i="86"/>
  <c r="AA680" i="86"/>
  <c r="Z680" i="86"/>
  <c r="Y680" i="86"/>
  <c r="X680" i="86"/>
  <c r="W680" i="86"/>
  <c r="V680" i="86"/>
  <c r="U680" i="86"/>
  <c r="T680" i="86"/>
  <c r="S680" i="86"/>
  <c r="R680" i="86"/>
  <c r="Q680" i="86"/>
  <c r="P680" i="86"/>
  <c r="O680" i="86"/>
  <c r="N680" i="86"/>
  <c r="AG679" i="86"/>
  <c r="AF679" i="86"/>
  <c r="AE679" i="86"/>
  <c r="AD679" i="86"/>
  <c r="AC679" i="86"/>
  <c r="AB679" i="86"/>
  <c r="AA679" i="86"/>
  <c r="Z679" i="86"/>
  <c r="Y679" i="86"/>
  <c r="X679" i="86"/>
  <c r="W679" i="86"/>
  <c r="V679" i="86"/>
  <c r="U679" i="86"/>
  <c r="T679" i="86"/>
  <c r="S679" i="86"/>
  <c r="R679" i="86"/>
  <c r="Q679" i="86"/>
  <c r="P679" i="86"/>
  <c r="O679" i="86"/>
  <c r="N679" i="86"/>
  <c r="AG678" i="86"/>
  <c r="AF678" i="86"/>
  <c r="AE678" i="86"/>
  <c r="AD678" i="86"/>
  <c r="AC678" i="86"/>
  <c r="AB678" i="86"/>
  <c r="AA678" i="86"/>
  <c r="Z678" i="86"/>
  <c r="Y678" i="86"/>
  <c r="X678" i="86"/>
  <c r="W678" i="86"/>
  <c r="V678" i="86"/>
  <c r="U678" i="86"/>
  <c r="T678" i="86"/>
  <c r="S678" i="86"/>
  <c r="R678" i="86"/>
  <c r="Q678" i="86"/>
  <c r="P678" i="86"/>
  <c r="O678" i="86"/>
  <c r="N678" i="86"/>
  <c r="AG670" i="86"/>
  <c r="AF670" i="86"/>
  <c r="AE670" i="86"/>
  <c r="AC670" i="86"/>
  <c r="AB670" i="86"/>
  <c r="AA670" i="86"/>
  <c r="Y670" i="86"/>
  <c r="X670" i="86"/>
  <c r="W670" i="86"/>
  <c r="U670" i="86"/>
  <c r="T670" i="86"/>
  <c r="S670" i="86"/>
  <c r="Q670" i="86"/>
  <c r="P670" i="86"/>
  <c r="O670" i="86"/>
  <c r="M670" i="86"/>
  <c r="L670" i="86"/>
  <c r="K670" i="86"/>
  <c r="AG669" i="86"/>
  <c r="AF669" i="86"/>
  <c r="AE669" i="86"/>
  <c r="AC669" i="86"/>
  <c r="AB669" i="86"/>
  <c r="AA669" i="86"/>
  <c r="Y669" i="86"/>
  <c r="X669" i="86"/>
  <c r="W669" i="86"/>
  <c r="V669" i="86"/>
  <c r="U669" i="86"/>
  <c r="T669" i="86"/>
  <c r="S669" i="86"/>
  <c r="R669" i="86"/>
  <c r="Q669" i="86"/>
  <c r="P669" i="86"/>
  <c r="O669" i="86"/>
  <c r="N669" i="86"/>
  <c r="M669" i="86"/>
  <c r="L669" i="86"/>
  <c r="K669" i="86"/>
  <c r="I669" i="86"/>
  <c r="H669" i="86"/>
  <c r="G669" i="86"/>
  <c r="F669" i="86"/>
  <c r="E669" i="86"/>
  <c r="AG668" i="86"/>
  <c r="AF668" i="86"/>
  <c r="AE668" i="86"/>
  <c r="AD668" i="86"/>
  <c r="AC668" i="86"/>
  <c r="AB668" i="86"/>
  <c r="AA668" i="86"/>
  <c r="Z668" i="86"/>
  <c r="Y668" i="86"/>
  <c r="X668" i="86"/>
  <c r="W668" i="86"/>
  <c r="V668" i="86"/>
  <c r="U668" i="86"/>
  <c r="T668" i="86"/>
  <c r="S668" i="86"/>
  <c r="R668" i="86"/>
  <c r="Q668" i="86"/>
  <c r="P668" i="86"/>
  <c r="O668" i="86"/>
  <c r="N668" i="86"/>
  <c r="M668" i="86"/>
  <c r="L668" i="86"/>
  <c r="K668" i="86"/>
  <c r="J668" i="86"/>
  <c r="I668" i="86"/>
  <c r="H668" i="86"/>
  <c r="G668" i="86"/>
  <c r="F668" i="86"/>
  <c r="E668" i="86"/>
  <c r="AG637" i="86"/>
  <c r="AF637" i="86"/>
  <c r="AE637" i="86"/>
  <c r="AD637" i="86"/>
  <c r="AC637" i="86"/>
  <c r="AB637" i="86"/>
  <c r="AA637" i="86"/>
  <c r="Z637" i="86"/>
  <c r="Y637" i="86"/>
  <c r="X637" i="86"/>
  <c r="AG636" i="86"/>
  <c r="AF636" i="86"/>
  <c r="AE636" i="86"/>
  <c r="AD636" i="86"/>
  <c r="AC636" i="86"/>
  <c r="AB636" i="86"/>
  <c r="AA636" i="86"/>
  <c r="Z636" i="86"/>
  <c r="Y636" i="86"/>
  <c r="X636" i="86"/>
  <c r="W636" i="86"/>
  <c r="V636" i="86"/>
  <c r="U636" i="86"/>
  <c r="T636" i="86"/>
  <c r="S636" i="86"/>
  <c r="R636" i="86"/>
  <c r="Q636" i="86"/>
  <c r="P636" i="86"/>
  <c r="O636" i="86"/>
  <c r="N636" i="86"/>
  <c r="AG634" i="86"/>
  <c r="AF634" i="86"/>
  <c r="AE634" i="86"/>
  <c r="AD634" i="86"/>
  <c r="AC634" i="86"/>
  <c r="AB634" i="86"/>
  <c r="AA634" i="86"/>
  <c r="Z634" i="86"/>
  <c r="Y634" i="86"/>
  <c r="X634" i="86"/>
  <c r="W634" i="86"/>
  <c r="V634" i="86"/>
  <c r="U634" i="86"/>
  <c r="T634" i="86"/>
  <c r="S634" i="86"/>
  <c r="R634" i="86"/>
  <c r="Q634" i="86"/>
  <c r="P634" i="86"/>
  <c r="O634" i="86"/>
  <c r="N634" i="86"/>
  <c r="AG632" i="86"/>
  <c r="AF632" i="86"/>
  <c r="AE632" i="86"/>
  <c r="AD632" i="86"/>
  <c r="AC632" i="86"/>
  <c r="AB632" i="86"/>
  <c r="AA632" i="86"/>
  <c r="Z632" i="86"/>
  <c r="Y632" i="86"/>
  <c r="X632" i="86"/>
  <c r="W632" i="86"/>
  <c r="V632" i="86"/>
  <c r="U632" i="86"/>
  <c r="T632" i="86"/>
  <c r="S632" i="86"/>
  <c r="R632" i="86"/>
  <c r="Q632" i="86"/>
  <c r="P632" i="86"/>
  <c r="O632" i="86"/>
  <c r="N632" i="86"/>
  <c r="AG630" i="86"/>
  <c r="AF630" i="86"/>
  <c r="AE630" i="86"/>
  <c r="AD630" i="86"/>
  <c r="AC630" i="86"/>
  <c r="AB630" i="86"/>
  <c r="AA630" i="86"/>
  <c r="Z630" i="86"/>
  <c r="Y630" i="86"/>
  <c r="X630" i="86"/>
  <c r="W630" i="86"/>
  <c r="V630" i="86"/>
  <c r="U630" i="86"/>
  <c r="T630" i="86"/>
  <c r="S630" i="86"/>
  <c r="R630" i="86"/>
  <c r="Q630" i="86"/>
  <c r="P630" i="86"/>
  <c r="O630" i="86"/>
  <c r="N630" i="86"/>
  <c r="AG612" i="86"/>
  <c r="AF612" i="86"/>
  <c r="AE612" i="86"/>
  <c r="AD612" i="86"/>
  <c r="AC612" i="86"/>
  <c r="AB612" i="86"/>
  <c r="AA612" i="86"/>
  <c r="Z612" i="86"/>
  <c r="Y612" i="86"/>
  <c r="W612" i="86"/>
  <c r="V612" i="86"/>
  <c r="U612" i="86"/>
  <c r="T612" i="86"/>
  <c r="S612" i="86"/>
  <c r="R612" i="86"/>
  <c r="Q612" i="86"/>
  <c r="P612" i="86"/>
  <c r="O612" i="86"/>
  <c r="AG611" i="86"/>
  <c r="AF611" i="86"/>
  <c r="AE611" i="86"/>
  <c r="AD611" i="86"/>
  <c r="AC611" i="86"/>
  <c r="AB611" i="86"/>
  <c r="AA611" i="86"/>
  <c r="Z611" i="86"/>
  <c r="Y611" i="86"/>
  <c r="X611" i="86"/>
  <c r="W611" i="86"/>
  <c r="V611" i="86"/>
  <c r="U611" i="86"/>
  <c r="T611" i="86"/>
  <c r="S611" i="86"/>
  <c r="R611" i="86"/>
  <c r="Q611" i="86"/>
  <c r="P611" i="86"/>
  <c r="O611" i="86"/>
  <c r="N611" i="86"/>
  <c r="AG610" i="86"/>
  <c r="AF610" i="86"/>
  <c r="AE610" i="86"/>
  <c r="AD610" i="86"/>
  <c r="AC610" i="86"/>
  <c r="AB610" i="86"/>
  <c r="AA610" i="86"/>
  <c r="Z610" i="86"/>
  <c r="Y610" i="86"/>
  <c r="W610" i="86"/>
  <c r="V610" i="86"/>
  <c r="U610" i="86"/>
  <c r="T610" i="86"/>
  <c r="S610" i="86"/>
  <c r="R610" i="86"/>
  <c r="Q610" i="86"/>
  <c r="P610" i="86"/>
  <c r="O610" i="86"/>
  <c r="AG607" i="86"/>
  <c r="AF607" i="86"/>
  <c r="AE607" i="86"/>
  <c r="AD607" i="86"/>
  <c r="AC607" i="86"/>
  <c r="AB607" i="86"/>
  <c r="AA607" i="86"/>
  <c r="Z607" i="86"/>
  <c r="Y607" i="86"/>
  <c r="X607" i="86"/>
  <c r="W607" i="86"/>
  <c r="V607" i="86"/>
  <c r="U607" i="86"/>
  <c r="T607" i="86"/>
  <c r="S607" i="86"/>
  <c r="R607" i="86"/>
  <c r="Q607" i="86"/>
  <c r="P607" i="86"/>
  <c r="O607" i="86"/>
  <c r="N607" i="86"/>
  <c r="AG606" i="86"/>
  <c r="AF606" i="86"/>
  <c r="AE606" i="86"/>
  <c r="AD606" i="86"/>
  <c r="AC606" i="86"/>
  <c r="AB606" i="86"/>
  <c r="AA606" i="86"/>
  <c r="Z606" i="86"/>
  <c r="Y606" i="86"/>
  <c r="X606" i="86"/>
  <c r="W606" i="86"/>
  <c r="V606" i="86"/>
  <c r="U606" i="86"/>
  <c r="T606" i="86"/>
  <c r="S606" i="86"/>
  <c r="R606" i="86"/>
  <c r="Q606" i="86"/>
  <c r="P606" i="86"/>
  <c r="O606" i="86"/>
  <c r="N606" i="86"/>
  <c r="AG599" i="86"/>
  <c r="AF599" i="86"/>
  <c r="AE599" i="86"/>
  <c r="AD599" i="86"/>
  <c r="AC599" i="86"/>
  <c r="AB599" i="86"/>
  <c r="AA599" i="86"/>
  <c r="Z599" i="86"/>
  <c r="Y599" i="86"/>
  <c r="X599" i="86"/>
  <c r="W599" i="86"/>
  <c r="V599" i="86"/>
  <c r="U599" i="86"/>
  <c r="T599" i="86"/>
  <c r="S599" i="86"/>
  <c r="R599" i="86"/>
  <c r="Q599" i="86"/>
  <c r="P599" i="86"/>
  <c r="O599" i="86"/>
  <c r="N599" i="86"/>
  <c r="AG597" i="86"/>
  <c r="AF597" i="86"/>
  <c r="AE597" i="86"/>
  <c r="AD597" i="86"/>
  <c r="AC597" i="86"/>
  <c r="AB597" i="86"/>
  <c r="AA597" i="86"/>
  <c r="Z597" i="86"/>
  <c r="Y597" i="86"/>
  <c r="X597" i="86"/>
  <c r="W597" i="86"/>
  <c r="V597" i="86"/>
  <c r="U597" i="86"/>
  <c r="T597" i="86"/>
  <c r="S597" i="86"/>
  <c r="R597" i="86"/>
  <c r="Q597" i="86"/>
  <c r="P597" i="86"/>
  <c r="O597" i="86"/>
  <c r="N597" i="86"/>
  <c r="AG596" i="86"/>
  <c r="AF596" i="86"/>
  <c r="AE596" i="86"/>
  <c r="AD596" i="86"/>
  <c r="AC596" i="86"/>
  <c r="AB596" i="86"/>
  <c r="AA596" i="86"/>
  <c r="Z596" i="86"/>
  <c r="Y596" i="86"/>
  <c r="X596" i="86"/>
  <c r="W596" i="86"/>
  <c r="V596" i="86"/>
  <c r="U596" i="86"/>
  <c r="T596" i="86"/>
  <c r="S596" i="86"/>
  <c r="R596" i="86"/>
  <c r="Q596" i="86"/>
  <c r="P596" i="86"/>
  <c r="O596" i="86"/>
  <c r="N596" i="86"/>
  <c r="AG595" i="86"/>
  <c r="AF595" i="86"/>
  <c r="AE595" i="86"/>
  <c r="AD595" i="86"/>
  <c r="AC595" i="86"/>
  <c r="AB595" i="86"/>
  <c r="AA595" i="86"/>
  <c r="Z595" i="86"/>
  <c r="Y595" i="86"/>
  <c r="X595" i="86"/>
  <c r="W595" i="86"/>
  <c r="V595" i="86"/>
  <c r="U595" i="86"/>
  <c r="T595" i="86"/>
  <c r="S595" i="86"/>
  <c r="R595" i="86"/>
  <c r="Q595" i="86"/>
  <c r="P595" i="86"/>
  <c r="O595" i="86"/>
  <c r="N595" i="86"/>
  <c r="AG594" i="86"/>
  <c r="AF594" i="86"/>
  <c r="AE594" i="86"/>
  <c r="AD594" i="86"/>
  <c r="AC594" i="86"/>
  <c r="AB594" i="86"/>
  <c r="AA594" i="86"/>
  <c r="Z594" i="86"/>
  <c r="Y594" i="86"/>
  <c r="X594" i="86"/>
  <c r="W594" i="86"/>
  <c r="V594" i="86"/>
  <c r="U594" i="86"/>
  <c r="T594" i="86"/>
  <c r="S594" i="86"/>
  <c r="R594" i="86"/>
  <c r="Q594" i="86"/>
  <c r="P594" i="86"/>
  <c r="O594" i="86"/>
  <c r="N594" i="86"/>
  <c r="AG593" i="86"/>
  <c r="AF593" i="86"/>
  <c r="AE593" i="86"/>
  <c r="AD593" i="86"/>
  <c r="AC593" i="86"/>
  <c r="AB593" i="86"/>
  <c r="AA593" i="86"/>
  <c r="Z593" i="86"/>
  <c r="Y593" i="86"/>
  <c r="X593" i="86"/>
  <c r="W593" i="86"/>
  <c r="V593" i="86"/>
  <c r="U593" i="86"/>
  <c r="T593" i="86"/>
  <c r="S593" i="86"/>
  <c r="R593" i="86"/>
  <c r="Q593" i="86"/>
  <c r="P593" i="86"/>
  <c r="O593" i="86"/>
  <c r="N593" i="86"/>
  <c r="AG592" i="86"/>
  <c r="AF592" i="86"/>
  <c r="AE592" i="86"/>
  <c r="AD592" i="86"/>
  <c r="AC592" i="86"/>
  <c r="AB592" i="86"/>
  <c r="AA592" i="86"/>
  <c r="Z592" i="86"/>
  <c r="Y592" i="86"/>
  <c r="X592" i="86"/>
  <c r="W592" i="86"/>
  <c r="V592" i="86"/>
  <c r="U592" i="86"/>
  <c r="T592" i="86"/>
  <c r="S592" i="86"/>
  <c r="R592" i="86"/>
  <c r="Q592" i="86"/>
  <c r="P592" i="86"/>
  <c r="O592" i="86"/>
  <c r="N592" i="86"/>
  <c r="AG591" i="86"/>
  <c r="AF591" i="86"/>
  <c r="AE591" i="86"/>
  <c r="AD591" i="86"/>
  <c r="AC591" i="86"/>
  <c r="AB591" i="86"/>
  <c r="AA591" i="86"/>
  <c r="Z591" i="86"/>
  <c r="Y591" i="86"/>
  <c r="X591" i="86"/>
  <c r="W591" i="86"/>
  <c r="V591" i="86"/>
  <c r="U591" i="86"/>
  <c r="T591" i="86"/>
  <c r="S591" i="86"/>
  <c r="R591" i="86"/>
  <c r="Q591" i="86"/>
  <c r="P591" i="86"/>
  <c r="O591" i="86"/>
  <c r="N591" i="86"/>
  <c r="AG590" i="86"/>
  <c r="AF590" i="86"/>
  <c r="AE590" i="86"/>
  <c r="AD590" i="86"/>
  <c r="AC590" i="86"/>
  <c r="AB590" i="86"/>
  <c r="AA590" i="86"/>
  <c r="Z590" i="86"/>
  <c r="Y590" i="86"/>
  <c r="X590" i="86"/>
  <c r="W590" i="86"/>
  <c r="V590" i="86"/>
  <c r="U590" i="86"/>
  <c r="T590" i="86"/>
  <c r="S590" i="86"/>
  <c r="R590" i="86"/>
  <c r="Q590" i="86"/>
  <c r="P590" i="86"/>
  <c r="O590" i="86"/>
  <c r="N590" i="86"/>
  <c r="AG589" i="86"/>
  <c r="AF589" i="86"/>
  <c r="AE589" i="86"/>
  <c r="AD589" i="86"/>
  <c r="AC589" i="86"/>
  <c r="AB589" i="86"/>
  <c r="AA589" i="86"/>
  <c r="Z589" i="86"/>
  <c r="Y589" i="86"/>
  <c r="X589" i="86"/>
  <c r="W589" i="86"/>
  <c r="V589" i="86"/>
  <c r="U589" i="86"/>
  <c r="T589" i="86"/>
  <c r="S589" i="86"/>
  <c r="R589" i="86"/>
  <c r="Q589" i="86"/>
  <c r="P589" i="86"/>
  <c r="O589" i="86"/>
  <c r="N589" i="86"/>
  <c r="AG588" i="86"/>
  <c r="AF588" i="86"/>
  <c r="AE588" i="86"/>
  <c r="AD588" i="86"/>
  <c r="AC588" i="86"/>
  <c r="AB588" i="86"/>
  <c r="AA588" i="86"/>
  <c r="Z588" i="86"/>
  <c r="Y588" i="86"/>
  <c r="X588" i="86"/>
  <c r="W588" i="86"/>
  <c r="V588" i="86"/>
  <c r="U588" i="86"/>
  <c r="T588" i="86"/>
  <c r="S588" i="86"/>
  <c r="R588" i="86"/>
  <c r="Q588" i="86"/>
  <c r="P588" i="86"/>
  <c r="O588" i="86"/>
  <c r="N588" i="86"/>
  <c r="AG587" i="86"/>
  <c r="AF587" i="86"/>
  <c r="AE587" i="86"/>
  <c r="AD587" i="86"/>
  <c r="AC587" i="86"/>
  <c r="AB587" i="86"/>
  <c r="AA587" i="86"/>
  <c r="Z587" i="86"/>
  <c r="Y587" i="86"/>
  <c r="X587" i="86"/>
  <c r="W587" i="86"/>
  <c r="V587" i="86"/>
  <c r="U587" i="86"/>
  <c r="T587" i="86"/>
  <c r="S587" i="86"/>
  <c r="R587" i="86"/>
  <c r="Q587" i="86"/>
  <c r="P587" i="86"/>
  <c r="O587" i="86"/>
  <c r="N587" i="86"/>
  <c r="AG586" i="86"/>
  <c r="AF586" i="86"/>
  <c r="AE586" i="86"/>
  <c r="AD586" i="86"/>
  <c r="AC586" i="86"/>
  <c r="AB586" i="86"/>
  <c r="AA586" i="86"/>
  <c r="Z586" i="86"/>
  <c r="Y586" i="86"/>
  <c r="X586" i="86"/>
  <c r="W586" i="86"/>
  <c r="V586" i="86"/>
  <c r="U586" i="86"/>
  <c r="T586" i="86"/>
  <c r="S586" i="86"/>
  <c r="R586" i="86"/>
  <c r="Q586" i="86"/>
  <c r="P586" i="86"/>
  <c r="O586" i="86"/>
  <c r="N586" i="86"/>
  <c r="AG585" i="86"/>
  <c r="AF585" i="86"/>
  <c r="AE585" i="86"/>
  <c r="AD585" i="86"/>
  <c r="AC585" i="86"/>
  <c r="AB585" i="86"/>
  <c r="AA585" i="86"/>
  <c r="Z585" i="86"/>
  <c r="Y585" i="86"/>
  <c r="X585" i="86"/>
  <c r="W585" i="86"/>
  <c r="V585" i="86"/>
  <c r="U585" i="86"/>
  <c r="T585" i="86"/>
  <c r="S585" i="86"/>
  <c r="R585" i="86"/>
  <c r="Q585" i="86"/>
  <c r="P585" i="86"/>
  <c r="O585" i="86"/>
  <c r="N585" i="86"/>
  <c r="AG584" i="86"/>
  <c r="AF584" i="86"/>
  <c r="AE584" i="86"/>
  <c r="AD584" i="86"/>
  <c r="AC584" i="86"/>
  <c r="AB584" i="86"/>
  <c r="AA584" i="86"/>
  <c r="Z584" i="86"/>
  <c r="Y584" i="86"/>
  <c r="X584" i="86"/>
  <c r="W584" i="86"/>
  <c r="V584" i="86"/>
  <c r="U584" i="86"/>
  <c r="T584" i="86"/>
  <c r="S584" i="86"/>
  <c r="R584" i="86"/>
  <c r="Q584" i="86"/>
  <c r="P584" i="86"/>
  <c r="O584" i="86"/>
  <c r="N584" i="86"/>
  <c r="AG583" i="86"/>
  <c r="AF583" i="86"/>
  <c r="AE583" i="86"/>
  <c r="AD583" i="86"/>
  <c r="AC583" i="86"/>
  <c r="AB583" i="86"/>
  <c r="AA583" i="86"/>
  <c r="Z583" i="86"/>
  <c r="Y583" i="86"/>
  <c r="X583" i="86"/>
  <c r="W583" i="86"/>
  <c r="V583" i="86"/>
  <c r="U583" i="86"/>
  <c r="T583" i="86"/>
  <c r="S583" i="86"/>
  <c r="R583" i="86"/>
  <c r="Q583" i="86"/>
  <c r="P583" i="86"/>
  <c r="O583" i="86"/>
  <c r="N583" i="86"/>
  <c r="AG582" i="86"/>
  <c r="AF582" i="86"/>
  <c r="AE582" i="86"/>
  <c r="AD582" i="86"/>
  <c r="AC582" i="86"/>
  <c r="AB582" i="86"/>
  <c r="AA582" i="86"/>
  <c r="Z582" i="86"/>
  <c r="Y582" i="86"/>
  <c r="X582" i="86"/>
  <c r="W582" i="86"/>
  <c r="V582" i="86"/>
  <c r="U582" i="86"/>
  <c r="T582" i="86"/>
  <c r="S582" i="86"/>
  <c r="R582" i="86"/>
  <c r="Q582" i="86"/>
  <c r="P582" i="86"/>
  <c r="O582" i="86"/>
  <c r="N582" i="86"/>
  <c r="AG574" i="86"/>
  <c r="AF574" i="86"/>
  <c r="AE574" i="86"/>
  <c r="AD574" i="86"/>
  <c r="AC574" i="86"/>
  <c r="AB574" i="86"/>
  <c r="AA574" i="86"/>
  <c r="Z574" i="86"/>
  <c r="Y574" i="86"/>
  <c r="X574" i="86"/>
  <c r="W574" i="86"/>
  <c r="V574" i="86"/>
  <c r="U574" i="86"/>
  <c r="T574" i="86"/>
  <c r="S574" i="86"/>
  <c r="R574" i="86"/>
  <c r="Q574" i="86"/>
  <c r="P574" i="86"/>
  <c r="O574" i="86"/>
  <c r="N574" i="86"/>
  <c r="AG573" i="86"/>
  <c r="AF573" i="86"/>
  <c r="AE573" i="86"/>
  <c r="AD573" i="86"/>
  <c r="AC573" i="86"/>
  <c r="AB573" i="86"/>
  <c r="AA573" i="86"/>
  <c r="Z573" i="86"/>
  <c r="Y573" i="86"/>
  <c r="X573" i="86"/>
  <c r="W573" i="86"/>
  <c r="V573" i="86"/>
  <c r="U573" i="86"/>
  <c r="T573" i="86"/>
  <c r="S573" i="86"/>
  <c r="R573" i="86"/>
  <c r="Q573" i="86"/>
  <c r="P573" i="86"/>
  <c r="O573" i="86"/>
  <c r="N573" i="86"/>
  <c r="AG572" i="86"/>
  <c r="AF572" i="86"/>
  <c r="AE572" i="86"/>
  <c r="AD572" i="86"/>
  <c r="AC572" i="86"/>
  <c r="AB572" i="86"/>
  <c r="AA572" i="86"/>
  <c r="Z572" i="86"/>
  <c r="Y572" i="86"/>
  <c r="W572" i="86"/>
  <c r="V572" i="86"/>
  <c r="U572" i="86"/>
  <c r="T572" i="86"/>
  <c r="S572" i="86"/>
  <c r="R572" i="86"/>
  <c r="Q572" i="86"/>
  <c r="P572" i="86"/>
  <c r="O572" i="86"/>
  <c r="AG571" i="86"/>
  <c r="AF571" i="86"/>
  <c r="AE571" i="86"/>
  <c r="AD571" i="86"/>
  <c r="AC571" i="86"/>
  <c r="AB571" i="86"/>
  <c r="AA571" i="86"/>
  <c r="Z571" i="86"/>
  <c r="Y571" i="86"/>
  <c r="X571" i="86"/>
  <c r="W571" i="86"/>
  <c r="V571" i="86"/>
  <c r="U571" i="86"/>
  <c r="T571" i="86"/>
  <c r="S571" i="86"/>
  <c r="R571" i="86"/>
  <c r="Q571" i="86"/>
  <c r="P571" i="86"/>
  <c r="O571" i="86"/>
  <c r="N571" i="86"/>
  <c r="AG570" i="86"/>
  <c r="AF570" i="86"/>
  <c r="AE570" i="86"/>
  <c r="AD570" i="86"/>
  <c r="AC570" i="86"/>
  <c r="AB570" i="86"/>
  <c r="AA570" i="86"/>
  <c r="Z570" i="86"/>
  <c r="Y570" i="86"/>
  <c r="X570" i="86"/>
  <c r="W570" i="86"/>
  <c r="V570" i="86"/>
  <c r="U570" i="86"/>
  <c r="T570" i="86"/>
  <c r="S570" i="86"/>
  <c r="R570" i="86"/>
  <c r="Q570" i="86"/>
  <c r="P570" i="86"/>
  <c r="O570" i="86"/>
  <c r="N570" i="86"/>
  <c r="AG569" i="86"/>
  <c r="AF569" i="86"/>
  <c r="AE569" i="86"/>
  <c r="AD569" i="86"/>
  <c r="AC569" i="86"/>
  <c r="AB569" i="86"/>
  <c r="AA569" i="86"/>
  <c r="Z569" i="86"/>
  <c r="Y569" i="86"/>
  <c r="W569" i="86"/>
  <c r="V569" i="86"/>
  <c r="U569" i="86"/>
  <c r="T569" i="86"/>
  <c r="S569" i="86"/>
  <c r="R569" i="86"/>
  <c r="Q569" i="86"/>
  <c r="P569" i="86"/>
  <c r="O569" i="86"/>
  <c r="AG548" i="86"/>
  <c r="AF548" i="86"/>
  <c r="AE548" i="86"/>
  <c r="AD548" i="86"/>
  <c r="W548" i="86"/>
  <c r="V548" i="86"/>
  <c r="U548" i="86"/>
  <c r="T548" i="86"/>
  <c r="S548" i="86"/>
  <c r="R548" i="86"/>
  <c r="Q548" i="86"/>
  <c r="P548" i="86"/>
  <c r="O548" i="86"/>
  <c r="N548" i="86"/>
  <c r="M548" i="86"/>
  <c r="L548" i="86"/>
  <c r="K548" i="86"/>
  <c r="J548" i="86"/>
  <c r="I548" i="86"/>
  <c r="AG547" i="86"/>
  <c r="AF547" i="86"/>
  <c r="AE547" i="86"/>
  <c r="AD547" i="86"/>
  <c r="W547" i="86"/>
  <c r="V547" i="86"/>
  <c r="U547" i="86"/>
  <c r="T547" i="86"/>
  <c r="S547" i="86"/>
  <c r="R547" i="86"/>
  <c r="Q547" i="86"/>
  <c r="P547" i="86"/>
  <c r="O547" i="86"/>
  <c r="N547" i="86"/>
  <c r="M547" i="86"/>
  <c r="L547" i="86"/>
  <c r="K547" i="86"/>
  <c r="J547" i="86"/>
  <c r="I547" i="86"/>
  <c r="AG546" i="86"/>
  <c r="AF546" i="86"/>
  <c r="AE546" i="86"/>
  <c r="AD546" i="86"/>
  <c r="AB546" i="86"/>
  <c r="AA546" i="86"/>
  <c r="Z546" i="86"/>
  <c r="Y546" i="86"/>
  <c r="X546" i="86"/>
  <c r="W546" i="86"/>
  <c r="V546" i="86"/>
  <c r="U546" i="86"/>
  <c r="T546" i="86"/>
  <c r="S546" i="86"/>
  <c r="R546" i="86"/>
  <c r="Q546" i="86"/>
  <c r="P546" i="86"/>
  <c r="O546" i="86"/>
  <c r="N546" i="86"/>
  <c r="M546" i="86"/>
  <c r="L546" i="86"/>
  <c r="K546" i="86"/>
  <c r="J546" i="86"/>
  <c r="I546" i="86"/>
  <c r="AG544" i="86"/>
  <c r="AF544" i="86"/>
  <c r="AE544" i="86"/>
  <c r="AD544" i="86"/>
  <c r="AB544" i="86"/>
  <c r="AA544" i="86"/>
  <c r="Z544" i="86"/>
  <c r="Y544" i="86"/>
  <c r="X544" i="86"/>
  <c r="W544" i="86"/>
  <c r="V544" i="86"/>
  <c r="U544" i="86"/>
  <c r="T544" i="86"/>
  <c r="S544" i="86"/>
  <c r="R544" i="86"/>
  <c r="Q544" i="86"/>
  <c r="P544" i="86"/>
  <c r="O544" i="86"/>
  <c r="N544" i="86"/>
  <c r="M544" i="86"/>
  <c r="L544" i="86"/>
  <c r="K544" i="86"/>
  <c r="J544" i="86"/>
  <c r="I544" i="86"/>
  <c r="H538" i="86"/>
  <c r="G538" i="86"/>
  <c r="F538" i="86"/>
  <c r="E538" i="86"/>
  <c r="H537" i="86"/>
  <c r="G537" i="86"/>
  <c r="F537" i="86"/>
  <c r="E537" i="86"/>
  <c r="H536" i="86"/>
  <c r="G536" i="86"/>
  <c r="F536" i="86"/>
  <c r="E536" i="86"/>
  <c r="AG537" i="86"/>
  <c r="AF537" i="86"/>
  <c r="AE537" i="86"/>
  <c r="AD537" i="86"/>
  <c r="W537" i="86"/>
  <c r="V537" i="86"/>
  <c r="U537" i="86"/>
  <c r="T537" i="86"/>
  <c r="S537" i="86"/>
  <c r="R537" i="86"/>
  <c r="Q537" i="86"/>
  <c r="P537" i="86"/>
  <c r="O537" i="86"/>
  <c r="N537" i="86"/>
  <c r="M537" i="86"/>
  <c r="L537" i="86"/>
  <c r="K537" i="86"/>
  <c r="J537" i="86"/>
  <c r="I537" i="86"/>
  <c r="AG536" i="86"/>
  <c r="AF536" i="86"/>
  <c r="AE536" i="86"/>
  <c r="AD536" i="86"/>
  <c r="W536" i="86"/>
  <c r="V536" i="86"/>
  <c r="U536" i="86"/>
  <c r="T536" i="86"/>
  <c r="S536" i="86"/>
  <c r="R536" i="86"/>
  <c r="Q536" i="86"/>
  <c r="P536" i="86"/>
  <c r="O536" i="86"/>
  <c r="N536" i="86"/>
  <c r="M536" i="86"/>
  <c r="L536" i="86"/>
  <c r="K536" i="86"/>
  <c r="J536" i="86"/>
  <c r="I536" i="86"/>
  <c r="AG535" i="86"/>
  <c r="AF535" i="86"/>
  <c r="AE535" i="86"/>
  <c r="AD535" i="86"/>
  <c r="AB535" i="86"/>
  <c r="AA535" i="86"/>
  <c r="Z535" i="86"/>
  <c r="Y535" i="86"/>
  <c r="X535" i="86"/>
  <c r="W535" i="86"/>
  <c r="V535" i="86"/>
  <c r="U535" i="86"/>
  <c r="T535" i="86"/>
  <c r="S535" i="86"/>
  <c r="R535" i="86"/>
  <c r="Q535" i="86"/>
  <c r="P535" i="86"/>
  <c r="O535" i="86"/>
  <c r="N535" i="86"/>
  <c r="M535" i="86"/>
  <c r="L535" i="86"/>
  <c r="K535" i="86"/>
  <c r="J535" i="86"/>
  <c r="I535" i="86"/>
  <c r="AG521" i="86"/>
  <c r="AF521" i="86"/>
  <c r="AE521" i="86"/>
  <c r="AD521" i="86"/>
  <c r="AC521" i="86"/>
  <c r="AB521" i="86"/>
  <c r="AA521" i="86"/>
  <c r="Z521" i="86"/>
  <c r="Y521" i="86"/>
  <c r="X521" i="86"/>
  <c r="W521" i="86"/>
  <c r="V521" i="86"/>
  <c r="U521" i="86"/>
  <c r="T521" i="86"/>
  <c r="S521" i="86"/>
  <c r="AG518" i="86"/>
  <c r="AF518" i="86"/>
  <c r="AE518" i="86"/>
  <c r="AD518" i="86"/>
  <c r="AC518" i="86"/>
  <c r="AB518" i="86"/>
  <c r="AA518" i="86"/>
  <c r="Z518" i="86"/>
  <c r="Y518" i="86"/>
  <c r="X518" i="86"/>
  <c r="W518" i="86"/>
  <c r="V518" i="86"/>
  <c r="U518" i="86"/>
  <c r="T518" i="86"/>
  <c r="S518" i="86"/>
  <c r="R518" i="86"/>
  <c r="AG511" i="86"/>
  <c r="AF511" i="86"/>
  <c r="AE511" i="86"/>
  <c r="AD511" i="86"/>
  <c r="AC511" i="86"/>
  <c r="AB511" i="86"/>
  <c r="AA511" i="86"/>
  <c r="Z511" i="86"/>
  <c r="Y511" i="86"/>
  <c r="X511" i="86"/>
  <c r="W511" i="86"/>
  <c r="V511" i="86"/>
  <c r="U511" i="86"/>
  <c r="T511" i="86"/>
  <c r="S511" i="86"/>
  <c r="R511" i="86"/>
  <c r="X496" i="86"/>
  <c r="W496" i="86"/>
  <c r="V496" i="86"/>
  <c r="U496" i="86"/>
  <c r="T496" i="86"/>
  <c r="S496" i="86"/>
  <c r="R496" i="86"/>
  <c r="Q496" i="86"/>
  <c r="P496" i="86"/>
  <c r="X495" i="86"/>
  <c r="W495" i="86"/>
  <c r="V495" i="86"/>
  <c r="U495" i="86"/>
  <c r="T495" i="86"/>
  <c r="S495" i="86"/>
  <c r="R495" i="86"/>
  <c r="Q495" i="86"/>
  <c r="P495" i="86"/>
  <c r="O495" i="86"/>
  <c r="N495" i="86"/>
  <c r="M495" i="86"/>
  <c r="L495" i="86"/>
  <c r="K495" i="86"/>
  <c r="J495" i="86"/>
  <c r="I495" i="86"/>
  <c r="H495" i="86"/>
  <c r="G495" i="86"/>
  <c r="F495" i="86"/>
  <c r="E495" i="86"/>
  <c r="X480" i="86"/>
  <c r="N480" i="86"/>
  <c r="X479" i="86"/>
  <c r="N479" i="86"/>
  <c r="X471" i="86"/>
  <c r="N471" i="86"/>
  <c r="X470" i="86"/>
  <c r="N470" i="86"/>
  <c r="X469" i="86"/>
  <c r="N469" i="86"/>
  <c r="M441" i="86"/>
  <c r="M440" i="86"/>
  <c r="M436" i="86"/>
  <c r="T435" i="86"/>
  <c r="M435" i="86"/>
  <c r="AA409" i="86"/>
  <c r="V409" i="86"/>
  <c r="Q409" i="86"/>
  <c r="AA404" i="86"/>
  <c r="X404" i="86"/>
  <c r="L404" i="86"/>
  <c r="I404" i="86"/>
  <c r="T392" i="86"/>
  <c r="T391" i="86"/>
  <c r="AF373" i="86"/>
  <c r="AA373" i="86"/>
  <c r="V373" i="86"/>
  <c r="Q373" i="86"/>
  <c r="L373" i="86"/>
  <c r="AF372" i="86"/>
  <c r="AF371" i="86"/>
  <c r="AF370" i="86"/>
  <c r="AF369" i="86"/>
  <c r="AF368" i="86"/>
  <c r="AF367" i="86"/>
  <c r="AF366" i="86"/>
  <c r="V366" i="86"/>
  <c r="S366" i="86"/>
  <c r="L366" i="86"/>
  <c r="I366" i="86"/>
  <c r="AE339" i="86"/>
  <c r="AB339" i="86"/>
  <c r="Y339" i="86"/>
  <c r="V339" i="86"/>
  <c r="S339" i="86"/>
  <c r="AE338" i="86"/>
  <c r="AB338" i="86"/>
  <c r="Y338" i="86"/>
  <c r="V338" i="86"/>
  <c r="S338" i="86"/>
  <c r="AC329" i="86"/>
  <c r="Z329" i="86"/>
  <c r="W329" i="86"/>
  <c r="T329" i="86"/>
  <c r="Q329" i="86"/>
  <c r="N329" i="86"/>
  <c r="K329" i="86"/>
  <c r="H329" i="86"/>
  <c r="AC328" i="86"/>
  <c r="Z328" i="86"/>
  <c r="W328" i="86"/>
  <c r="T328" i="86"/>
  <c r="Q328" i="86"/>
  <c r="N328" i="86"/>
  <c r="K328" i="86"/>
  <c r="H328" i="86"/>
  <c r="AC327" i="86"/>
  <c r="Z327" i="86"/>
  <c r="W327" i="86"/>
  <c r="T327" i="86"/>
  <c r="Q327" i="86"/>
  <c r="N327" i="86"/>
  <c r="K327" i="86"/>
  <c r="H327" i="86"/>
  <c r="AC323" i="86"/>
  <c r="Z323" i="86"/>
  <c r="W323" i="86"/>
  <c r="T323" i="86"/>
  <c r="Q323" i="86"/>
  <c r="N323" i="86"/>
  <c r="K323" i="86"/>
  <c r="H323" i="86"/>
  <c r="AC322" i="86"/>
  <c r="Z322" i="86"/>
  <c r="W322" i="86"/>
  <c r="T322" i="86"/>
  <c r="Q322" i="86"/>
  <c r="N322" i="86"/>
  <c r="K322" i="86"/>
  <c r="H322" i="86"/>
  <c r="AC321" i="86"/>
  <c r="Z321" i="86"/>
  <c r="W321" i="86"/>
  <c r="T321" i="86"/>
  <c r="Q321" i="86"/>
  <c r="N321" i="86"/>
  <c r="K321" i="86"/>
  <c r="H321" i="86"/>
  <c r="AC318" i="86"/>
  <c r="Z318" i="86"/>
  <c r="W318" i="86"/>
  <c r="T318" i="86"/>
  <c r="Q318" i="86"/>
  <c r="N318" i="86"/>
  <c r="K318" i="86"/>
  <c r="H318" i="86"/>
  <c r="AC317" i="86"/>
  <c r="Z317" i="86"/>
  <c r="W317" i="86"/>
  <c r="T317" i="86"/>
  <c r="Q317" i="86"/>
  <c r="N317" i="86"/>
  <c r="K317" i="86"/>
  <c r="H317" i="86"/>
  <c r="AC316" i="86"/>
  <c r="Z316" i="86"/>
  <c r="W316" i="86"/>
  <c r="T316" i="86"/>
  <c r="Q316" i="86"/>
  <c r="N316" i="86"/>
  <c r="K316" i="86"/>
  <c r="H316" i="86"/>
  <c r="AC315" i="86"/>
  <c r="Z315" i="86"/>
  <c r="W315" i="86"/>
  <c r="T315" i="86"/>
  <c r="Q315" i="86"/>
  <c r="N315" i="86"/>
  <c r="K315" i="86"/>
  <c r="H315" i="86"/>
  <c r="AC304" i="86"/>
  <c r="Z304" i="86"/>
  <c r="W304" i="86"/>
  <c r="T304" i="86"/>
  <c r="Q304" i="86"/>
  <c r="N304" i="86"/>
  <c r="K304" i="86"/>
  <c r="H304" i="86"/>
  <c r="AC303" i="86"/>
  <c r="Z303" i="86"/>
  <c r="W303" i="86"/>
  <c r="T303" i="86"/>
  <c r="Q303" i="86"/>
  <c r="N303" i="86"/>
  <c r="K303" i="86"/>
  <c r="H303" i="86"/>
  <c r="AC302" i="86"/>
  <c r="Z302" i="86"/>
  <c r="W302" i="86"/>
  <c r="T302" i="86"/>
  <c r="Q302" i="86"/>
  <c r="N302" i="86"/>
  <c r="K302" i="86"/>
  <c r="H302" i="86"/>
  <c r="AC298" i="86"/>
  <c r="Z298" i="86"/>
  <c r="W298" i="86"/>
  <c r="T298" i="86"/>
  <c r="Q298" i="86"/>
  <c r="N298" i="86"/>
  <c r="K298" i="86"/>
  <c r="H298" i="86"/>
  <c r="AC297" i="86"/>
  <c r="Z297" i="86"/>
  <c r="W297" i="86"/>
  <c r="T297" i="86"/>
  <c r="Q297" i="86"/>
  <c r="N297" i="86"/>
  <c r="K297" i="86"/>
  <c r="H297" i="86"/>
  <c r="AC296" i="86"/>
  <c r="Z296" i="86"/>
  <c r="W296" i="86"/>
  <c r="T296" i="86"/>
  <c r="Q296" i="86"/>
  <c r="N296" i="86"/>
  <c r="K296" i="86"/>
  <c r="H296" i="86"/>
  <c r="AC293" i="86"/>
  <c r="Z293" i="86"/>
  <c r="W293" i="86"/>
  <c r="T293" i="86"/>
  <c r="Q293" i="86"/>
  <c r="N293" i="86"/>
  <c r="K293" i="86"/>
  <c r="H293" i="86"/>
  <c r="AC292" i="86"/>
  <c r="Z292" i="86"/>
  <c r="W292" i="86"/>
  <c r="T292" i="86"/>
  <c r="Q292" i="86"/>
  <c r="N292" i="86"/>
  <c r="K292" i="86"/>
  <c r="H292" i="86"/>
  <c r="AC291" i="86"/>
  <c r="Z291" i="86"/>
  <c r="W291" i="86"/>
  <c r="T291" i="86"/>
  <c r="Q291" i="86"/>
  <c r="N291" i="86"/>
  <c r="K291" i="86"/>
  <c r="H291" i="86"/>
  <c r="AC290" i="86"/>
  <c r="Z290" i="86"/>
  <c r="W290" i="86"/>
  <c r="T290" i="86"/>
  <c r="Q290" i="86"/>
  <c r="N290" i="86"/>
  <c r="K290" i="86"/>
  <c r="H290" i="86"/>
  <c r="AE272" i="86"/>
  <c r="AB272" i="86"/>
  <c r="Y272" i="86"/>
  <c r="V272" i="86"/>
  <c r="S272" i="86"/>
  <c r="AE271" i="86"/>
  <c r="AB271" i="86"/>
  <c r="Y271" i="86"/>
  <c r="V271" i="86"/>
  <c r="S271" i="86"/>
  <c r="AB260" i="86"/>
  <c r="Y260" i="86"/>
  <c r="V260" i="86"/>
  <c r="S260" i="86"/>
  <c r="P260" i="86"/>
  <c r="M260" i="86"/>
  <c r="J260" i="86"/>
  <c r="AB259" i="86"/>
  <c r="Y259" i="86"/>
  <c r="V259" i="86"/>
  <c r="S259" i="86"/>
  <c r="P259" i="86"/>
  <c r="M259" i="86"/>
  <c r="J259" i="86"/>
  <c r="AB258" i="86"/>
  <c r="Y258" i="86"/>
  <c r="V258" i="86"/>
  <c r="S258" i="86"/>
  <c r="P258" i="86"/>
  <c r="M258" i="86"/>
  <c r="J258" i="86"/>
  <c r="AB254" i="86"/>
  <c r="Y254" i="86"/>
  <c r="V254" i="86"/>
  <c r="S254" i="86"/>
  <c r="P254" i="86"/>
  <c r="M254" i="86"/>
  <c r="J254" i="86"/>
  <c r="AB253" i="86"/>
  <c r="Y253" i="86"/>
  <c r="V253" i="86"/>
  <c r="S253" i="86"/>
  <c r="P253" i="86"/>
  <c r="M253" i="86"/>
  <c r="J253" i="86"/>
  <c r="AB252" i="86"/>
  <c r="Y252" i="86"/>
  <c r="V252" i="86"/>
  <c r="S252" i="86"/>
  <c r="P252" i="86"/>
  <c r="M252" i="86"/>
  <c r="J252" i="86"/>
  <c r="AB249" i="86"/>
  <c r="Y249" i="86"/>
  <c r="V249" i="86"/>
  <c r="S249" i="86"/>
  <c r="P249" i="86"/>
  <c r="M249" i="86"/>
  <c r="J249" i="86"/>
  <c r="AB248" i="86"/>
  <c r="Y248" i="86"/>
  <c r="V248" i="86"/>
  <c r="S248" i="86"/>
  <c r="P248" i="86"/>
  <c r="M248" i="86"/>
  <c r="J248" i="86"/>
  <c r="AB247" i="86"/>
  <c r="Y247" i="86"/>
  <c r="V247" i="86"/>
  <c r="S247" i="86"/>
  <c r="P247" i="86"/>
  <c r="M247" i="86"/>
  <c r="J247" i="86"/>
  <c r="AB246" i="86"/>
  <c r="Y246" i="86"/>
  <c r="V246" i="86"/>
  <c r="S246" i="86"/>
  <c r="P246" i="86"/>
  <c r="M246" i="86"/>
  <c r="J246" i="86"/>
  <c r="AB235" i="86"/>
  <c r="Y235" i="86"/>
  <c r="V235" i="86"/>
  <c r="S235" i="86"/>
  <c r="P235" i="86"/>
  <c r="M235" i="86"/>
  <c r="J235" i="86"/>
  <c r="AB234" i="86"/>
  <c r="Y234" i="86"/>
  <c r="V234" i="86"/>
  <c r="S234" i="86"/>
  <c r="P234" i="86"/>
  <c r="M234" i="86"/>
  <c r="J234" i="86"/>
  <c r="AB233" i="86"/>
  <c r="Y233" i="86"/>
  <c r="V233" i="86"/>
  <c r="S233" i="86"/>
  <c r="P233" i="86"/>
  <c r="M233" i="86"/>
  <c r="J233" i="86"/>
  <c r="AB229" i="86"/>
  <c r="Y229" i="86"/>
  <c r="V229" i="86"/>
  <c r="S229" i="86"/>
  <c r="P229" i="86"/>
  <c r="M229" i="86"/>
  <c r="J229" i="86"/>
  <c r="AB228" i="86"/>
  <c r="Y228" i="86"/>
  <c r="V228" i="86"/>
  <c r="S228" i="86"/>
  <c r="P228" i="86"/>
  <c r="M228" i="86"/>
  <c r="J228" i="86"/>
  <c r="AB227" i="86"/>
  <c r="Y227" i="86"/>
  <c r="V227" i="86"/>
  <c r="S227" i="86"/>
  <c r="P227" i="86"/>
  <c r="M227" i="86"/>
  <c r="J227" i="86"/>
  <c r="AB224" i="86"/>
  <c r="Y224" i="86"/>
  <c r="V224" i="86"/>
  <c r="S224" i="86"/>
  <c r="P224" i="86"/>
  <c r="M224" i="86"/>
  <c r="J224" i="86"/>
  <c r="AB223" i="86"/>
  <c r="Y223" i="86"/>
  <c r="V223" i="86"/>
  <c r="S223" i="86"/>
  <c r="P223" i="86"/>
  <c r="M223" i="86"/>
  <c r="J223" i="86"/>
  <c r="AB222" i="86"/>
  <c r="Y222" i="86"/>
  <c r="V222" i="86"/>
  <c r="S222" i="86"/>
  <c r="P222" i="86"/>
  <c r="M222" i="86"/>
  <c r="J222" i="86"/>
  <c r="AB221" i="86"/>
  <c r="Y221" i="86"/>
  <c r="V221" i="86"/>
  <c r="S221" i="86"/>
  <c r="P221" i="86"/>
  <c r="M221" i="86"/>
  <c r="J221" i="86"/>
  <c r="Y118" i="86"/>
  <c r="T118" i="86"/>
  <c r="O118" i="86"/>
  <c r="Y117" i="86"/>
  <c r="T117" i="86"/>
  <c r="O117" i="86"/>
  <c r="Y116" i="86"/>
  <c r="T116" i="86"/>
  <c r="O116" i="86"/>
  <c r="T115" i="86"/>
  <c r="T114" i="86"/>
  <c r="O114" i="86"/>
  <c r="AC35" i="86"/>
  <c r="X35" i="86"/>
  <c r="S35" i="86"/>
  <c r="N35" i="86"/>
  <c r="D35" i="86"/>
  <c r="Y28" i="86"/>
  <c r="P28" i="86"/>
  <c r="Y27" i="86"/>
  <c r="P27" i="86"/>
  <c r="Y26" i="86"/>
  <c r="P26" i="86"/>
  <c r="P494" i="86" l="1"/>
  <c r="AC38" i="71"/>
  <c r="AC37" i="86" s="1"/>
  <c r="X38" i="71"/>
  <c r="X37" i="86" s="1"/>
  <c r="S38" i="71"/>
  <c r="S37" i="86" s="1"/>
  <c r="N38" i="71"/>
  <c r="N37" i="86" s="1"/>
  <c r="AC38" i="85" l="1"/>
  <c r="AC38" i="87" s="1"/>
  <c r="U38" i="85"/>
  <c r="U38" i="87" s="1"/>
  <c r="L38" i="85"/>
  <c r="L38" i="87" s="1"/>
  <c r="J37" i="85"/>
  <c r="J37" i="87" s="1"/>
  <c r="I37" i="85"/>
  <c r="I37" i="87" s="1"/>
  <c r="H37" i="85"/>
  <c r="H37" i="87" s="1"/>
  <c r="G37" i="85"/>
  <c r="G37" i="87" s="1"/>
  <c r="E37" i="85"/>
  <c r="E37" i="87" s="1"/>
  <c r="D37" i="85"/>
  <c r="D37" i="87" s="1"/>
  <c r="B37" i="85"/>
  <c r="B37" i="87" s="1"/>
  <c r="A37" i="85"/>
  <c r="A37" i="87" s="1"/>
  <c r="J34" i="85"/>
  <c r="J34" i="87" s="1"/>
  <c r="I34" i="85"/>
  <c r="I34" i="87" s="1"/>
  <c r="H34" i="85"/>
  <c r="H34" i="87" s="1"/>
  <c r="G34" i="85"/>
  <c r="G34" i="87" s="1"/>
  <c r="E34" i="85"/>
  <c r="E34" i="87" s="1"/>
  <c r="D34" i="85"/>
  <c r="D34" i="87" s="1"/>
  <c r="B34" i="85"/>
  <c r="B34" i="87" s="1"/>
  <c r="A34" i="85"/>
  <c r="A34" i="87" s="1"/>
  <c r="AK31" i="85"/>
  <c r="AK31" i="87" s="1"/>
  <c r="AJ31" i="85"/>
  <c r="AJ31" i="87" s="1"/>
  <c r="AI31" i="85"/>
  <c r="AI31" i="87" s="1"/>
  <c r="AH31" i="85"/>
  <c r="AH31" i="87" s="1"/>
  <c r="AG31" i="85"/>
  <c r="AG31" i="87" s="1"/>
  <c r="AF31" i="85"/>
  <c r="AF31" i="87" s="1"/>
  <c r="AE31" i="85"/>
  <c r="AE31" i="87" s="1"/>
  <c r="AD31" i="85"/>
  <c r="AD31" i="87" s="1"/>
  <c r="AC31" i="85"/>
  <c r="AC31" i="87" s="1"/>
  <c r="AB31" i="85"/>
  <c r="AB31" i="87" s="1"/>
  <c r="AA31" i="85"/>
  <c r="AA31" i="87" s="1"/>
  <c r="Z31" i="85"/>
  <c r="Z31" i="87" s="1"/>
  <c r="Y31" i="85"/>
  <c r="Y31" i="87" s="1"/>
  <c r="X31" i="85"/>
  <c r="X31" i="87" s="1"/>
  <c r="W31" i="85"/>
  <c r="W31" i="87" s="1"/>
  <c r="V31" i="85"/>
  <c r="V31" i="87" s="1"/>
  <c r="U31" i="85"/>
  <c r="U31" i="87" s="1"/>
  <c r="T31" i="85"/>
  <c r="T31" i="87" s="1"/>
  <c r="S31" i="85"/>
  <c r="S31" i="87" s="1"/>
  <c r="R31" i="85"/>
  <c r="R31" i="87" s="1"/>
  <c r="Q31" i="85"/>
  <c r="Q31" i="87" s="1"/>
  <c r="P31" i="85"/>
  <c r="P31" i="87" s="1"/>
  <c r="O31" i="85"/>
  <c r="O31" i="87" s="1"/>
  <c r="N31" i="85"/>
  <c r="N31" i="87" s="1"/>
  <c r="M31" i="85"/>
  <c r="M31" i="87" s="1"/>
  <c r="L31" i="85"/>
  <c r="L31" i="87" s="1"/>
  <c r="K31" i="85"/>
  <c r="K31" i="87" s="1"/>
  <c r="J31" i="85"/>
  <c r="J31" i="87" s="1"/>
  <c r="I31" i="85"/>
  <c r="I31" i="87" s="1"/>
  <c r="H31" i="85"/>
  <c r="H31" i="87" s="1"/>
  <c r="G31" i="85"/>
  <c r="G31" i="87" s="1"/>
  <c r="F31" i="85"/>
  <c r="F31" i="87" s="1"/>
  <c r="E31" i="85"/>
  <c r="E31" i="87" s="1"/>
  <c r="D31" i="85"/>
  <c r="D31" i="87" s="1"/>
  <c r="C31" i="85"/>
  <c r="C31" i="87" s="1"/>
  <c r="B31" i="85"/>
  <c r="B31" i="87" s="1"/>
  <c r="A31" i="85"/>
  <c r="A31" i="87" s="1"/>
  <c r="AA29" i="85"/>
  <c r="AA29" i="87" s="1"/>
  <c r="Z29" i="85"/>
  <c r="Z29" i="87" s="1"/>
  <c r="Y29" i="85"/>
  <c r="Y29" i="87" s="1"/>
  <c r="X29" i="85"/>
  <c r="X29" i="87" s="1"/>
  <c r="W29" i="85"/>
  <c r="W29" i="87" s="1"/>
  <c r="V29" i="85"/>
  <c r="V29" i="87" s="1"/>
  <c r="U29" i="85"/>
  <c r="U29" i="87" s="1"/>
  <c r="T29" i="85"/>
  <c r="T29" i="87" s="1"/>
  <c r="R29" i="85"/>
  <c r="R29" i="87" s="1"/>
  <c r="Q29" i="85"/>
  <c r="Q29" i="87" s="1"/>
  <c r="P29" i="85"/>
  <c r="P29" i="87" s="1"/>
  <c r="M29" i="85"/>
  <c r="M29" i="87" s="1"/>
  <c r="L29" i="85"/>
  <c r="L29" i="87" s="1"/>
  <c r="K29" i="85"/>
  <c r="K29" i="87" s="1"/>
  <c r="J29" i="85"/>
  <c r="J29" i="87" s="1"/>
  <c r="I29" i="85"/>
  <c r="I29" i="87" s="1"/>
  <c r="H29" i="85"/>
  <c r="H29" i="87" s="1"/>
  <c r="G29" i="85"/>
  <c r="G29" i="87" s="1"/>
  <c r="F29" i="85"/>
  <c r="F29" i="87" s="1"/>
  <c r="D29" i="85"/>
  <c r="D29" i="87" s="1"/>
  <c r="C29" i="85"/>
  <c r="C29" i="87" s="1"/>
  <c r="B29" i="85"/>
  <c r="B29" i="87" s="1"/>
  <c r="AK27" i="85"/>
  <c r="AK27" i="87" s="1"/>
  <c r="AJ27" i="85"/>
  <c r="AJ27" i="87" s="1"/>
  <c r="AI27" i="85"/>
  <c r="AI27" i="87" s="1"/>
  <c r="AH27" i="85"/>
  <c r="AH27" i="87" s="1"/>
  <c r="AG27" i="85"/>
  <c r="AG27" i="87" s="1"/>
  <c r="AF27" i="85"/>
  <c r="AF27" i="87" s="1"/>
  <c r="AE27" i="85"/>
  <c r="AE27" i="87" s="1"/>
  <c r="AD27" i="85"/>
  <c r="AD27" i="87" s="1"/>
  <c r="AC27" i="85"/>
  <c r="AC27" i="87" s="1"/>
  <c r="AB27" i="85"/>
  <c r="AB27" i="87" s="1"/>
  <c r="AA27" i="85"/>
  <c r="AA27" i="87" s="1"/>
  <c r="Z27" i="85"/>
  <c r="Z27" i="87" s="1"/>
  <c r="Y27" i="85"/>
  <c r="Y27" i="87" s="1"/>
  <c r="X27" i="85"/>
  <c r="X27" i="87" s="1"/>
  <c r="W27" i="85"/>
  <c r="W27" i="87" s="1"/>
  <c r="V27" i="85"/>
  <c r="V27" i="87" s="1"/>
  <c r="U27" i="85"/>
  <c r="U27" i="87" s="1"/>
  <c r="T27" i="85"/>
  <c r="T27" i="87" s="1"/>
  <c r="S27" i="85"/>
  <c r="S27" i="87" s="1"/>
  <c r="R27" i="85"/>
  <c r="R27" i="87" s="1"/>
  <c r="Q27" i="85"/>
  <c r="Q27" i="87" s="1"/>
  <c r="P27" i="85"/>
  <c r="P27" i="87" s="1"/>
  <c r="O27" i="85"/>
  <c r="O27" i="87" s="1"/>
  <c r="N27" i="85"/>
  <c r="N27" i="87" s="1"/>
  <c r="M27" i="85"/>
  <c r="M27" i="87" s="1"/>
  <c r="L27" i="85"/>
  <c r="L27" i="87" s="1"/>
  <c r="K27" i="85"/>
  <c r="K27" i="87" s="1"/>
  <c r="J27" i="85"/>
  <c r="J27" i="87" s="1"/>
  <c r="I27" i="85"/>
  <c r="I27" i="87" s="1"/>
  <c r="H27" i="85"/>
  <c r="H27" i="87" s="1"/>
  <c r="G27" i="85"/>
  <c r="G27" i="87" s="1"/>
  <c r="E27" i="85"/>
  <c r="E27" i="87" s="1"/>
  <c r="D27" i="85"/>
  <c r="D27" i="87" s="1"/>
  <c r="C27" i="85"/>
  <c r="C27" i="87" s="1"/>
  <c r="B27" i="85"/>
  <c r="B27" i="87" s="1"/>
  <c r="A27" i="85"/>
  <c r="A27" i="87" s="1"/>
  <c r="AK25" i="85"/>
  <c r="AK25" i="87" s="1"/>
  <c r="AJ25" i="85"/>
  <c r="AJ25" i="87" s="1"/>
  <c r="AI25" i="85"/>
  <c r="AI25" i="87" s="1"/>
  <c r="AH25" i="85"/>
  <c r="AH25" i="87" s="1"/>
  <c r="AG25" i="85"/>
  <c r="AG25" i="87" s="1"/>
  <c r="AF25" i="85"/>
  <c r="AF25" i="87" s="1"/>
  <c r="AE25" i="85"/>
  <c r="AE25" i="87" s="1"/>
  <c r="AD25" i="85"/>
  <c r="AD25" i="87" s="1"/>
  <c r="AB25" i="85"/>
  <c r="AB25" i="87" s="1"/>
  <c r="AA25" i="85"/>
  <c r="AA25" i="87" s="1"/>
  <c r="Z25" i="85"/>
  <c r="Z25" i="87" s="1"/>
  <c r="Y25" i="85"/>
  <c r="Y25" i="87" s="1"/>
  <c r="X25" i="85"/>
  <c r="X25" i="87" s="1"/>
  <c r="W25" i="85"/>
  <c r="W25" i="87" s="1"/>
  <c r="V25" i="85"/>
  <c r="V25" i="87" s="1"/>
  <c r="U25" i="85"/>
  <c r="U25" i="87" s="1"/>
  <c r="T25" i="85"/>
  <c r="T25" i="87" s="1"/>
  <c r="S25" i="85"/>
  <c r="S25" i="87" s="1"/>
  <c r="R25" i="85"/>
  <c r="R25" i="87" s="1"/>
  <c r="Q25" i="85"/>
  <c r="Q25" i="87" s="1"/>
  <c r="P25" i="85"/>
  <c r="P25" i="87" s="1"/>
  <c r="O25" i="85"/>
  <c r="O25" i="87" s="1"/>
  <c r="N25" i="85"/>
  <c r="N25" i="87" s="1"/>
  <c r="M25" i="85"/>
  <c r="M25" i="87" s="1"/>
  <c r="L25" i="85"/>
  <c r="L25" i="87" s="1"/>
  <c r="K25" i="85"/>
  <c r="K25" i="87" s="1"/>
  <c r="J25" i="85"/>
  <c r="J25" i="87" s="1"/>
  <c r="I25" i="85"/>
  <c r="I25" i="87" s="1"/>
  <c r="H25" i="85"/>
  <c r="H25" i="87" s="1"/>
  <c r="G25" i="85"/>
  <c r="G25" i="87" s="1"/>
  <c r="F25" i="85"/>
  <c r="F25" i="87" s="1"/>
  <c r="E25" i="85"/>
  <c r="E25" i="87" s="1"/>
  <c r="D25" i="85"/>
  <c r="D25" i="87" s="1"/>
  <c r="C25" i="85"/>
  <c r="C25" i="87" s="1"/>
  <c r="B25" i="85"/>
  <c r="B25" i="87" s="1"/>
  <c r="A25" i="85"/>
  <c r="A25" i="87" s="1"/>
  <c r="AK22" i="85"/>
  <c r="AJ22" i="85"/>
  <c r="AI22" i="85"/>
  <c r="AH22" i="85"/>
  <c r="AG22" i="85"/>
  <c r="AF22" i="85"/>
  <c r="AE22" i="85"/>
  <c r="AD22" i="85"/>
  <c r="AC22" i="85"/>
  <c r="AB22" i="85"/>
  <c r="AA22" i="85"/>
  <c r="Z22" i="85"/>
  <c r="Y22" i="85"/>
  <c r="X22" i="85"/>
  <c r="W22" i="85"/>
  <c r="V22" i="85"/>
  <c r="U22" i="85"/>
  <c r="T22" i="85"/>
  <c r="S22" i="85"/>
  <c r="R22" i="85"/>
  <c r="Q22" i="85"/>
  <c r="P22" i="85"/>
  <c r="O22" i="85"/>
  <c r="N22" i="85"/>
  <c r="M22" i="85"/>
  <c r="L22" i="85"/>
  <c r="K22" i="85"/>
  <c r="J22" i="85"/>
  <c r="I22" i="85"/>
  <c r="H22" i="85"/>
  <c r="G22" i="85"/>
  <c r="AG19" i="87"/>
  <c r="AF19" i="87"/>
  <c r="AE19" i="87"/>
  <c r="AD19" i="87"/>
  <c r="AC19" i="87"/>
  <c r="AB19" i="87"/>
  <c r="AA19" i="87"/>
  <c r="Z19" i="87"/>
  <c r="Y19" i="87"/>
  <c r="X19" i="87"/>
  <c r="W19" i="87"/>
  <c r="V19" i="87"/>
  <c r="U19" i="87"/>
  <c r="T19" i="87"/>
  <c r="S19" i="87"/>
  <c r="R19" i="87"/>
  <c r="Q19" i="87"/>
  <c r="P19" i="87"/>
  <c r="O19" i="87"/>
  <c r="N19" i="87"/>
  <c r="M19" i="87"/>
  <c r="L19" i="87"/>
  <c r="K19" i="87"/>
  <c r="J19" i="87"/>
  <c r="I19" i="87"/>
  <c r="H19" i="87"/>
  <c r="G19" i="87"/>
  <c r="F19" i="87"/>
  <c r="E19" i="87"/>
  <c r="D19" i="87"/>
  <c r="C19" i="87"/>
  <c r="B19" i="87"/>
  <c r="A19" i="87"/>
  <c r="G15" i="85"/>
  <c r="G15" i="87" s="1"/>
  <c r="E15" i="85"/>
  <c r="E15" i="87" s="1"/>
  <c r="D15" i="85"/>
  <c r="D15" i="87" s="1"/>
  <c r="B15" i="85"/>
  <c r="B15" i="87" s="1"/>
  <c r="A15" i="85"/>
  <c r="A15" i="87" s="1"/>
  <c r="R12" i="85"/>
  <c r="R12" i="87" s="1"/>
  <c r="L12" i="85"/>
  <c r="L12" i="87" s="1"/>
  <c r="H13" i="85"/>
  <c r="H13" i="87" s="1"/>
  <c r="G13" i="85"/>
  <c r="G13" i="87" s="1"/>
  <c r="F13" i="85"/>
  <c r="F13" i="87" s="1"/>
  <c r="E13" i="85"/>
  <c r="E13" i="87" s="1"/>
  <c r="D13" i="85"/>
  <c r="D13" i="87" s="1"/>
  <c r="C13" i="85"/>
  <c r="C13" i="87" s="1"/>
  <c r="B13" i="85"/>
  <c r="B13" i="87" s="1"/>
  <c r="A13" i="85"/>
  <c r="A13" i="87" s="1"/>
  <c r="R11" i="85"/>
  <c r="R11" i="87" s="1"/>
  <c r="L11" i="85"/>
  <c r="L11" i="87" s="1"/>
  <c r="J11" i="85"/>
  <c r="J11" i="87" s="1"/>
  <c r="I11" i="85"/>
  <c r="I11" i="87" s="1"/>
  <c r="H11" i="85"/>
  <c r="H11" i="87" s="1"/>
  <c r="G11" i="85"/>
  <c r="G11" i="87" s="1"/>
  <c r="F11" i="85"/>
  <c r="F11" i="87" s="1"/>
  <c r="E11" i="85"/>
  <c r="E11" i="87" s="1"/>
  <c r="D11" i="85"/>
  <c r="D11" i="87" s="1"/>
  <c r="C11" i="85"/>
  <c r="C11" i="87" s="1"/>
  <c r="B11" i="85"/>
  <c r="B11" i="87" s="1"/>
  <c r="A11" i="85"/>
  <c r="A11" i="87" s="1"/>
  <c r="AD36" i="72" l="1"/>
  <c r="V36" i="72"/>
  <c r="M36" i="72"/>
  <c r="AD36" i="75"/>
  <c r="V36" i="75"/>
  <c r="M36" i="75"/>
  <c r="E6" i="68"/>
  <c r="AD38" i="84" l="1"/>
  <c r="V38" i="84"/>
  <c r="M38" i="84"/>
  <c r="J37" i="84"/>
  <c r="I37" i="84"/>
  <c r="H37" i="84"/>
  <c r="G37" i="84"/>
  <c r="E37" i="84"/>
  <c r="D37" i="84"/>
  <c r="B37" i="84"/>
  <c r="A37" i="84"/>
  <c r="J34" i="84"/>
  <c r="I34" i="84"/>
  <c r="H34" i="84"/>
  <c r="G34" i="84"/>
  <c r="E34" i="84"/>
  <c r="D34" i="84"/>
  <c r="B34" i="84"/>
  <c r="A34" i="84"/>
  <c r="AK31" i="84"/>
  <c r="AJ31" i="84"/>
  <c r="AI31" i="84"/>
  <c r="AH31" i="84"/>
  <c r="AG31" i="84"/>
  <c r="AF31" i="84"/>
  <c r="AE31" i="84"/>
  <c r="AD31" i="84"/>
  <c r="AC31" i="84"/>
  <c r="AB31" i="84"/>
  <c r="AA31" i="84"/>
  <c r="Z31" i="84"/>
  <c r="Y31" i="84"/>
  <c r="X31" i="84"/>
  <c r="W31" i="84"/>
  <c r="V31" i="84"/>
  <c r="U31" i="84"/>
  <c r="T31" i="84"/>
  <c r="S31" i="84"/>
  <c r="R31" i="84"/>
  <c r="Q31" i="84"/>
  <c r="P31" i="84"/>
  <c r="O31" i="84"/>
  <c r="N31" i="84"/>
  <c r="M31" i="84"/>
  <c r="L31" i="84"/>
  <c r="K31" i="84"/>
  <c r="J31" i="84"/>
  <c r="I31" i="84"/>
  <c r="H31" i="84"/>
  <c r="G31" i="84"/>
  <c r="F31" i="84"/>
  <c r="E31" i="84"/>
  <c r="D31" i="84"/>
  <c r="C31" i="84"/>
  <c r="B31" i="84"/>
  <c r="A31" i="84"/>
  <c r="AA29" i="84"/>
  <c r="Z29" i="84"/>
  <c r="Y29" i="84"/>
  <c r="X29" i="84"/>
  <c r="W29" i="84"/>
  <c r="V29" i="84"/>
  <c r="U29" i="84"/>
  <c r="T29" i="84"/>
  <c r="R29" i="84"/>
  <c r="Q29" i="84"/>
  <c r="P29" i="84"/>
  <c r="M29" i="84"/>
  <c r="L29" i="84"/>
  <c r="K29" i="84"/>
  <c r="J29" i="84"/>
  <c r="I29" i="84"/>
  <c r="H29" i="84"/>
  <c r="G29" i="84"/>
  <c r="F29" i="84"/>
  <c r="D29" i="84"/>
  <c r="C29" i="84"/>
  <c r="B29" i="84"/>
  <c r="AK27" i="84"/>
  <c r="AJ27" i="84"/>
  <c r="AI27" i="84"/>
  <c r="AH27" i="84"/>
  <c r="AG27" i="84"/>
  <c r="AF27" i="84"/>
  <c r="AE27" i="84"/>
  <c r="AD27" i="84"/>
  <c r="AC27" i="84"/>
  <c r="AB27" i="84"/>
  <c r="AA27" i="84"/>
  <c r="Z27" i="84"/>
  <c r="Y27" i="84"/>
  <c r="X27" i="84"/>
  <c r="W27" i="84"/>
  <c r="V27" i="84"/>
  <c r="U27" i="84"/>
  <c r="T27" i="84"/>
  <c r="S27" i="84"/>
  <c r="R27" i="84"/>
  <c r="Q27" i="84"/>
  <c r="P27" i="84"/>
  <c r="O27" i="84"/>
  <c r="N27" i="84"/>
  <c r="M27" i="84"/>
  <c r="L27" i="84"/>
  <c r="K27" i="84"/>
  <c r="J27" i="84"/>
  <c r="I27" i="84"/>
  <c r="H27" i="84"/>
  <c r="G27" i="84"/>
  <c r="E27" i="84"/>
  <c r="D27" i="84"/>
  <c r="C27" i="84"/>
  <c r="B27" i="84"/>
  <c r="A27" i="84"/>
  <c r="AK25" i="84"/>
  <c r="AJ25" i="84"/>
  <c r="AI25" i="84"/>
  <c r="AH25" i="84"/>
  <c r="AG25" i="84"/>
  <c r="AF25" i="84"/>
  <c r="AE25" i="84"/>
  <c r="AD25" i="84"/>
  <c r="AB25" i="84"/>
  <c r="AA25" i="84"/>
  <c r="Z25" i="84"/>
  <c r="Y25" i="84"/>
  <c r="X25" i="84"/>
  <c r="W25" i="84"/>
  <c r="V25" i="84"/>
  <c r="U25" i="84"/>
  <c r="T25" i="84"/>
  <c r="S25" i="84"/>
  <c r="R25" i="84"/>
  <c r="Q25" i="84"/>
  <c r="P25" i="84"/>
  <c r="O25" i="84"/>
  <c r="N25" i="84"/>
  <c r="M25" i="84"/>
  <c r="L25" i="84"/>
  <c r="K25" i="84"/>
  <c r="J25" i="84"/>
  <c r="I25" i="84"/>
  <c r="H25" i="84"/>
  <c r="G25" i="84"/>
  <c r="F25" i="84"/>
  <c r="E25" i="84"/>
  <c r="D25" i="84"/>
  <c r="C25" i="84"/>
  <c r="B25" i="84"/>
  <c r="A25" i="84"/>
  <c r="R15" i="84"/>
  <c r="K15" i="84"/>
  <c r="H15" i="84"/>
  <c r="G15" i="84"/>
  <c r="F15" i="84"/>
  <c r="E15" i="84"/>
  <c r="D15" i="84"/>
  <c r="C15" i="84"/>
  <c r="B15" i="84"/>
  <c r="A15" i="84"/>
  <c r="R14" i="84"/>
  <c r="K14" i="84"/>
  <c r="J13" i="84"/>
  <c r="I13" i="84"/>
  <c r="H13" i="84"/>
  <c r="G13" i="84"/>
  <c r="F13" i="84"/>
  <c r="E13" i="84"/>
  <c r="D13" i="84"/>
  <c r="C13" i="84"/>
  <c r="B13" i="84"/>
  <c r="A13" i="84"/>
  <c r="AD37" i="83"/>
  <c r="V37" i="83"/>
  <c r="M37" i="83"/>
  <c r="J36" i="83"/>
  <c r="I36" i="83"/>
  <c r="H36" i="83"/>
  <c r="G36" i="83"/>
  <c r="E36" i="83"/>
  <c r="D36" i="83"/>
  <c r="B36" i="83"/>
  <c r="A36" i="83"/>
  <c r="J33" i="83"/>
  <c r="I33" i="83"/>
  <c r="H33" i="83"/>
  <c r="G33" i="83"/>
  <c r="E33" i="83"/>
  <c r="D33" i="83"/>
  <c r="B33" i="83"/>
  <c r="A33" i="83"/>
  <c r="AK30" i="83"/>
  <c r="AJ30" i="83"/>
  <c r="AI30" i="83"/>
  <c r="AH30" i="83"/>
  <c r="AG30" i="83"/>
  <c r="AF30" i="83"/>
  <c r="AE30" i="83"/>
  <c r="AD30" i="83"/>
  <c r="AC30" i="83"/>
  <c r="AB30" i="83"/>
  <c r="AA30" i="83"/>
  <c r="Z30" i="83"/>
  <c r="Y30" i="83"/>
  <c r="X30" i="83"/>
  <c r="W30" i="83"/>
  <c r="V30" i="83"/>
  <c r="U30" i="83"/>
  <c r="T30" i="83"/>
  <c r="S30" i="83"/>
  <c r="R30" i="83"/>
  <c r="Q30" i="83"/>
  <c r="P30" i="83"/>
  <c r="O30" i="83"/>
  <c r="N30" i="83"/>
  <c r="M30" i="83"/>
  <c r="L30" i="83"/>
  <c r="K30" i="83"/>
  <c r="J30" i="83"/>
  <c r="I30" i="83"/>
  <c r="H30" i="83"/>
  <c r="G30" i="83"/>
  <c r="F30" i="83"/>
  <c r="E30" i="83"/>
  <c r="D30" i="83"/>
  <c r="C30" i="83"/>
  <c r="B30" i="83"/>
  <c r="A30" i="83"/>
  <c r="AA28" i="83"/>
  <c r="Z28" i="83"/>
  <c r="Y28" i="83"/>
  <c r="X28" i="83"/>
  <c r="W28" i="83"/>
  <c r="V28" i="83"/>
  <c r="U28" i="83"/>
  <c r="T28" i="83"/>
  <c r="R28" i="83"/>
  <c r="Q28" i="83"/>
  <c r="P28" i="83"/>
  <c r="M28" i="83"/>
  <c r="L28" i="83"/>
  <c r="K28" i="83"/>
  <c r="J28" i="83"/>
  <c r="I28" i="83"/>
  <c r="H28" i="83"/>
  <c r="G28" i="83"/>
  <c r="F28" i="83"/>
  <c r="D28" i="83"/>
  <c r="C28" i="83"/>
  <c r="B28" i="83"/>
  <c r="AK26" i="83"/>
  <c r="AJ26" i="83"/>
  <c r="AI26" i="83"/>
  <c r="AH26" i="83"/>
  <c r="AG26" i="83"/>
  <c r="AF26" i="83"/>
  <c r="AE26" i="83"/>
  <c r="AD26" i="83"/>
  <c r="AC26" i="83"/>
  <c r="AB26" i="83"/>
  <c r="AA26" i="83"/>
  <c r="Z26" i="83"/>
  <c r="Y26" i="83"/>
  <c r="X26" i="83"/>
  <c r="W26" i="83"/>
  <c r="V26" i="83"/>
  <c r="U26" i="83"/>
  <c r="T26" i="83"/>
  <c r="S26" i="83"/>
  <c r="R26" i="83"/>
  <c r="Q26" i="83"/>
  <c r="P26" i="83"/>
  <c r="O26" i="83"/>
  <c r="N26" i="83"/>
  <c r="M26" i="83"/>
  <c r="L26" i="83"/>
  <c r="K26" i="83"/>
  <c r="J26" i="83"/>
  <c r="I26" i="83"/>
  <c r="H26" i="83"/>
  <c r="G26" i="83"/>
  <c r="E26" i="83"/>
  <c r="D26" i="83"/>
  <c r="C26" i="83"/>
  <c r="B26" i="83"/>
  <c r="A26" i="83"/>
  <c r="AK24" i="83"/>
  <c r="AJ24" i="83"/>
  <c r="AI24" i="83"/>
  <c r="AH24" i="83"/>
  <c r="AG24" i="83"/>
  <c r="AF24" i="83"/>
  <c r="AE24" i="83"/>
  <c r="AD24" i="83"/>
  <c r="AB24" i="83"/>
  <c r="AA24" i="83"/>
  <c r="Z24" i="83"/>
  <c r="Y24" i="83"/>
  <c r="X24" i="83"/>
  <c r="W24" i="83"/>
  <c r="V24" i="83"/>
  <c r="U24" i="83"/>
  <c r="T24" i="83"/>
  <c r="S24" i="83"/>
  <c r="R24" i="83"/>
  <c r="Q24" i="83"/>
  <c r="P24" i="83"/>
  <c r="O24" i="83"/>
  <c r="N24" i="83"/>
  <c r="M24" i="83"/>
  <c r="L24" i="83"/>
  <c r="K24" i="83"/>
  <c r="J24" i="83"/>
  <c r="I24" i="83"/>
  <c r="H24" i="83"/>
  <c r="G24" i="83"/>
  <c r="F24" i="83"/>
  <c r="E24" i="83"/>
  <c r="D24" i="83"/>
  <c r="C24" i="83"/>
  <c r="B24" i="83"/>
  <c r="A24" i="83"/>
  <c r="R14" i="83"/>
  <c r="K14" i="83"/>
  <c r="H14" i="83"/>
  <c r="G14" i="83"/>
  <c r="F14" i="83"/>
  <c r="E14" i="83"/>
  <c r="D14" i="83"/>
  <c r="C14" i="83"/>
  <c r="B14" i="83"/>
  <c r="A14" i="83"/>
  <c r="R13" i="83"/>
  <c r="K13" i="83"/>
  <c r="J12" i="83"/>
  <c r="I12" i="83"/>
  <c r="H12" i="83"/>
  <c r="G12" i="83"/>
  <c r="F12" i="83"/>
  <c r="E12" i="83"/>
  <c r="D12" i="83"/>
  <c r="C12" i="83"/>
  <c r="B12" i="83"/>
  <c r="A12" i="83"/>
  <c r="I210" i="80" l="1"/>
  <c r="G210" i="80"/>
  <c r="I209" i="80"/>
  <c r="G209" i="80"/>
  <c r="I208" i="80"/>
  <c r="G208" i="80"/>
  <c r="I207" i="80"/>
  <c r="G207" i="80"/>
  <c r="I206" i="80"/>
  <c r="G206" i="80"/>
  <c r="I205" i="80"/>
  <c r="G205" i="80"/>
  <c r="I204" i="80"/>
  <c r="G204" i="80"/>
  <c r="I203" i="80"/>
  <c r="G203" i="80"/>
  <c r="I202" i="80"/>
  <c r="G202" i="80"/>
  <c r="I201" i="80"/>
  <c r="G201" i="80"/>
  <c r="I200" i="80"/>
  <c r="G200" i="80"/>
  <c r="I199" i="80"/>
  <c r="G199" i="80"/>
  <c r="I198" i="80"/>
  <c r="G198" i="80"/>
  <c r="I197" i="80"/>
  <c r="G197" i="80"/>
  <c r="I196" i="80"/>
  <c r="G196" i="80"/>
  <c r="I195" i="80"/>
  <c r="G195" i="80"/>
  <c r="I194" i="80"/>
  <c r="G194" i="80"/>
  <c r="I193" i="80"/>
  <c r="G193" i="80"/>
  <c r="I192" i="80"/>
  <c r="G192" i="80"/>
  <c r="I191" i="80"/>
  <c r="G191" i="80"/>
  <c r="I190" i="80"/>
  <c r="G190" i="80"/>
  <c r="I189" i="80"/>
  <c r="G189" i="80"/>
  <c r="I188" i="80"/>
  <c r="G188" i="80"/>
  <c r="I187" i="80"/>
  <c r="G187" i="80"/>
  <c r="I186" i="80"/>
  <c r="G186" i="80"/>
  <c r="I185" i="80"/>
  <c r="G185" i="80"/>
  <c r="I184" i="80"/>
  <c r="G184" i="80"/>
  <c r="I183" i="80"/>
  <c r="G183" i="80"/>
  <c r="I182" i="80"/>
  <c r="G182" i="80"/>
  <c r="I181" i="80"/>
  <c r="G181" i="80"/>
  <c r="I180" i="80"/>
  <c r="G180" i="80"/>
  <c r="I178" i="80"/>
  <c r="G178" i="80"/>
  <c r="I177" i="80"/>
  <c r="G177" i="80"/>
  <c r="I176" i="80"/>
  <c r="G176" i="80"/>
  <c r="I175" i="80"/>
  <c r="G175" i="80"/>
  <c r="I174" i="80"/>
  <c r="G174" i="80"/>
  <c r="I173" i="80"/>
  <c r="G173" i="80"/>
  <c r="I172" i="80"/>
  <c r="G172" i="80"/>
  <c r="I170" i="80"/>
  <c r="G170" i="80"/>
  <c r="I169" i="80"/>
  <c r="G169" i="80"/>
  <c r="I168" i="80"/>
  <c r="G168" i="80"/>
  <c r="I167" i="80"/>
  <c r="G167" i="80"/>
  <c r="I166" i="80"/>
  <c r="G166" i="80"/>
  <c r="I165" i="80"/>
  <c r="G165" i="80"/>
  <c r="I164" i="80"/>
  <c r="G164" i="80"/>
  <c r="I163" i="80"/>
  <c r="G163" i="80"/>
  <c r="I162" i="80"/>
  <c r="G162" i="80"/>
  <c r="I161" i="80"/>
  <c r="G161" i="80"/>
  <c r="I160" i="80"/>
  <c r="G160" i="80"/>
  <c r="I159" i="80"/>
  <c r="G159" i="80"/>
  <c r="I158" i="80"/>
  <c r="G158" i="80"/>
  <c r="I157" i="80"/>
  <c r="G157" i="80"/>
  <c r="I156" i="80"/>
  <c r="G156" i="80"/>
  <c r="I155" i="80"/>
  <c r="G155" i="80"/>
  <c r="I154" i="80"/>
  <c r="G154" i="80"/>
  <c r="I153" i="80"/>
  <c r="G153" i="80"/>
  <c r="I152" i="80"/>
  <c r="G152" i="80"/>
  <c r="H148" i="80"/>
  <c r="D148" i="80"/>
  <c r="G147" i="80"/>
  <c r="D147" i="80"/>
  <c r="H146" i="80"/>
  <c r="D146" i="80"/>
  <c r="G145" i="80"/>
  <c r="D145" i="80"/>
  <c r="H144" i="80"/>
  <c r="D144" i="80"/>
  <c r="G143" i="80"/>
  <c r="D143" i="80"/>
  <c r="H142" i="80"/>
  <c r="D142" i="80"/>
  <c r="G141" i="80"/>
  <c r="D141" i="80"/>
  <c r="H140" i="80"/>
  <c r="D140" i="80"/>
  <c r="G139" i="80"/>
  <c r="D139" i="80"/>
  <c r="H138" i="80"/>
  <c r="D138" i="80"/>
  <c r="G137" i="80"/>
  <c r="D137" i="80"/>
  <c r="H136" i="80"/>
  <c r="D136" i="80"/>
  <c r="G135" i="80"/>
  <c r="D135" i="80"/>
  <c r="H134" i="80"/>
  <c r="D134" i="80"/>
  <c r="G133" i="80"/>
  <c r="D133" i="80"/>
  <c r="H132" i="80"/>
  <c r="D132" i="80"/>
  <c r="G131" i="80"/>
  <c r="D131" i="80"/>
  <c r="H127" i="80"/>
  <c r="D127" i="80"/>
  <c r="G126" i="80"/>
  <c r="D126" i="80"/>
  <c r="H125" i="80"/>
  <c r="D125" i="80"/>
  <c r="G124" i="80"/>
  <c r="D124" i="80"/>
  <c r="H123" i="80"/>
  <c r="D123" i="80"/>
  <c r="G122" i="80"/>
  <c r="D122" i="80"/>
  <c r="H121" i="80"/>
  <c r="D121" i="80"/>
  <c r="G120" i="80"/>
  <c r="D120" i="80"/>
  <c r="H119" i="80"/>
  <c r="D119" i="80"/>
  <c r="G118" i="80"/>
  <c r="D118" i="80"/>
  <c r="H117" i="80"/>
  <c r="D117" i="80"/>
  <c r="G116" i="80"/>
  <c r="D116" i="80"/>
  <c r="H115" i="80"/>
  <c r="D115" i="80"/>
  <c r="G114" i="80"/>
  <c r="D114" i="80"/>
  <c r="H113" i="80"/>
  <c r="D113" i="80"/>
  <c r="G112" i="80"/>
  <c r="D112" i="80"/>
  <c r="H111" i="80"/>
  <c r="D111" i="80"/>
  <c r="G110" i="80"/>
  <c r="D110" i="80"/>
  <c r="H109" i="80"/>
  <c r="D109" i="80"/>
  <c r="G108" i="80"/>
  <c r="D108" i="80"/>
  <c r="H107" i="80"/>
  <c r="D107" i="80"/>
  <c r="G106" i="80"/>
  <c r="D106" i="80"/>
  <c r="H105" i="80"/>
  <c r="D105" i="80"/>
  <c r="G104" i="80"/>
  <c r="D104" i="80"/>
  <c r="H103" i="80"/>
  <c r="D103" i="80"/>
  <c r="G102" i="80"/>
  <c r="D102" i="80"/>
  <c r="H101" i="80"/>
  <c r="D101" i="80"/>
  <c r="G100" i="80"/>
  <c r="D100" i="80"/>
  <c r="H99" i="80"/>
  <c r="D99" i="80"/>
  <c r="G98" i="80"/>
  <c r="D98" i="80"/>
  <c r="H94" i="80"/>
  <c r="D94" i="80"/>
  <c r="G93" i="80"/>
  <c r="D93" i="80"/>
  <c r="H92" i="80"/>
  <c r="D92" i="80"/>
  <c r="G91" i="80"/>
  <c r="D91" i="80"/>
  <c r="H90" i="80"/>
  <c r="D90" i="80"/>
  <c r="G89" i="80"/>
  <c r="D89" i="80"/>
  <c r="H88" i="80"/>
  <c r="D88" i="80"/>
  <c r="G87" i="80"/>
  <c r="D87" i="80"/>
  <c r="H86" i="80"/>
  <c r="D86" i="80"/>
  <c r="G85" i="80"/>
  <c r="D85" i="80"/>
  <c r="H84" i="80"/>
  <c r="D84" i="80"/>
  <c r="G83" i="80"/>
  <c r="D83" i="80"/>
  <c r="H82" i="80"/>
  <c r="D82" i="80"/>
  <c r="G81" i="80"/>
  <c r="D81" i="80"/>
  <c r="H80" i="80"/>
  <c r="D80" i="80"/>
  <c r="G79" i="80"/>
  <c r="D79" i="80"/>
  <c r="H78" i="80"/>
  <c r="D78" i="80"/>
  <c r="G77" i="80"/>
  <c r="D77" i="80"/>
  <c r="H76" i="80"/>
  <c r="D76" i="80"/>
  <c r="G75" i="80"/>
  <c r="D75" i="80"/>
  <c r="H74" i="80"/>
  <c r="D74" i="80"/>
  <c r="G73" i="80"/>
  <c r="D73" i="80"/>
  <c r="H72" i="80"/>
  <c r="D72" i="80"/>
  <c r="G71" i="80"/>
  <c r="D71" i="80"/>
  <c r="H70" i="80"/>
  <c r="D70" i="80"/>
  <c r="G69" i="80"/>
  <c r="D69" i="80"/>
  <c r="H68" i="80"/>
  <c r="D68" i="80"/>
  <c r="G67" i="80"/>
  <c r="D67" i="80"/>
  <c r="H63" i="80"/>
  <c r="D63" i="80"/>
  <c r="G62" i="80"/>
  <c r="D62" i="80"/>
  <c r="H61" i="80"/>
  <c r="D61" i="80"/>
  <c r="G60" i="80"/>
  <c r="D60" i="80"/>
  <c r="H59" i="80"/>
  <c r="D59" i="80"/>
  <c r="G58" i="80"/>
  <c r="D58" i="80"/>
  <c r="H57" i="80"/>
  <c r="D57" i="80"/>
  <c r="G56" i="80"/>
  <c r="D56" i="80"/>
  <c r="H55" i="80"/>
  <c r="D55" i="80"/>
  <c r="G54" i="80"/>
  <c r="D54" i="80"/>
  <c r="H53" i="80"/>
  <c r="D53" i="80"/>
  <c r="G52" i="80"/>
  <c r="D52" i="80"/>
  <c r="H51" i="80"/>
  <c r="D51" i="80"/>
  <c r="G50" i="80"/>
  <c r="D50" i="80"/>
  <c r="H49" i="80"/>
  <c r="D49" i="80"/>
  <c r="G48" i="80"/>
  <c r="D48" i="80"/>
  <c r="H47" i="80"/>
  <c r="D47" i="80"/>
  <c r="G46" i="80"/>
  <c r="D46" i="80"/>
  <c r="H45" i="80"/>
  <c r="D45" i="80"/>
  <c r="G44" i="80"/>
  <c r="D44" i="80"/>
  <c r="H43" i="80"/>
  <c r="D43" i="80"/>
  <c r="G42" i="80"/>
  <c r="D42" i="80"/>
  <c r="H41" i="80"/>
  <c r="D41" i="80"/>
  <c r="G40" i="80"/>
  <c r="D40" i="80"/>
  <c r="H39" i="80"/>
  <c r="D39" i="80"/>
  <c r="G38" i="80"/>
  <c r="D38" i="80"/>
  <c r="H37" i="80"/>
  <c r="D37" i="80"/>
  <c r="G36" i="80"/>
  <c r="D36" i="80"/>
  <c r="H32" i="80"/>
  <c r="D32" i="80"/>
  <c r="G31" i="80"/>
  <c r="D31" i="80"/>
  <c r="H30" i="80"/>
  <c r="D30" i="80"/>
  <c r="G29" i="80"/>
  <c r="D29" i="80"/>
  <c r="H28" i="80"/>
  <c r="D28" i="80"/>
  <c r="G27" i="80"/>
  <c r="D27" i="80"/>
  <c r="H26" i="80"/>
  <c r="D26" i="80"/>
  <c r="G25" i="80"/>
  <c r="D25" i="80"/>
  <c r="H24" i="80"/>
  <c r="D24" i="80"/>
  <c r="G23" i="80"/>
  <c r="D23" i="80"/>
  <c r="H22" i="80"/>
  <c r="D22" i="80"/>
  <c r="G21" i="80"/>
  <c r="D21" i="80"/>
  <c r="H20" i="80"/>
  <c r="D20" i="80"/>
  <c r="G19" i="80"/>
  <c r="D19" i="80"/>
  <c r="H18" i="80"/>
  <c r="D18" i="80"/>
  <c r="G17" i="80"/>
  <c r="D17" i="80"/>
  <c r="H16" i="80"/>
  <c r="D16" i="80"/>
  <c r="G15" i="80"/>
  <c r="D15" i="80"/>
  <c r="H14" i="80"/>
  <c r="D14" i="80"/>
  <c r="G13" i="80"/>
  <c r="D13" i="80"/>
  <c r="H12" i="80"/>
  <c r="D12" i="80"/>
  <c r="G11" i="80"/>
  <c r="D11" i="80"/>
  <c r="H10" i="80"/>
  <c r="D10" i="80"/>
  <c r="G9" i="80"/>
  <c r="D9" i="80"/>
  <c r="H8" i="80"/>
  <c r="D8" i="80"/>
  <c r="G7" i="80"/>
  <c r="D7" i="80"/>
  <c r="F66" i="76" l="1"/>
  <c r="E66" i="76"/>
  <c r="F65" i="76"/>
  <c r="E65" i="76"/>
  <c r="F64" i="76"/>
  <c r="E64" i="76"/>
  <c r="F63" i="76"/>
  <c r="E63" i="76"/>
  <c r="F62" i="76"/>
  <c r="E62" i="76"/>
  <c r="F61" i="76"/>
  <c r="E61" i="76"/>
  <c r="F60" i="76"/>
  <c r="E60" i="76"/>
  <c r="F59" i="76"/>
  <c r="E59" i="76"/>
  <c r="F58" i="76"/>
  <c r="E58" i="76"/>
  <c r="F57" i="76"/>
  <c r="E57" i="76"/>
  <c r="F56" i="76"/>
  <c r="E56" i="76"/>
  <c r="F55" i="76"/>
  <c r="E55" i="76"/>
  <c r="F54" i="76"/>
  <c r="E54" i="76"/>
  <c r="F53" i="76"/>
  <c r="E53" i="76"/>
  <c r="F52" i="76"/>
  <c r="E52" i="76"/>
  <c r="F51" i="76"/>
  <c r="E51" i="76"/>
  <c r="F50" i="76"/>
  <c r="E50" i="76"/>
  <c r="F49" i="76"/>
  <c r="E49" i="76"/>
  <c r="F48" i="76"/>
  <c r="E48" i="76"/>
  <c r="F47" i="76"/>
  <c r="E47" i="76"/>
  <c r="F46" i="76"/>
  <c r="E46" i="76"/>
  <c r="F45" i="76"/>
  <c r="E45" i="76"/>
  <c r="F44" i="76"/>
  <c r="E44" i="76"/>
  <c r="F43" i="76"/>
  <c r="E43" i="76"/>
  <c r="F42" i="76"/>
  <c r="E42" i="76"/>
  <c r="F41" i="76"/>
  <c r="E41" i="76"/>
  <c r="F40" i="76"/>
  <c r="E40" i="76"/>
  <c r="F39" i="76"/>
  <c r="E39" i="76"/>
  <c r="F38" i="76"/>
  <c r="E38" i="76"/>
  <c r="F37" i="76"/>
  <c r="E37" i="76"/>
  <c r="F36" i="76"/>
  <c r="E36" i="76"/>
  <c r="F35" i="76"/>
  <c r="E35" i="76"/>
  <c r="F34" i="76"/>
  <c r="E34" i="76"/>
  <c r="F33" i="76"/>
  <c r="E33" i="76"/>
  <c r="F32" i="76"/>
  <c r="E32" i="76"/>
  <c r="F31" i="76"/>
  <c r="E31" i="76"/>
  <c r="F30" i="76"/>
  <c r="E30" i="76"/>
  <c r="F29" i="76"/>
  <c r="E29" i="76"/>
  <c r="F28" i="76"/>
  <c r="E28" i="76"/>
  <c r="F27" i="76"/>
  <c r="E27" i="76"/>
  <c r="F26" i="76"/>
  <c r="E26" i="76"/>
  <c r="F25" i="76"/>
  <c r="E25" i="76"/>
  <c r="F24" i="76"/>
  <c r="E24" i="76"/>
  <c r="F23" i="76"/>
  <c r="E23" i="76"/>
  <c r="F22" i="76"/>
  <c r="E22" i="76"/>
  <c r="F21" i="76"/>
  <c r="E21" i="76"/>
  <c r="F20" i="76"/>
  <c r="E20" i="76"/>
  <c r="F19" i="76"/>
  <c r="E19" i="76"/>
  <c r="F18" i="76"/>
  <c r="E18" i="76"/>
  <c r="F17" i="76"/>
  <c r="E17" i="76"/>
  <c r="F16" i="76"/>
  <c r="E16" i="76"/>
  <c r="F15" i="76"/>
  <c r="E15" i="76"/>
  <c r="F14" i="76"/>
  <c r="E14" i="76"/>
  <c r="F13" i="76"/>
  <c r="E13" i="76"/>
  <c r="F12" i="76"/>
  <c r="E12" i="76"/>
  <c r="F11" i="76"/>
  <c r="E11" i="76"/>
  <c r="F10" i="76"/>
  <c r="E10" i="76"/>
  <c r="F9" i="76"/>
  <c r="E9" i="76"/>
  <c r="F8" i="76"/>
  <c r="E8" i="76"/>
  <c r="F7" i="76"/>
  <c r="E7" i="76"/>
  <c r="F6" i="76"/>
  <c r="E6" i="76"/>
  <c r="I210" i="78"/>
  <c r="G210" i="78"/>
  <c r="I209" i="78"/>
  <c r="G209" i="78"/>
  <c r="I208" i="78"/>
  <c r="G208" i="78"/>
  <c r="I207" i="78"/>
  <c r="G207" i="78"/>
  <c r="I206" i="78"/>
  <c r="G206" i="78"/>
  <c r="I205" i="78"/>
  <c r="G205" i="78"/>
  <c r="I204" i="78"/>
  <c r="G204" i="78"/>
  <c r="I203" i="78"/>
  <c r="G203" i="78"/>
  <c r="I202" i="78"/>
  <c r="G202" i="78"/>
  <c r="I201" i="78"/>
  <c r="G201" i="78"/>
  <c r="I200" i="78"/>
  <c r="G200" i="78"/>
  <c r="I199" i="78"/>
  <c r="G199" i="78"/>
  <c r="I198" i="78"/>
  <c r="G198" i="78"/>
  <c r="I197" i="78"/>
  <c r="G197" i="78"/>
  <c r="I196" i="78"/>
  <c r="G196" i="78"/>
  <c r="I195" i="78"/>
  <c r="G195" i="78"/>
  <c r="I194" i="78"/>
  <c r="G194" i="78"/>
  <c r="I193" i="78"/>
  <c r="G193" i="78"/>
  <c r="I192" i="78"/>
  <c r="G192" i="78"/>
  <c r="I191" i="78"/>
  <c r="G191" i="78"/>
  <c r="I190" i="78"/>
  <c r="G190" i="78"/>
  <c r="I189" i="78"/>
  <c r="G189" i="78"/>
  <c r="I188" i="78"/>
  <c r="G188" i="78"/>
  <c r="I187" i="78"/>
  <c r="G187" i="78"/>
  <c r="I186" i="78"/>
  <c r="G186" i="78"/>
  <c r="I185" i="78"/>
  <c r="G185" i="78"/>
  <c r="I184" i="78"/>
  <c r="G184" i="78"/>
  <c r="I183" i="78"/>
  <c r="G183" i="78"/>
  <c r="I182" i="78"/>
  <c r="G182" i="78"/>
  <c r="I181" i="78"/>
  <c r="G181" i="78"/>
  <c r="I180" i="78"/>
  <c r="G180" i="78"/>
  <c r="I178" i="78"/>
  <c r="G178" i="78"/>
  <c r="I177" i="78"/>
  <c r="G177" i="78"/>
  <c r="I176" i="78"/>
  <c r="G176" i="78"/>
  <c r="I175" i="78"/>
  <c r="G175" i="78"/>
  <c r="I174" i="78"/>
  <c r="G174" i="78"/>
  <c r="I173" i="78"/>
  <c r="G173" i="78"/>
  <c r="I172" i="78"/>
  <c r="G172" i="78"/>
  <c r="I170" i="78"/>
  <c r="G170" i="78"/>
  <c r="I169" i="78"/>
  <c r="G169" i="78"/>
  <c r="I168" i="78"/>
  <c r="G168" i="78"/>
  <c r="I167" i="78"/>
  <c r="G167" i="78"/>
  <c r="I166" i="78"/>
  <c r="G166" i="78"/>
  <c r="I165" i="78"/>
  <c r="G165" i="78"/>
  <c r="I164" i="78"/>
  <c r="G164" i="78"/>
  <c r="I163" i="78"/>
  <c r="G163" i="78"/>
  <c r="I162" i="78"/>
  <c r="G162" i="78"/>
  <c r="I161" i="78"/>
  <c r="G161" i="78"/>
  <c r="I160" i="78"/>
  <c r="G160" i="78"/>
  <c r="I159" i="78"/>
  <c r="G159" i="78"/>
  <c r="I158" i="78"/>
  <c r="G158" i="78"/>
  <c r="I157" i="78"/>
  <c r="G157" i="78"/>
  <c r="I156" i="78"/>
  <c r="G156" i="78"/>
  <c r="I155" i="78"/>
  <c r="G155" i="78"/>
  <c r="I154" i="78"/>
  <c r="G154" i="78"/>
  <c r="I153" i="78"/>
  <c r="G153" i="78"/>
  <c r="I152" i="78"/>
  <c r="G152" i="78"/>
  <c r="H148" i="78"/>
  <c r="D148" i="78"/>
  <c r="G147" i="78"/>
  <c r="D147" i="78"/>
  <c r="H146" i="78"/>
  <c r="D146" i="78"/>
  <c r="G145" i="78"/>
  <c r="D145" i="78"/>
  <c r="H144" i="78"/>
  <c r="D144" i="78"/>
  <c r="G143" i="78"/>
  <c r="D143" i="78"/>
  <c r="H142" i="78"/>
  <c r="D142" i="78"/>
  <c r="G141" i="78"/>
  <c r="D141" i="78"/>
  <c r="H140" i="78"/>
  <c r="D140" i="78"/>
  <c r="G139" i="78"/>
  <c r="D139" i="78"/>
  <c r="H138" i="78"/>
  <c r="D138" i="78"/>
  <c r="G137" i="78"/>
  <c r="D137" i="78"/>
  <c r="H136" i="78"/>
  <c r="D136" i="78"/>
  <c r="G135" i="78"/>
  <c r="D135" i="78"/>
  <c r="H134" i="78"/>
  <c r="D134" i="78"/>
  <c r="G133" i="78"/>
  <c r="D133" i="78"/>
  <c r="H132" i="78"/>
  <c r="D132" i="78"/>
  <c r="G131" i="78"/>
  <c r="D131" i="78"/>
  <c r="H127" i="78"/>
  <c r="D127" i="78"/>
  <c r="G126" i="78"/>
  <c r="D126" i="78"/>
  <c r="H125" i="78"/>
  <c r="D125" i="78"/>
  <c r="G124" i="78"/>
  <c r="D124" i="78"/>
  <c r="H123" i="78"/>
  <c r="D123" i="78"/>
  <c r="G122" i="78"/>
  <c r="D122" i="78"/>
  <c r="H121" i="78"/>
  <c r="D121" i="78"/>
  <c r="G120" i="78"/>
  <c r="D120" i="78"/>
  <c r="H119" i="78"/>
  <c r="D119" i="78"/>
  <c r="G118" i="78"/>
  <c r="D118" i="78"/>
  <c r="H117" i="78"/>
  <c r="D117" i="78"/>
  <c r="G116" i="78"/>
  <c r="D116" i="78"/>
  <c r="H115" i="78"/>
  <c r="D115" i="78"/>
  <c r="G114" i="78"/>
  <c r="D114" i="78"/>
  <c r="H113" i="78"/>
  <c r="D113" i="78"/>
  <c r="G112" i="78"/>
  <c r="D112" i="78"/>
  <c r="H111" i="78"/>
  <c r="D111" i="78"/>
  <c r="G110" i="78"/>
  <c r="D110" i="78"/>
  <c r="H109" i="78"/>
  <c r="D109" i="78"/>
  <c r="G108" i="78"/>
  <c r="D108" i="78"/>
  <c r="H107" i="78"/>
  <c r="D107" i="78"/>
  <c r="G106" i="78"/>
  <c r="D106" i="78"/>
  <c r="H105" i="78"/>
  <c r="D105" i="78"/>
  <c r="G104" i="78"/>
  <c r="D104" i="78"/>
  <c r="H103" i="78"/>
  <c r="D103" i="78"/>
  <c r="G102" i="78"/>
  <c r="D102" i="78"/>
  <c r="H101" i="78"/>
  <c r="D101" i="78"/>
  <c r="G100" i="78"/>
  <c r="D100" i="78"/>
  <c r="H99" i="78"/>
  <c r="D99" i="78"/>
  <c r="G98" i="78"/>
  <c r="D98" i="78"/>
  <c r="H94" i="78"/>
  <c r="D94" i="78"/>
  <c r="G93" i="78"/>
  <c r="D93" i="78"/>
  <c r="H92" i="78"/>
  <c r="D92" i="78"/>
  <c r="G91" i="78"/>
  <c r="D91" i="78"/>
  <c r="H90" i="78"/>
  <c r="D90" i="78"/>
  <c r="G89" i="78"/>
  <c r="D89" i="78"/>
  <c r="H88" i="78"/>
  <c r="D88" i="78"/>
  <c r="G87" i="78"/>
  <c r="D87" i="78"/>
  <c r="H86" i="78"/>
  <c r="D86" i="78"/>
  <c r="G85" i="78"/>
  <c r="D85" i="78"/>
  <c r="H84" i="78"/>
  <c r="D84" i="78"/>
  <c r="G83" i="78"/>
  <c r="D83" i="78"/>
  <c r="H82" i="78"/>
  <c r="D82" i="78"/>
  <c r="G81" i="78"/>
  <c r="D81" i="78"/>
  <c r="H80" i="78"/>
  <c r="D80" i="78"/>
  <c r="G79" i="78"/>
  <c r="D79" i="78"/>
  <c r="H78" i="78"/>
  <c r="D78" i="78"/>
  <c r="G77" i="78"/>
  <c r="D77" i="78"/>
  <c r="H76" i="78"/>
  <c r="D76" i="78"/>
  <c r="G75" i="78"/>
  <c r="D75" i="78"/>
  <c r="H74" i="78"/>
  <c r="D74" i="78"/>
  <c r="G73" i="78"/>
  <c r="D73" i="78"/>
  <c r="H72" i="78"/>
  <c r="D72" i="78"/>
  <c r="G71" i="78"/>
  <c r="D71" i="78"/>
  <c r="H70" i="78"/>
  <c r="D70" i="78"/>
  <c r="G69" i="78"/>
  <c r="D69" i="78"/>
  <c r="H68" i="78"/>
  <c r="D68" i="78"/>
  <c r="G67" i="78"/>
  <c r="D67" i="78"/>
  <c r="H63" i="78"/>
  <c r="D63" i="78"/>
  <c r="G62" i="78"/>
  <c r="D62" i="78"/>
  <c r="H61" i="78"/>
  <c r="D61" i="78"/>
  <c r="G60" i="78"/>
  <c r="D60" i="78"/>
  <c r="H59" i="78"/>
  <c r="D59" i="78"/>
  <c r="G58" i="78"/>
  <c r="D58" i="78"/>
  <c r="H57" i="78"/>
  <c r="D57" i="78"/>
  <c r="G56" i="78"/>
  <c r="D56" i="78"/>
  <c r="H55" i="78"/>
  <c r="D55" i="78"/>
  <c r="G54" i="78"/>
  <c r="D54" i="78"/>
  <c r="H53" i="78"/>
  <c r="D53" i="78"/>
  <c r="G52" i="78"/>
  <c r="D52" i="78"/>
  <c r="H51" i="78"/>
  <c r="D51" i="78"/>
  <c r="G50" i="78"/>
  <c r="D50" i="78"/>
  <c r="H49" i="78"/>
  <c r="D49" i="78"/>
  <c r="G48" i="78"/>
  <c r="D48" i="78"/>
  <c r="H47" i="78"/>
  <c r="D47" i="78"/>
  <c r="G46" i="78"/>
  <c r="D46" i="78"/>
  <c r="H45" i="78"/>
  <c r="D45" i="78"/>
  <c r="G44" i="78"/>
  <c r="D44" i="78"/>
  <c r="H43" i="78"/>
  <c r="D43" i="78"/>
  <c r="G42" i="78"/>
  <c r="D42" i="78"/>
  <c r="H41" i="78"/>
  <c r="D41" i="78"/>
  <c r="G40" i="78"/>
  <c r="D40" i="78"/>
  <c r="H39" i="78"/>
  <c r="D39" i="78"/>
  <c r="G38" i="78"/>
  <c r="D38" i="78"/>
  <c r="H37" i="78"/>
  <c r="D37" i="78"/>
  <c r="G36" i="78"/>
  <c r="D36" i="78"/>
  <c r="H32" i="78"/>
  <c r="D32" i="78"/>
  <c r="G31" i="78"/>
  <c r="D31" i="78"/>
  <c r="H30" i="78"/>
  <c r="D30" i="78"/>
  <c r="G29" i="78"/>
  <c r="D29" i="78"/>
  <c r="H28" i="78"/>
  <c r="D28" i="78"/>
  <c r="G27" i="78"/>
  <c r="D27" i="78"/>
  <c r="H26" i="78"/>
  <c r="D26" i="78"/>
  <c r="G25" i="78"/>
  <c r="D25" i="78"/>
  <c r="H24" i="78"/>
  <c r="D24" i="78"/>
  <c r="G23" i="78"/>
  <c r="D23" i="78"/>
  <c r="H22" i="78"/>
  <c r="D22" i="78"/>
  <c r="G21" i="78"/>
  <c r="D21" i="78"/>
  <c r="H20" i="78"/>
  <c r="D20" i="78"/>
  <c r="G19" i="78"/>
  <c r="D19" i="78"/>
  <c r="H18" i="78"/>
  <c r="D18" i="78"/>
  <c r="G17" i="78"/>
  <c r="D17" i="78"/>
  <c r="H16" i="78"/>
  <c r="D16" i="78"/>
  <c r="G15" i="78"/>
  <c r="D15" i="78"/>
  <c r="H14" i="78"/>
  <c r="D14" i="78"/>
  <c r="G13" i="78"/>
  <c r="D13" i="78"/>
  <c r="H12" i="78"/>
  <c r="D12" i="78"/>
  <c r="G11" i="78"/>
  <c r="D11" i="78"/>
  <c r="H10" i="78"/>
  <c r="D10" i="78"/>
  <c r="G9" i="78"/>
  <c r="D9" i="78"/>
  <c r="H8" i="78"/>
  <c r="D8" i="78"/>
  <c r="G7" i="78"/>
  <c r="D7" i="78"/>
  <c r="J35" i="75"/>
  <c r="I35" i="75"/>
  <c r="H35" i="75"/>
  <c r="G35" i="75"/>
  <c r="E35" i="75"/>
  <c r="D35" i="75"/>
  <c r="B35" i="75"/>
  <c r="A35" i="75"/>
  <c r="J32" i="75"/>
  <c r="I32" i="75"/>
  <c r="H32" i="75"/>
  <c r="G32" i="75"/>
  <c r="E32" i="75"/>
  <c r="D32" i="75"/>
  <c r="B32" i="75"/>
  <c r="A32" i="75"/>
  <c r="AK29" i="75"/>
  <c r="AJ29" i="75"/>
  <c r="AI29" i="75"/>
  <c r="AH29" i="75"/>
  <c r="AG29" i="75"/>
  <c r="AF29" i="75"/>
  <c r="AE29" i="75"/>
  <c r="AD29" i="75"/>
  <c r="AC29" i="75"/>
  <c r="AB29" i="75"/>
  <c r="AA29" i="75"/>
  <c r="Z29" i="75"/>
  <c r="Y29" i="75"/>
  <c r="X29" i="75"/>
  <c r="W29" i="75"/>
  <c r="V29" i="75"/>
  <c r="U29" i="75"/>
  <c r="T29" i="75"/>
  <c r="S29" i="75"/>
  <c r="R29" i="75"/>
  <c r="Q29" i="75"/>
  <c r="P29" i="75"/>
  <c r="O29" i="75"/>
  <c r="N29" i="75"/>
  <c r="M29" i="75"/>
  <c r="L29" i="75"/>
  <c r="K29" i="75"/>
  <c r="J29" i="75"/>
  <c r="I29" i="75"/>
  <c r="H29" i="75"/>
  <c r="G29" i="75"/>
  <c r="F29" i="75"/>
  <c r="E29" i="75"/>
  <c r="D29" i="75"/>
  <c r="C29" i="75"/>
  <c r="B29" i="75"/>
  <c r="A29" i="75"/>
  <c r="AA27" i="75"/>
  <c r="Z27" i="75"/>
  <c r="Y27" i="75"/>
  <c r="X27" i="75"/>
  <c r="W27" i="75"/>
  <c r="V27" i="75"/>
  <c r="U27" i="75"/>
  <c r="T27" i="75"/>
  <c r="R27" i="75"/>
  <c r="Q27" i="75"/>
  <c r="P27" i="75"/>
  <c r="M27" i="75"/>
  <c r="L27" i="75"/>
  <c r="K27" i="75"/>
  <c r="J27" i="75"/>
  <c r="I27" i="75"/>
  <c r="H27" i="75"/>
  <c r="G27" i="75"/>
  <c r="F27" i="75"/>
  <c r="D27" i="75"/>
  <c r="C27" i="75"/>
  <c r="B27" i="75"/>
  <c r="AK25" i="75"/>
  <c r="AJ25" i="75"/>
  <c r="AI25" i="75"/>
  <c r="AH25" i="75"/>
  <c r="AG25" i="75"/>
  <c r="AF25" i="75"/>
  <c r="AE25" i="75"/>
  <c r="AD25" i="75"/>
  <c r="AC25" i="75"/>
  <c r="AB25" i="75"/>
  <c r="AA25" i="75"/>
  <c r="Z25" i="75"/>
  <c r="Y25" i="75"/>
  <c r="X25" i="75"/>
  <c r="W25" i="75"/>
  <c r="V25" i="75"/>
  <c r="U25" i="75"/>
  <c r="T25" i="75"/>
  <c r="S25" i="75"/>
  <c r="R25" i="75"/>
  <c r="Q25" i="75"/>
  <c r="P25" i="75"/>
  <c r="O25" i="75"/>
  <c r="N25" i="75"/>
  <c r="M25" i="75"/>
  <c r="L25" i="75"/>
  <c r="K25" i="75"/>
  <c r="J25" i="75"/>
  <c r="I25" i="75"/>
  <c r="H25" i="75"/>
  <c r="G25" i="75"/>
  <c r="E25" i="75"/>
  <c r="D25" i="75"/>
  <c r="C25" i="75"/>
  <c r="B25" i="75"/>
  <c r="A25" i="75"/>
  <c r="AK23" i="75"/>
  <c r="AJ23" i="75"/>
  <c r="AI23" i="75"/>
  <c r="AH23" i="75"/>
  <c r="AG23" i="75"/>
  <c r="AF23" i="75"/>
  <c r="AE23" i="75"/>
  <c r="AD23" i="75"/>
  <c r="AB23" i="75"/>
  <c r="AA23" i="75"/>
  <c r="Z23" i="75"/>
  <c r="Y23" i="75"/>
  <c r="X23" i="75"/>
  <c r="W23" i="75"/>
  <c r="V23" i="75"/>
  <c r="U23" i="75"/>
  <c r="T23" i="75"/>
  <c r="S23" i="75"/>
  <c r="R23" i="75"/>
  <c r="Q23" i="75"/>
  <c r="P23" i="75"/>
  <c r="O23" i="75"/>
  <c r="N23" i="75"/>
  <c r="M23" i="75"/>
  <c r="L23" i="75"/>
  <c r="K23" i="75"/>
  <c r="J23" i="75"/>
  <c r="I23" i="75"/>
  <c r="H23" i="75"/>
  <c r="G23" i="75"/>
  <c r="F23" i="75"/>
  <c r="E23" i="75"/>
  <c r="D23" i="75"/>
  <c r="C23" i="75"/>
  <c r="B23" i="75"/>
  <c r="A23" i="75"/>
  <c r="F15" i="75"/>
  <c r="C15" i="75"/>
  <c r="R13" i="75"/>
  <c r="L13" i="75"/>
  <c r="H13" i="75"/>
  <c r="G13" i="75"/>
  <c r="F13" i="75"/>
  <c r="E13" i="75"/>
  <c r="D13" i="75"/>
  <c r="C13" i="75"/>
  <c r="B13" i="75"/>
  <c r="A13" i="75"/>
  <c r="R12" i="75"/>
  <c r="L12" i="75"/>
  <c r="J11" i="75"/>
  <c r="I11" i="75"/>
  <c r="H11" i="75"/>
  <c r="G11" i="75"/>
  <c r="F11" i="75"/>
  <c r="E11" i="75"/>
  <c r="D11" i="75"/>
  <c r="C11" i="75"/>
  <c r="B11" i="75"/>
  <c r="A11" i="75"/>
  <c r="J35" i="72" l="1"/>
  <c r="I35" i="72"/>
  <c r="H35" i="72"/>
  <c r="G35" i="72"/>
  <c r="E35" i="72"/>
  <c r="D35" i="72"/>
  <c r="B35" i="72"/>
  <c r="A35" i="72"/>
  <c r="J32" i="72"/>
  <c r="I32" i="72"/>
  <c r="H32" i="72"/>
  <c r="G32" i="72"/>
  <c r="E32" i="72"/>
  <c r="D32" i="72"/>
  <c r="B32" i="72"/>
  <c r="A32" i="72"/>
  <c r="AK29" i="72"/>
  <c r="AJ29" i="72"/>
  <c r="AI29" i="72"/>
  <c r="AH29" i="72"/>
  <c r="AG29" i="72"/>
  <c r="AF29" i="72"/>
  <c r="AE29" i="72"/>
  <c r="AD29" i="72"/>
  <c r="AC29" i="72"/>
  <c r="AB29" i="72"/>
  <c r="AA29" i="72"/>
  <c r="Z29" i="72"/>
  <c r="Y29" i="72"/>
  <c r="X29" i="72"/>
  <c r="W29" i="72"/>
  <c r="V29" i="72"/>
  <c r="U29" i="72"/>
  <c r="T29" i="72"/>
  <c r="S29" i="72"/>
  <c r="R29" i="72"/>
  <c r="Q29" i="72"/>
  <c r="P29" i="72"/>
  <c r="O29" i="72"/>
  <c r="N29" i="72"/>
  <c r="M29" i="72"/>
  <c r="L29" i="72"/>
  <c r="K29" i="72"/>
  <c r="J29" i="72"/>
  <c r="I29" i="72"/>
  <c r="H29" i="72"/>
  <c r="G29" i="72"/>
  <c r="F29" i="72"/>
  <c r="E29" i="72"/>
  <c r="D29" i="72"/>
  <c r="C29" i="72"/>
  <c r="B29" i="72"/>
  <c r="A29" i="72"/>
  <c r="AA27" i="72"/>
  <c r="Z27" i="72"/>
  <c r="Y27" i="72"/>
  <c r="X27" i="72"/>
  <c r="W27" i="72"/>
  <c r="V27" i="72"/>
  <c r="U27" i="72"/>
  <c r="T27" i="72"/>
  <c r="R27" i="72"/>
  <c r="Q27" i="72"/>
  <c r="P27" i="72"/>
  <c r="M27" i="72"/>
  <c r="L27" i="72"/>
  <c r="K27" i="72"/>
  <c r="J27" i="72"/>
  <c r="I27" i="72"/>
  <c r="H27" i="72"/>
  <c r="G27" i="72"/>
  <c r="F27" i="72"/>
  <c r="D27" i="72"/>
  <c r="C27" i="72"/>
  <c r="B27" i="72"/>
  <c r="AK25" i="72"/>
  <c r="AJ25" i="72"/>
  <c r="AI25" i="72"/>
  <c r="AH25" i="72"/>
  <c r="AG25" i="72"/>
  <c r="AF25" i="72"/>
  <c r="AE25" i="72"/>
  <c r="AD25" i="72"/>
  <c r="AC25" i="72"/>
  <c r="AB25" i="72"/>
  <c r="AA25" i="72"/>
  <c r="Z25" i="72"/>
  <c r="Y25" i="72"/>
  <c r="X25" i="72"/>
  <c r="W25" i="72"/>
  <c r="V25" i="72"/>
  <c r="U25" i="72"/>
  <c r="T25" i="72"/>
  <c r="S25" i="72"/>
  <c r="R25" i="72"/>
  <c r="Q25" i="72"/>
  <c r="P25" i="72"/>
  <c r="O25" i="72"/>
  <c r="N25" i="72"/>
  <c r="M25" i="72"/>
  <c r="L25" i="72"/>
  <c r="K25" i="72"/>
  <c r="J25" i="72"/>
  <c r="I25" i="72"/>
  <c r="H25" i="72"/>
  <c r="G25" i="72"/>
  <c r="E25" i="72"/>
  <c r="D25" i="72"/>
  <c r="C25" i="72"/>
  <c r="B25" i="72"/>
  <c r="A25" i="72"/>
  <c r="AK23" i="72"/>
  <c r="AJ23" i="72"/>
  <c r="AI23" i="72"/>
  <c r="AH23" i="72"/>
  <c r="AG23" i="72"/>
  <c r="AF23" i="72"/>
  <c r="AE23" i="72"/>
  <c r="AD23" i="72"/>
  <c r="AB23" i="72"/>
  <c r="AA23" i="72"/>
  <c r="Z23" i="72"/>
  <c r="Y23" i="72"/>
  <c r="X23" i="72"/>
  <c r="W23" i="72"/>
  <c r="V23" i="72"/>
  <c r="U23" i="72"/>
  <c r="T23" i="72"/>
  <c r="S23" i="72"/>
  <c r="R23" i="72"/>
  <c r="Q23" i="72"/>
  <c r="P23" i="72"/>
  <c r="O23" i="72"/>
  <c r="N23" i="72"/>
  <c r="M23" i="72"/>
  <c r="L23" i="72"/>
  <c r="K23" i="72"/>
  <c r="J23" i="72"/>
  <c r="I23" i="72"/>
  <c r="H23" i="72"/>
  <c r="G23" i="72"/>
  <c r="F23" i="72"/>
  <c r="E23" i="72"/>
  <c r="D23" i="72"/>
  <c r="C23" i="72"/>
  <c r="B23" i="72"/>
  <c r="A23" i="72"/>
  <c r="R13" i="72"/>
  <c r="L13" i="72"/>
  <c r="H13" i="72"/>
  <c r="G13" i="72"/>
  <c r="F13" i="72"/>
  <c r="E13" i="72"/>
  <c r="D13" i="72"/>
  <c r="C13" i="72"/>
  <c r="B13" i="72"/>
  <c r="A13" i="72"/>
  <c r="R12" i="72"/>
  <c r="L12" i="72"/>
  <c r="J11" i="72"/>
  <c r="I11" i="72"/>
  <c r="H11" i="72"/>
  <c r="G11" i="72"/>
  <c r="F11" i="72"/>
  <c r="E11" i="72"/>
  <c r="D11" i="72"/>
  <c r="C11" i="72"/>
  <c r="B11" i="72"/>
  <c r="A11" i="72"/>
  <c r="F65" i="68" l="1"/>
  <c r="E65" i="68"/>
  <c r="F62" i="68"/>
  <c r="E62" i="68"/>
  <c r="F61" i="68"/>
  <c r="E61" i="68"/>
  <c r="F58" i="68"/>
  <c r="E58" i="68"/>
  <c r="F57" i="68"/>
  <c r="E57" i="68"/>
  <c r="F55" i="68"/>
  <c r="E55" i="68"/>
  <c r="F54" i="68"/>
  <c r="E54" i="68"/>
  <c r="F50" i="68"/>
  <c r="E50" i="68"/>
  <c r="F49" i="68"/>
  <c r="E49" i="68"/>
  <c r="F48" i="68"/>
  <c r="E48" i="68"/>
  <c r="F47" i="68"/>
  <c r="E47" i="68"/>
  <c r="F46" i="68"/>
  <c r="E46" i="68"/>
  <c r="F45" i="68"/>
  <c r="E45" i="68"/>
  <c r="F44" i="68"/>
  <c r="E44" i="68"/>
  <c r="F43" i="68"/>
  <c r="E43" i="68"/>
  <c r="F42" i="68"/>
  <c r="E42" i="68"/>
  <c r="F41" i="68"/>
  <c r="E41" i="68"/>
  <c r="F40" i="68"/>
  <c r="E40" i="68"/>
  <c r="F39" i="68"/>
  <c r="E39" i="68"/>
  <c r="F38" i="68"/>
  <c r="E38" i="68"/>
  <c r="F37" i="68"/>
  <c r="E37" i="68"/>
  <c r="F36" i="68"/>
  <c r="E36" i="68"/>
  <c r="F35" i="68"/>
  <c r="E35" i="68"/>
  <c r="F33" i="68"/>
  <c r="E33" i="68"/>
  <c r="F32" i="68"/>
  <c r="E32" i="68"/>
  <c r="F30" i="68"/>
  <c r="E30" i="68"/>
  <c r="F29" i="68"/>
  <c r="E29" i="68"/>
  <c r="F28" i="68"/>
  <c r="E28" i="68"/>
  <c r="F27" i="68"/>
  <c r="E27" i="68"/>
  <c r="F26" i="68"/>
  <c r="E26" i="68"/>
  <c r="F25" i="68"/>
  <c r="E25" i="68"/>
  <c r="F24" i="68"/>
  <c r="E24" i="68"/>
  <c r="F23" i="68"/>
  <c r="E23" i="68"/>
  <c r="F22" i="68"/>
  <c r="E22" i="68"/>
  <c r="F21" i="68"/>
  <c r="E21" i="68"/>
  <c r="F20" i="68"/>
  <c r="E20" i="68"/>
  <c r="F19" i="68"/>
  <c r="E19" i="68"/>
  <c r="F18" i="68"/>
  <c r="E18" i="68"/>
  <c r="F15" i="68"/>
  <c r="E15" i="68"/>
  <c r="F14" i="68"/>
  <c r="E14" i="68"/>
  <c r="F12" i="68"/>
  <c r="E12" i="68"/>
  <c r="F11" i="68"/>
  <c r="E11" i="68"/>
  <c r="F10" i="68"/>
  <c r="E10" i="68"/>
  <c r="F7" i="68"/>
  <c r="E7" i="68"/>
  <c r="F6" i="68"/>
  <c r="AC38" i="67"/>
  <c r="U38" i="67"/>
  <c r="L38" i="67"/>
  <c r="J37" i="67"/>
  <c r="I37" i="67"/>
  <c r="H37" i="67"/>
  <c r="G37" i="67"/>
  <c r="E37" i="67"/>
  <c r="D37" i="67"/>
  <c r="B37" i="67"/>
  <c r="A37" i="67"/>
  <c r="J34" i="67"/>
  <c r="I34" i="67"/>
  <c r="H34" i="67"/>
  <c r="G34" i="67"/>
  <c r="E34" i="67"/>
  <c r="D34" i="67"/>
  <c r="B34" i="67"/>
  <c r="A34" i="67"/>
  <c r="AK31" i="67"/>
  <c r="AJ31" i="67"/>
  <c r="AI31" i="67"/>
  <c r="AH31" i="67"/>
  <c r="AG31" i="67"/>
  <c r="AF31" i="67"/>
  <c r="AE31" i="67"/>
  <c r="AD31" i="67"/>
  <c r="AC31" i="67"/>
  <c r="AB31" i="67"/>
  <c r="AA31" i="67"/>
  <c r="Z31" i="67"/>
  <c r="Y31" i="67"/>
  <c r="X31" i="67"/>
  <c r="W31" i="67"/>
  <c r="V31" i="67"/>
  <c r="U31" i="67"/>
  <c r="T31" i="67"/>
  <c r="S31" i="67"/>
  <c r="R31" i="67"/>
  <c r="Q31" i="67"/>
  <c r="P31" i="67"/>
  <c r="O31" i="67"/>
  <c r="N31" i="67"/>
  <c r="M31" i="67"/>
  <c r="L31" i="67"/>
  <c r="K31" i="67"/>
  <c r="J31" i="67"/>
  <c r="I31" i="67"/>
  <c r="H31" i="67"/>
  <c r="G31" i="67"/>
  <c r="F31" i="67"/>
  <c r="E31" i="67"/>
  <c r="D31" i="67"/>
  <c r="C31" i="67"/>
  <c r="B31" i="67"/>
  <c r="A31" i="67"/>
  <c r="AA29" i="67"/>
  <c r="Z29" i="67"/>
  <c r="Y29" i="67"/>
  <c r="X29" i="67"/>
  <c r="W29" i="67"/>
  <c r="V29" i="67"/>
  <c r="U29" i="67"/>
  <c r="T29" i="67"/>
  <c r="R29" i="67"/>
  <c r="Q29" i="67"/>
  <c r="P29" i="67"/>
  <c r="M29" i="67"/>
  <c r="L29" i="67"/>
  <c r="K29" i="67"/>
  <c r="J29" i="67"/>
  <c r="I29" i="67"/>
  <c r="H29" i="67"/>
  <c r="G29" i="67"/>
  <c r="F29" i="67"/>
  <c r="D29" i="67"/>
  <c r="C29" i="67"/>
  <c r="B29" i="67"/>
  <c r="AK27" i="67"/>
  <c r="AJ27" i="67"/>
  <c r="AI27" i="67"/>
  <c r="AH27" i="67"/>
  <c r="AG27" i="67"/>
  <c r="AF27" i="67"/>
  <c r="AE27" i="67"/>
  <c r="AD27" i="67"/>
  <c r="AC27" i="67"/>
  <c r="AB27" i="67"/>
  <c r="AA27" i="67"/>
  <c r="Z27" i="67"/>
  <c r="Y27" i="67"/>
  <c r="X27" i="67"/>
  <c r="W27" i="67"/>
  <c r="V27" i="67"/>
  <c r="U27" i="67"/>
  <c r="T27" i="67"/>
  <c r="S27" i="67"/>
  <c r="R27" i="67"/>
  <c r="Q27" i="67"/>
  <c r="P27" i="67"/>
  <c r="O27" i="67"/>
  <c r="N27" i="67"/>
  <c r="M27" i="67"/>
  <c r="L27" i="67"/>
  <c r="K27" i="67"/>
  <c r="J27" i="67"/>
  <c r="I27" i="67"/>
  <c r="H27" i="67"/>
  <c r="G27" i="67"/>
  <c r="E27" i="67"/>
  <c r="D27" i="67"/>
  <c r="C27" i="67"/>
  <c r="B27" i="67"/>
  <c r="A27" i="67"/>
  <c r="AK25" i="67"/>
  <c r="AJ25" i="67"/>
  <c r="AI25" i="67"/>
  <c r="AH25" i="67"/>
  <c r="AG25" i="67"/>
  <c r="AF25" i="67"/>
  <c r="AE25" i="67"/>
  <c r="AD25" i="67"/>
  <c r="AB25" i="67"/>
  <c r="AA25" i="67"/>
  <c r="Z25" i="67"/>
  <c r="Y25" i="67"/>
  <c r="X25" i="67"/>
  <c r="W25" i="67"/>
  <c r="V25" i="67"/>
  <c r="U25" i="67"/>
  <c r="T25" i="67"/>
  <c r="S25" i="67"/>
  <c r="R25" i="67"/>
  <c r="Q25" i="67"/>
  <c r="P25" i="67"/>
  <c r="O25" i="67"/>
  <c r="N25" i="67"/>
  <c r="M25" i="67"/>
  <c r="L25" i="67"/>
  <c r="K25" i="67"/>
  <c r="J25" i="67"/>
  <c r="I25" i="67"/>
  <c r="H25" i="67"/>
  <c r="G25" i="67"/>
  <c r="F25" i="67"/>
  <c r="E25" i="67"/>
  <c r="D25" i="67"/>
  <c r="C25" i="67"/>
  <c r="B25" i="67"/>
  <c r="A25" i="67"/>
  <c r="AK22" i="67"/>
  <c r="AJ22" i="67"/>
  <c r="AI22" i="67"/>
  <c r="AH22" i="67"/>
  <c r="AG22" i="67"/>
  <c r="AF22" i="67"/>
  <c r="AE22" i="67"/>
  <c r="AD22" i="67"/>
  <c r="AC22" i="67"/>
  <c r="AB22" i="67"/>
  <c r="AA22" i="67"/>
  <c r="Z22" i="67"/>
  <c r="Y22" i="67"/>
  <c r="X22" i="67"/>
  <c r="W22" i="67"/>
  <c r="V22" i="67"/>
  <c r="U22" i="67"/>
  <c r="T22" i="67"/>
  <c r="S22" i="67"/>
  <c r="R22" i="67"/>
  <c r="Q22" i="67"/>
  <c r="P22" i="67"/>
  <c r="O22" i="67"/>
  <c r="N22" i="67"/>
  <c r="M22" i="67"/>
  <c r="L22" i="67"/>
  <c r="K22" i="67"/>
  <c r="J22" i="67"/>
  <c r="I22" i="67"/>
  <c r="H22" i="67"/>
  <c r="G22" i="67"/>
  <c r="G15" i="67"/>
  <c r="E15" i="67"/>
  <c r="D15" i="67"/>
  <c r="B15" i="67"/>
  <c r="A15" i="67"/>
  <c r="R13" i="67"/>
  <c r="L13" i="67"/>
  <c r="H13" i="67"/>
  <c r="G13" i="67"/>
  <c r="F13" i="67"/>
  <c r="E13" i="67"/>
  <c r="D13" i="67"/>
  <c r="C13" i="67"/>
  <c r="B13" i="67"/>
  <c r="A13" i="67"/>
  <c r="R12" i="67"/>
  <c r="L12" i="67"/>
  <c r="J11" i="67"/>
  <c r="I11" i="67"/>
  <c r="H11" i="67"/>
  <c r="G11" i="67"/>
  <c r="F11" i="67"/>
  <c r="E11" i="67"/>
  <c r="D11" i="67"/>
  <c r="C11" i="67"/>
  <c r="B11" i="67"/>
  <c r="A11" i="67"/>
  <c r="K210" i="66"/>
  <c r="I210" i="66"/>
  <c r="K209" i="66"/>
  <c r="I209" i="66"/>
  <c r="K208" i="66"/>
  <c r="I208" i="66"/>
  <c r="K207" i="66"/>
  <c r="I207" i="66"/>
  <c r="K205" i="66"/>
  <c r="I205" i="66"/>
  <c r="K204" i="66"/>
  <c r="I204" i="66"/>
  <c r="K201" i="66"/>
  <c r="I201" i="66"/>
  <c r="K200" i="66"/>
  <c r="I200" i="66"/>
  <c r="K199" i="66"/>
  <c r="I199" i="66"/>
  <c r="K198" i="66"/>
  <c r="I198" i="66"/>
  <c r="K197" i="66"/>
  <c r="I197" i="66"/>
  <c r="K196" i="66"/>
  <c r="I196" i="66"/>
  <c r="K195" i="66"/>
  <c r="I195" i="66"/>
  <c r="K194" i="66"/>
  <c r="I194" i="66"/>
  <c r="K193" i="66"/>
  <c r="I193" i="66"/>
  <c r="K192" i="66"/>
  <c r="I192" i="66"/>
  <c r="K190" i="66"/>
  <c r="I190" i="66"/>
  <c r="K189" i="66"/>
  <c r="I189" i="66"/>
  <c r="K188" i="66"/>
  <c r="I188" i="66"/>
  <c r="K187" i="66"/>
  <c r="I187" i="66"/>
  <c r="K186" i="66"/>
  <c r="I186" i="66"/>
  <c r="K185" i="66"/>
  <c r="I185" i="66"/>
  <c r="K184" i="66"/>
  <c r="I184" i="66"/>
  <c r="K183" i="66"/>
  <c r="I183" i="66"/>
  <c r="K182" i="66"/>
  <c r="I182" i="66"/>
  <c r="K181" i="66"/>
  <c r="I181" i="66"/>
  <c r="K180" i="66"/>
  <c r="I180" i="66"/>
  <c r="K177" i="66"/>
  <c r="I177" i="66"/>
  <c r="K176" i="66"/>
  <c r="I176" i="66"/>
  <c r="K175" i="66"/>
  <c r="I175" i="66"/>
  <c r="K174" i="66"/>
  <c r="I174" i="66"/>
  <c r="K170" i="66"/>
  <c r="I170" i="66"/>
  <c r="K169" i="66"/>
  <c r="I169" i="66"/>
  <c r="K167" i="66"/>
  <c r="I167" i="66"/>
  <c r="K166" i="66"/>
  <c r="I166" i="66"/>
  <c r="K165" i="66"/>
  <c r="I165" i="66"/>
  <c r="K163" i="66"/>
  <c r="I163" i="66"/>
  <c r="K162" i="66"/>
  <c r="I162" i="66"/>
  <c r="K161" i="66"/>
  <c r="I161" i="66"/>
  <c r="K160" i="66"/>
  <c r="I160" i="66"/>
  <c r="K159" i="66"/>
  <c r="I159" i="66"/>
  <c r="K158" i="66"/>
  <c r="I158" i="66"/>
  <c r="K156" i="66"/>
  <c r="I156" i="66"/>
  <c r="K155" i="66"/>
  <c r="I155" i="66"/>
  <c r="K154" i="66"/>
  <c r="I154" i="66"/>
  <c r="K153" i="66"/>
  <c r="I153" i="66"/>
  <c r="J148" i="66"/>
  <c r="E148" i="66"/>
  <c r="I147" i="66"/>
  <c r="E147" i="66"/>
  <c r="J146" i="66"/>
  <c r="E146" i="66"/>
  <c r="I145" i="66"/>
  <c r="E145" i="66"/>
  <c r="J144" i="66"/>
  <c r="E144" i="66"/>
  <c r="E143" i="66"/>
  <c r="J142" i="66"/>
  <c r="E142" i="66"/>
  <c r="E141" i="66"/>
  <c r="E138" i="66"/>
  <c r="E137" i="66"/>
  <c r="E136" i="66"/>
  <c r="E135" i="66"/>
  <c r="J134" i="66"/>
  <c r="E134" i="66"/>
  <c r="E133" i="66"/>
  <c r="J132" i="66"/>
  <c r="E132" i="66"/>
  <c r="E131" i="66"/>
  <c r="J127" i="66"/>
  <c r="E127" i="66"/>
  <c r="E126" i="66"/>
  <c r="E124" i="66"/>
  <c r="J123" i="66"/>
  <c r="E123" i="66"/>
  <c r="E122" i="66"/>
  <c r="J121" i="66"/>
  <c r="E121" i="66"/>
  <c r="E120" i="66"/>
  <c r="J119" i="66"/>
  <c r="E119" i="66"/>
  <c r="E118" i="66"/>
  <c r="J117" i="66"/>
  <c r="E117" i="66"/>
  <c r="E116" i="66"/>
  <c r="J115" i="66"/>
  <c r="E115" i="66"/>
  <c r="E114" i="66"/>
  <c r="J113" i="66"/>
  <c r="E113" i="66"/>
  <c r="E112" i="66"/>
  <c r="J111" i="66"/>
  <c r="E111" i="66"/>
  <c r="E110" i="66"/>
  <c r="J109" i="66"/>
  <c r="E109" i="66"/>
  <c r="E108" i="66"/>
  <c r="J105" i="66"/>
  <c r="E105" i="66"/>
  <c r="E104" i="66"/>
  <c r="J103" i="66"/>
  <c r="E103" i="66"/>
  <c r="E102" i="66"/>
  <c r="J101" i="66"/>
  <c r="E101" i="66"/>
  <c r="I100" i="66"/>
  <c r="E100" i="66"/>
  <c r="J99" i="66"/>
  <c r="E99" i="66"/>
  <c r="I98" i="66"/>
  <c r="E98" i="66"/>
  <c r="J94" i="66"/>
  <c r="E94" i="66"/>
  <c r="E93" i="66"/>
  <c r="J92" i="66"/>
  <c r="E92" i="66"/>
  <c r="E91" i="66"/>
  <c r="J90" i="66"/>
  <c r="E90" i="66"/>
  <c r="I89" i="66"/>
  <c r="E89" i="66"/>
  <c r="J86" i="66"/>
  <c r="E86" i="66"/>
  <c r="E85" i="66"/>
  <c r="J84" i="66"/>
  <c r="E84" i="66"/>
  <c r="E83" i="66"/>
  <c r="J82" i="66"/>
  <c r="E82" i="66"/>
  <c r="E81" i="66"/>
  <c r="J80" i="66"/>
  <c r="E80" i="66"/>
  <c r="E79" i="66"/>
  <c r="J78" i="66"/>
  <c r="E78" i="66"/>
  <c r="E77" i="66"/>
  <c r="J76" i="66"/>
  <c r="E76" i="66"/>
  <c r="E75" i="66"/>
  <c r="J70" i="66"/>
  <c r="E70" i="66"/>
  <c r="E69" i="66"/>
  <c r="J68" i="66"/>
  <c r="E68" i="66"/>
  <c r="E67" i="66"/>
  <c r="J63" i="66"/>
  <c r="E63" i="66"/>
  <c r="E62" i="66"/>
  <c r="J61" i="66"/>
  <c r="E61" i="66"/>
  <c r="E60" i="66"/>
  <c r="J59" i="66"/>
  <c r="E59" i="66"/>
  <c r="E58" i="66"/>
  <c r="J57" i="66"/>
  <c r="E57" i="66"/>
  <c r="E56" i="66"/>
  <c r="J55" i="66"/>
  <c r="E55" i="66"/>
  <c r="E54" i="66"/>
  <c r="J53" i="66"/>
  <c r="E53" i="66"/>
  <c r="E52" i="66"/>
  <c r="J49" i="66"/>
  <c r="E49" i="66"/>
  <c r="E48" i="66"/>
  <c r="J47" i="66"/>
  <c r="E47" i="66"/>
  <c r="E46" i="66"/>
  <c r="J45" i="66"/>
  <c r="E45" i="66"/>
  <c r="E44" i="66"/>
  <c r="J43" i="66"/>
  <c r="E43" i="66"/>
  <c r="E42" i="66"/>
  <c r="J41" i="66"/>
  <c r="E41" i="66"/>
  <c r="E40" i="66"/>
  <c r="J39" i="66"/>
  <c r="E39" i="66"/>
  <c r="E38" i="66"/>
  <c r="J37" i="66"/>
  <c r="E37" i="66"/>
  <c r="E36" i="66"/>
  <c r="J32" i="66"/>
  <c r="E32" i="66"/>
  <c r="E31" i="66"/>
  <c r="J30" i="66"/>
  <c r="E30" i="66"/>
  <c r="E29" i="66"/>
  <c r="E27" i="66"/>
  <c r="J26" i="66"/>
  <c r="E26" i="66"/>
  <c r="E25" i="66"/>
  <c r="J24" i="66"/>
  <c r="E24" i="66"/>
  <c r="E23" i="66"/>
  <c r="J22" i="66"/>
  <c r="E22" i="66"/>
  <c r="E21" i="66"/>
  <c r="J20" i="66"/>
  <c r="E20" i="66"/>
  <c r="E19" i="66"/>
  <c r="J18" i="66"/>
  <c r="E18" i="66"/>
  <c r="E17" i="66"/>
  <c r="J16" i="66"/>
  <c r="E16" i="66"/>
  <c r="E15" i="66"/>
  <c r="J14" i="66"/>
  <c r="E14" i="66"/>
  <c r="E13" i="66"/>
  <c r="J40" i="65"/>
  <c r="I40" i="65"/>
  <c r="H40" i="65"/>
  <c r="G40" i="65"/>
  <c r="E40" i="65"/>
  <c r="D40" i="65"/>
  <c r="B40" i="65"/>
  <c r="AK37" i="65"/>
  <c r="AJ37" i="65"/>
  <c r="AI37" i="65"/>
  <c r="AH37" i="65"/>
  <c r="AG37" i="65"/>
  <c r="AF37" i="65"/>
  <c r="AE37" i="65"/>
  <c r="AD37" i="65"/>
  <c r="AC37" i="65"/>
  <c r="AB37" i="65"/>
  <c r="AA37" i="65"/>
  <c r="Z37" i="65"/>
  <c r="Y37" i="65"/>
  <c r="X37" i="65"/>
  <c r="W37" i="65"/>
  <c r="V37" i="65"/>
  <c r="U37" i="65"/>
  <c r="T37" i="65"/>
  <c r="S37" i="65"/>
  <c r="R37" i="65"/>
  <c r="Q37" i="65"/>
  <c r="P37" i="65"/>
  <c r="O37" i="65"/>
  <c r="N37" i="65"/>
  <c r="M37" i="65"/>
  <c r="L37" i="65"/>
  <c r="K37" i="65"/>
  <c r="J37" i="65"/>
  <c r="I37" i="65"/>
  <c r="H37" i="65"/>
  <c r="G37" i="65"/>
  <c r="F37" i="65"/>
  <c r="E37" i="65"/>
  <c r="D37" i="65"/>
  <c r="C37" i="65"/>
  <c r="B37" i="65"/>
  <c r="A37" i="65"/>
  <c r="AA35" i="65"/>
  <c r="Z35" i="65"/>
  <c r="Y35" i="65"/>
  <c r="X35" i="65"/>
  <c r="W35" i="65"/>
  <c r="V35" i="65"/>
  <c r="U35" i="65"/>
  <c r="T35" i="65"/>
  <c r="R35" i="65"/>
  <c r="Q35" i="65"/>
  <c r="P35" i="65"/>
  <c r="M35" i="65"/>
  <c r="L35" i="65"/>
  <c r="K35" i="65"/>
  <c r="J35" i="65"/>
  <c r="I35" i="65"/>
  <c r="H35" i="65"/>
  <c r="G35" i="65"/>
  <c r="F35" i="65"/>
  <c r="D35" i="65"/>
  <c r="C35" i="65"/>
  <c r="B35" i="65"/>
  <c r="AK30" i="65"/>
  <c r="AJ30" i="65"/>
  <c r="AI30" i="65"/>
  <c r="AH30" i="65"/>
  <c r="AG30" i="65"/>
  <c r="AF30" i="65"/>
  <c r="AE30" i="65"/>
  <c r="AD30" i="65"/>
  <c r="AC30" i="65"/>
  <c r="AB30" i="65"/>
  <c r="AA30" i="65"/>
  <c r="Z30" i="65"/>
  <c r="Y30" i="65"/>
  <c r="X30" i="65"/>
  <c r="W30" i="65"/>
  <c r="V30" i="65"/>
  <c r="U30" i="65"/>
  <c r="T30" i="65"/>
  <c r="S30" i="65"/>
  <c r="R30" i="65"/>
  <c r="Q30" i="65"/>
  <c r="P30" i="65"/>
  <c r="O30" i="65"/>
  <c r="N30" i="65"/>
  <c r="M30" i="65"/>
  <c r="L30" i="65"/>
  <c r="K30" i="65"/>
  <c r="J30" i="65"/>
  <c r="I30" i="65"/>
  <c r="H30" i="65"/>
  <c r="E30" i="65"/>
  <c r="D30" i="65"/>
  <c r="C30" i="65"/>
  <c r="B30" i="65"/>
  <c r="A30" i="65"/>
  <c r="AK28" i="65"/>
  <c r="AJ28" i="65"/>
  <c r="AI28" i="65"/>
  <c r="AH28" i="65"/>
  <c r="AG28" i="65"/>
  <c r="AF28" i="65"/>
  <c r="AE28" i="65"/>
  <c r="AD28" i="65"/>
  <c r="AB28" i="65"/>
  <c r="AA28" i="65"/>
  <c r="Z28" i="65"/>
  <c r="Y28" i="65"/>
  <c r="X28" i="65"/>
  <c r="W28" i="65"/>
  <c r="V28" i="65"/>
  <c r="U28" i="65"/>
  <c r="T28" i="65"/>
  <c r="S28" i="65"/>
  <c r="R28" i="65"/>
  <c r="Q28" i="65"/>
  <c r="P28" i="65"/>
  <c r="O28" i="65"/>
  <c r="N28" i="65"/>
  <c r="M28" i="65"/>
  <c r="L28" i="65"/>
  <c r="K28" i="65"/>
  <c r="J28" i="65"/>
  <c r="I28" i="65"/>
  <c r="H28" i="65"/>
  <c r="G28" i="65"/>
  <c r="F28" i="65"/>
  <c r="E28" i="65"/>
  <c r="D28" i="65"/>
  <c r="C28" i="65"/>
  <c r="B28" i="65"/>
  <c r="A28" i="65"/>
  <c r="AK25" i="65"/>
  <c r="AJ25" i="65"/>
  <c r="AI25" i="65"/>
  <c r="AH25" i="65"/>
  <c r="AG25" i="65"/>
  <c r="AF25" i="65"/>
  <c r="AE25" i="65"/>
  <c r="AD25" i="65"/>
  <c r="AC25" i="65"/>
  <c r="AB25" i="65"/>
  <c r="AA25" i="65"/>
  <c r="Z25" i="65"/>
  <c r="Y25" i="65"/>
  <c r="X25" i="65"/>
  <c r="W25" i="65"/>
  <c r="V25" i="65"/>
  <c r="U25" i="65"/>
  <c r="T25" i="65"/>
  <c r="S25" i="65"/>
  <c r="R25" i="65"/>
  <c r="Q25" i="65"/>
  <c r="P25" i="65"/>
  <c r="O25" i="65"/>
  <c r="N25" i="65"/>
  <c r="M25" i="65"/>
  <c r="L25" i="65"/>
  <c r="K25" i="65"/>
  <c r="J25" i="65"/>
  <c r="I25" i="65"/>
  <c r="H25" i="65"/>
  <c r="G25" i="65"/>
  <c r="AG22" i="65"/>
  <c r="AF22" i="65"/>
  <c r="AE22" i="65"/>
  <c r="AD22" i="65"/>
  <c r="AC22" i="65"/>
  <c r="AB22" i="65"/>
  <c r="AA22" i="65"/>
  <c r="Z22" i="65"/>
  <c r="Y22" i="65"/>
  <c r="X22" i="65"/>
  <c r="W22" i="65"/>
  <c r="V22" i="65"/>
  <c r="U22" i="65"/>
  <c r="T22" i="65"/>
  <c r="S22" i="65"/>
  <c r="R22" i="65"/>
  <c r="Q22" i="65"/>
  <c r="P22" i="65"/>
  <c r="O22" i="65"/>
  <c r="N22" i="65"/>
  <c r="M22" i="65"/>
  <c r="L22" i="65"/>
  <c r="K22" i="65"/>
  <c r="J22" i="65"/>
  <c r="I22" i="65"/>
  <c r="H22" i="65"/>
  <c r="G22" i="65"/>
  <c r="F22" i="65"/>
  <c r="E22" i="65"/>
  <c r="D22" i="65"/>
  <c r="C22" i="65"/>
  <c r="B22" i="65"/>
  <c r="A22" i="65"/>
  <c r="G15" i="65"/>
  <c r="E15" i="65"/>
  <c r="D15" i="65"/>
  <c r="B15" i="65"/>
  <c r="A15" i="65"/>
  <c r="H13" i="65"/>
  <c r="G13" i="65"/>
  <c r="F13" i="65"/>
  <c r="E13" i="65"/>
  <c r="D13" i="65"/>
  <c r="C13" i="65"/>
  <c r="B13" i="65"/>
  <c r="A13" i="65"/>
  <c r="L12" i="65"/>
  <c r="J11" i="65"/>
  <c r="I11" i="65"/>
  <c r="H11" i="65"/>
  <c r="G11" i="65"/>
  <c r="F11" i="65"/>
  <c r="E11" i="65"/>
  <c r="D11" i="65"/>
  <c r="C11" i="65"/>
  <c r="B11" i="65"/>
  <c r="A11" i="65"/>
  <c r="B22" i="69"/>
  <c r="B21" i="69"/>
  <c r="B19" i="69"/>
  <c r="B18" i="69"/>
  <c r="B14" i="69"/>
  <c r="B13" i="69"/>
  <c r="B12" i="69"/>
  <c r="B11" i="69"/>
  <c r="B9" i="69"/>
  <c r="B8" i="69"/>
  <c r="F12" i="43"/>
  <c r="C12" i="43"/>
  <c r="K11" i="43"/>
  <c r="J11" i="43"/>
  <c r="K10" i="43"/>
  <c r="J10" i="43"/>
  <c r="I25" i="41"/>
  <c r="H25" i="41"/>
  <c r="F25" i="41"/>
  <c r="E25" i="41"/>
  <c r="F22" i="41"/>
  <c r="E22" i="41"/>
  <c r="I20" i="41"/>
  <c r="H20" i="41"/>
  <c r="I19" i="41"/>
  <c r="H19" i="41"/>
  <c r="F19" i="41"/>
  <c r="E19" i="41"/>
  <c r="F14" i="41"/>
  <c r="E14" i="41"/>
  <c r="F10" i="41"/>
  <c r="E10" i="41"/>
  <c r="F4" i="41"/>
  <c r="E4" i="41"/>
  <c r="I3" i="41"/>
  <c r="H3" i="41"/>
  <c r="F3" i="41"/>
  <c r="E3" i="41"/>
  <c r="C9" i="40"/>
  <c r="F9" i="40" s="1"/>
  <c r="B9" i="40"/>
  <c r="E9" i="40" s="1"/>
  <c r="I7" i="40"/>
  <c r="H7" i="40"/>
  <c r="I5" i="40"/>
  <c r="H5" i="40"/>
  <c r="I3" i="40"/>
  <c r="I4" i="40" s="1"/>
  <c r="H3" i="40"/>
  <c r="H4" i="40" s="1"/>
  <c r="F17" i="39"/>
  <c r="E17" i="39"/>
  <c r="F11" i="39"/>
  <c r="E11" i="39"/>
  <c r="R12" i="38"/>
  <c r="Q12" i="38"/>
  <c r="F7" i="38"/>
  <c r="L12" i="38" s="1"/>
  <c r="E7" i="38"/>
  <c r="K12" i="38" s="1"/>
  <c r="D7" i="38"/>
  <c r="J7" i="38" s="1"/>
  <c r="C7" i="38"/>
  <c r="B7" i="38"/>
  <c r="O6" i="38"/>
  <c r="N6" i="38"/>
  <c r="L6" i="38"/>
  <c r="K6" i="38"/>
  <c r="O5" i="38"/>
  <c r="N5" i="38"/>
  <c r="L5" i="38"/>
  <c r="K5" i="38"/>
  <c r="O4" i="38"/>
  <c r="N4" i="38"/>
  <c r="L4" i="38"/>
  <c r="K4" i="38"/>
  <c r="G8" i="37"/>
  <c r="F8" i="37"/>
  <c r="E8" i="37"/>
  <c r="D8" i="37"/>
  <c r="C8" i="37"/>
  <c r="B8" i="37"/>
  <c r="G7" i="36"/>
  <c r="O7" i="36" s="1"/>
  <c r="F7" i="36"/>
  <c r="N7" i="36" s="1"/>
  <c r="E7" i="36"/>
  <c r="M7" i="36" s="1"/>
  <c r="D7" i="36"/>
  <c r="L7" i="36" s="1"/>
  <c r="C7" i="36"/>
  <c r="K7" i="36" s="1"/>
  <c r="B7" i="36"/>
  <c r="J7" i="36" s="1"/>
  <c r="C8" i="35"/>
  <c r="B8" i="35"/>
  <c r="C13" i="33"/>
  <c r="F13" i="33" s="1"/>
  <c r="B13" i="33"/>
  <c r="E13" i="33" s="1"/>
  <c r="C9" i="33"/>
  <c r="I9" i="33" s="1"/>
  <c r="B9" i="33"/>
  <c r="E9" i="33" s="1"/>
  <c r="C6" i="33"/>
  <c r="B6" i="33"/>
  <c r="H6" i="33" s="1"/>
  <c r="C3" i="33"/>
  <c r="I3" i="33" s="1"/>
  <c r="B3" i="33"/>
  <c r="H3" i="33" s="1"/>
  <c r="H19" i="32"/>
  <c r="I8" i="32"/>
  <c r="H8" i="32"/>
  <c r="I4" i="32"/>
  <c r="H4" i="32"/>
  <c r="C7" i="30"/>
  <c r="C9" i="30" s="1"/>
  <c r="B7" i="30"/>
  <c r="E7" i="30" s="1"/>
  <c r="C8" i="28"/>
  <c r="B8" i="28"/>
  <c r="E8" i="28" s="1"/>
  <c r="C5" i="28"/>
  <c r="F5" i="28" s="1"/>
  <c r="B5" i="28"/>
  <c r="E5" i="28" s="1"/>
  <c r="F35" i="27"/>
  <c r="F34" i="27"/>
  <c r="L34" i="27" s="1"/>
  <c r="F33" i="27"/>
  <c r="F32" i="27"/>
  <c r="L32" i="27" s="1"/>
  <c r="F31" i="27"/>
  <c r="L31" i="27" s="1"/>
  <c r="F30" i="27"/>
  <c r="L30" i="27" s="1"/>
  <c r="E29" i="27"/>
  <c r="K29" i="27" s="1"/>
  <c r="D29" i="27"/>
  <c r="J29" i="27" s="1"/>
  <c r="C29" i="27"/>
  <c r="I29" i="27" s="1"/>
  <c r="B29" i="27"/>
  <c r="H29" i="27" s="1"/>
  <c r="F28" i="27"/>
  <c r="N10" i="27" s="1"/>
  <c r="F27" i="27"/>
  <c r="L27" i="27" s="1"/>
  <c r="F26" i="27"/>
  <c r="L26" i="27" s="1"/>
  <c r="F25" i="27"/>
  <c r="L25" i="27" s="1"/>
  <c r="F24" i="27"/>
  <c r="N6" i="27" s="1"/>
  <c r="E23" i="27"/>
  <c r="K23" i="27" s="1"/>
  <c r="D23" i="27"/>
  <c r="J23" i="27" s="1"/>
  <c r="C23" i="27"/>
  <c r="I23" i="27" s="1"/>
  <c r="B23" i="27"/>
  <c r="H23" i="27" s="1"/>
  <c r="F17" i="27"/>
  <c r="L17" i="27" s="1"/>
  <c r="F16" i="27"/>
  <c r="L16" i="27" s="1"/>
  <c r="F15" i="27"/>
  <c r="L15" i="27" s="1"/>
  <c r="F14" i="27"/>
  <c r="L14" i="27" s="1"/>
  <c r="F13" i="27"/>
  <c r="L13" i="27" s="1"/>
  <c r="N12" i="27"/>
  <c r="F12" i="27"/>
  <c r="L12" i="27" s="1"/>
  <c r="E11" i="27"/>
  <c r="K11" i="27" s="1"/>
  <c r="D11" i="27"/>
  <c r="J11" i="27" s="1"/>
  <c r="C11" i="27"/>
  <c r="I11" i="27" s="1"/>
  <c r="B11" i="27"/>
  <c r="H11" i="27" s="1"/>
  <c r="F10" i="27"/>
  <c r="L10" i="27" s="1"/>
  <c r="F9" i="27"/>
  <c r="L9" i="27" s="1"/>
  <c r="F8" i="27"/>
  <c r="L8" i="27" s="1"/>
  <c r="N7" i="27"/>
  <c r="F7" i="27"/>
  <c r="L7" i="27" s="1"/>
  <c r="F6" i="27"/>
  <c r="L6" i="27" s="1"/>
  <c r="E5" i="27"/>
  <c r="K5" i="27" s="1"/>
  <c r="D5" i="27"/>
  <c r="J5" i="27" s="1"/>
  <c r="C5" i="27"/>
  <c r="I5" i="27" s="1"/>
  <c r="B5" i="27"/>
  <c r="F44" i="50"/>
  <c r="I44" i="50" s="1"/>
  <c r="F43" i="50"/>
  <c r="F42" i="50"/>
  <c r="I42" i="50" s="1"/>
  <c r="F41" i="50"/>
  <c r="I41" i="50" s="1"/>
  <c r="F40" i="50"/>
  <c r="I40" i="50" s="1"/>
  <c r="F39" i="50"/>
  <c r="M39" i="50" s="1"/>
  <c r="F38" i="50"/>
  <c r="K16" i="50" s="1"/>
  <c r="F37" i="50"/>
  <c r="K15" i="50" s="1"/>
  <c r="F36" i="50"/>
  <c r="I36" i="50" s="1"/>
  <c r="F35" i="50"/>
  <c r="M35" i="50" s="1"/>
  <c r="F34" i="50"/>
  <c r="K12" i="50" s="1"/>
  <c r="F33" i="50"/>
  <c r="F32" i="50"/>
  <c r="M32" i="50" s="1"/>
  <c r="F31" i="50"/>
  <c r="F30" i="50"/>
  <c r="M30" i="50" s="1"/>
  <c r="F29" i="50"/>
  <c r="M29" i="50" s="1"/>
  <c r="F28" i="50"/>
  <c r="F27" i="50"/>
  <c r="I27" i="50" s="1"/>
  <c r="F22" i="50"/>
  <c r="I22" i="50" s="1"/>
  <c r="F21" i="50"/>
  <c r="I21" i="50" s="1"/>
  <c r="K20" i="50"/>
  <c r="F20" i="50"/>
  <c r="I20" i="50" s="1"/>
  <c r="F19" i="50"/>
  <c r="I19" i="50" s="1"/>
  <c r="F18" i="50"/>
  <c r="F17" i="50"/>
  <c r="M17" i="50" s="1"/>
  <c r="F16" i="50"/>
  <c r="M16" i="50" s="1"/>
  <c r="F15" i="50"/>
  <c r="F14" i="50"/>
  <c r="M14" i="50" s="1"/>
  <c r="F13" i="50"/>
  <c r="M13" i="50" s="1"/>
  <c r="F12" i="50"/>
  <c r="M12" i="50" s="1"/>
  <c r="F11" i="50"/>
  <c r="F10" i="50"/>
  <c r="M10" i="50" s="1"/>
  <c r="F9" i="50"/>
  <c r="M9" i="50" s="1"/>
  <c r="F8" i="50"/>
  <c r="F7" i="50"/>
  <c r="I6" i="50"/>
  <c r="F6" i="50"/>
  <c r="M6" i="50" s="1"/>
  <c r="F5" i="50"/>
  <c r="M5" i="50" s="1"/>
  <c r="B26" i="26"/>
  <c r="D26" i="26" s="1"/>
  <c r="B14" i="26"/>
  <c r="D14" i="26" s="1"/>
  <c r="G7" i="25"/>
  <c r="O7" i="25" s="1"/>
  <c r="F7" i="25"/>
  <c r="N7" i="25" s="1"/>
  <c r="E7" i="25"/>
  <c r="M7" i="25" s="1"/>
  <c r="D7" i="25"/>
  <c r="L7" i="25" s="1"/>
  <c r="C7" i="25"/>
  <c r="K7" i="25" s="1"/>
  <c r="B7" i="25"/>
  <c r="J7" i="25" s="1"/>
  <c r="C12" i="24"/>
  <c r="I12" i="24" s="1"/>
  <c r="B12" i="24"/>
  <c r="C9" i="24"/>
  <c r="F9" i="24" s="1"/>
  <c r="B9" i="24"/>
  <c r="C6" i="24"/>
  <c r="I6" i="24" s="1"/>
  <c r="B6" i="24"/>
  <c r="H6" i="24" s="1"/>
  <c r="C3" i="24"/>
  <c r="F3" i="24" s="1"/>
  <c r="B3" i="24"/>
  <c r="E5" i="21"/>
  <c r="L5" i="21" s="1"/>
  <c r="D5" i="21"/>
  <c r="K5" i="21" s="1"/>
  <c r="C5" i="21"/>
  <c r="J5" i="21" s="1"/>
  <c r="B5" i="21"/>
  <c r="I5" i="21" s="1"/>
  <c r="F4" i="21"/>
  <c r="M4" i="21" s="1"/>
  <c r="F3" i="21"/>
  <c r="M3" i="21" s="1"/>
  <c r="D13" i="55"/>
  <c r="I13" i="55" s="1"/>
  <c r="C13" i="55"/>
  <c r="H13" i="55" s="1"/>
  <c r="B13" i="55"/>
  <c r="G13" i="55" s="1"/>
  <c r="E12" i="55"/>
  <c r="J12" i="55" s="1"/>
  <c r="E11" i="55"/>
  <c r="J11" i="55" s="1"/>
  <c r="E10" i="55"/>
  <c r="J10" i="55" s="1"/>
  <c r="E9" i="55"/>
  <c r="J9" i="55" s="1"/>
  <c r="E8" i="55"/>
  <c r="J8" i="55" s="1"/>
  <c r="E7" i="55"/>
  <c r="J7" i="55" s="1"/>
  <c r="C8" i="20"/>
  <c r="I8" i="20" s="1"/>
  <c r="B8" i="20"/>
  <c r="H8" i="20" s="1"/>
  <c r="I6" i="20"/>
  <c r="H6" i="20"/>
  <c r="I5" i="20"/>
  <c r="H5" i="20"/>
  <c r="I4" i="20"/>
  <c r="I7" i="20" s="1"/>
  <c r="H4" i="20"/>
  <c r="H7" i="20" s="1"/>
  <c r="C10" i="54"/>
  <c r="B10" i="54"/>
  <c r="C7" i="54"/>
  <c r="F7" i="54" s="1"/>
  <c r="B7" i="54"/>
  <c r="H7" i="54" s="1"/>
  <c r="C19" i="18"/>
  <c r="G19" i="18" s="1"/>
  <c r="B19" i="18"/>
  <c r="F19" i="18" s="1"/>
  <c r="D18" i="18"/>
  <c r="D17" i="18"/>
  <c r="H16" i="18"/>
  <c r="D16" i="18"/>
  <c r="J16" i="18" s="1"/>
  <c r="D15" i="18"/>
  <c r="J15" i="18" s="1"/>
  <c r="D14" i="18"/>
  <c r="J14" i="18" s="1"/>
  <c r="D13" i="18"/>
  <c r="D12" i="18"/>
  <c r="H12" i="18" s="1"/>
  <c r="C10" i="18"/>
  <c r="G10" i="18" s="1"/>
  <c r="B10" i="18"/>
  <c r="F10" i="18" s="1"/>
  <c r="D9" i="18"/>
  <c r="D8" i="18"/>
  <c r="D7" i="18"/>
  <c r="J7" i="18" s="1"/>
  <c r="D6" i="18"/>
  <c r="J6" i="18" s="1"/>
  <c r="D5" i="18"/>
  <c r="J5" i="18" s="1"/>
  <c r="E9" i="17"/>
  <c r="D9" i="17"/>
  <c r="C9" i="17"/>
  <c r="B9" i="17"/>
  <c r="F8" i="17"/>
  <c r="N8" i="17" s="1"/>
  <c r="F7" i="17"/>
  <c r="L7" i="17" s="1"/>
  <c r="F6" i="17"/>
  <c r="N6" i="17" s="1"/>
  <c r="F5" i="17"/>
  <c r="F4" i="17"/>
  <c r="N4" i="17" s="1"/>
  <c r="D13" i="56"/>
  <c r="J13" i="56" s="1"/>
  <c r="C13" i="56"/>
  <c r="I13" i="56" s="1"/>
  <c r="B13" i="56"/>
  <c r="H13" i="56" s="1"/>
  <c r="D6" i="56"/>
  <c r="J6" i="56" s="1"/>
  <c r="C6" i="56"/>
  <c r="I6" i="56" s="1"/>
  <c r="B6" i="56"/>
  <c r="H6" i="56" s="1"/>
  <c r="E12" i="14"/>
  <c r="K12" i="14" s="1"/>
  <c r="D12" i="14"/>
  <c r="J12" i="14" s="1"/>
  <c r="C12" i="14"/>
  <c r="I12" i="14" s="1"/>
  <c r="B12" i="14"/>
  <c r="H12" i="14" s="1"/>
  <c r="F11" i="14"/>
  <c r="N11" i="14" s="1"/>
  <c r="F10" i="14"/>
  <c r="L10" i="14" s="1"/>
  <c r="F9" i="14"/>
  <c r="N9" i="14" s="1"/>
  <c r="F8" i="14"/>
  <c r="N8" i="14" s="1"/>
  <c r="F7" i="14"/>
  <c r="F6" i="14"/>
  <c r="L6" i="14" s="1"/>
  <c r="F5" i="14"/>
  <c r="L5" i="14" s="1"/>
  <c r="E7" i="13"/>
  <c r="K7" i="13" s="1"/>
  <c r="D7" i="13"/>
  <c r="J7" i="13" s="1"/>
  <c r="C7" i="13"/>
  <c r="I7" i="13" s="1"/>
  <c r="B7" i="13"/>
  <c r="H7" i="13" s="1"/>
  <c r="F6" i="13"/>
  <c r="L6" i="13" s="1"/>
  <c r="F5" i="13"/>
  <c r="L5" i="13" s="1"/>
  <c r="F4" i="13"/>
  <c r="L4" i="13" s="1"/>
  <c r="F3" i="13"/>
  <c r="L3" i="13" s="1"/>
  <c r="F7" i="12"/>
  <c r="L7" i="12" s="1"/>
  <c r="E7" i="12"/>
  <c r="K7" i="12" s="1"/>
  <c r="D7" i="12"/>
  <c r="J7" i="12" s="1"/>
  <c r="C7" i="12"/>
  <c r="I7" i="12" s="1"/>
  <c r="G6" i="12"/>
  <c r="M6" i="12" s="1"/>
  <c r="G5" i="12"/>
  <c r="M5" i="12" s="1"/>
  <c r="G4" i="12"/>
  <c r="M4" i="12" s="1"/>
  <c r="G3" i="12"/>
  <c r="F19" i="11"/>
  <c r="I46" i="9"/>
  <c r="S46" i="9" s="1"/>
  <c r="H46" i="9"/>
  <c r="R46" i="9" s="1"/>
  <c r="G46" i="9"/>
  <c r="Q46" i="9" s="1"/>
  <c r="F46" i="9"/>
  <c r="P46" i="9" s="1"/>
  <c r="E46" i="9"/>
  <c r="O46" i="9" s="1"/>
  <c r="D46" i="9"/>
  <c r="N46" i="9" s="1"/>
  <c r="C46" i="9"/>
  <c r="M46" i="9" s="1"/>
  <c r="B46" i="9"/>
  <c r="L46" i="9" s="1"/>
  <c r="I44" i="9"/>
  <c r="S44" i="9" s="1"/>
  <c r="H44" i="9"/>
  <c r="R44" i="9" s="1"/>
  <c r="G44" i="9"/>
  <c r="F44" i="9"/>
  <c r="P44" i="9" s="1"/>
  <c r="E44" i="9"/>
  <c r="O44" i="9" s="1"/>
  <c r="D44" i="9"/>
  <c r="N44" i="9" s="1"/>
  <c r="C44" i="9"/>
  <c r="W17" i="9" s="1"/>
  <c r="B44" i="9"/>
  <c r="L44" i="9" s="1"/>
  <c r="J43" i="9"/>
  <c r="T43" i="9" s="1"/>
  <c r="J42" i="9"/>
  <c r="T42" i="9" s="1"/>
  <c r="J41" i="9"/>
  <c r="I39" i="9"/>
  <c r="S39" i="9" s="1"/>
  <c r="H39" i="9"/>
  <c r="G39" i="9"/>
  <c r="Q39" i="9" s="1"/>
  <c r="F39" i="9"/>
  <c r="P39" i="9" s="1"/>
  <c r="E39" i="9"/>
  <c r="O39" i="9" s="1"/>
  <c r="D39" i="9"/>
  <c r="C39" i="9"/>
  <c r="M39" i="9" s="1"/>
  <c r="B39" i="9"/>
  <c r="L39" i="9" s="1"/>
  <c r="J38" i="9"/>
  <c r="T38" i="9" s="1"/>
  <c r="J37" i="9"/>
  <c r="T37" i="9" s="1"/>
  <c r="J36" i="9"/>
  <c r="I34" i="9"/>
  <c r="S34" i="9" s="1"/>
  <c r="H34" i="9"/>
  <c r="G34" i="9"/>
  <c r="Q34" i="9" s="1"/>
  <c r="F34" i="9"/>
  <c r="F47" i="9" s="1"/>
  <c r="AJ47" i="9" s="1"/>
  <c r="E34" i="9"/>
  <c r="O34" i="9" s="1"/>
  <c r="D34" i="9"/>
  <c r="C34" i="9"/>
  <c r="B34" i="9"/>
  <c r="V6" i="9" s="1"/>
  <c r="J33" i="9"/>
  <c r="T33" i="9" s="1"/>
  <c r="J32" i="9"/>
  <c r="T32" i="9" s="1"/>
  <c r="J31" i="9"/>
  <c r="T31" i="9" s="1"/>
  <c r="J30" i="9"/>
  <c r="T30" i="9" s="1"/>
  <c r="I22" i="9"/>
  <c r="S22" i="9" s="1"/>
  <c r="H22" i="9"/>
  <c r="R22" i="9" s="1"/>
  <c r="G22" i="9"/>
  <c r="Q22" i="9" s="1"/>
  <c r="F22" i="9"/>
  <c r="E22" i="9"/>
  <c r="D22" i="9"/>
  <c r="N22" i="9" s="1"/>
  <c r="C22" i="9"/>
  <c r="M22" i="9" s="1"/>
  <c r="B22" i="9"/>
  <c r="I20" i="9"/>
  <c r="S20" i="9" s="1"/>
  <c r="H20" i="9"/>
  <c r="R20" i="9" s="1"/>
  <c r="G20" i="9"/>
  <c r="Q20" i="9" s="1"/>
  <c r="F20" i="9"/>
  <c r="P20" i="9" s="1"/>
  <c r="E20" i="9"/>
  <c r="O20" i="9" s="1"/>
  <c r="D20" i="9"/>
  <c r="N20" i="9" s="1"/>
  <c r="C20" i="9"/>
  <c r="B20" i="9"/>
  <c r="L20" i="9" s="1"/>
  <c r="J19" i="9"/>
  <c r="T19" i="9" s="1"/>
  <c r="J18" i="9"/>
  <c r="T18" i="9" s="1"/>
  <c r="Y17" i="9"/>
  <c r="J17" i="9"/>
  <c r="I15" i="9"/>
  <c r="H15" i="9"/>
  <c r="R15" i="9" s="1"/>
  <c r="G15" i="9"/>
  <c r="Q15" i="9" s="1"/>
  <c r="F15" i="9"/>
  <c r="E15" i="9"/>
  <c r="D15" i="9"/>
  <c r="N15" i="9" s="1"/>
  <c r="C15" i="9"/>
  <c r="M15" i="9" s="1"/>
  <c r="B15" i="9"/>
  <c r="J14" i="9"/>
  <c r="T14" i="9" s="1"/>
  <c r="J13" i="9"/>
  <c r="T13" i="9" s="1"/>
  <c r="Z12" i="9"/>
  <c r="V12" i="9"/>
  <c r="J12" i="9"/>
  <c r="T12" i="9" s="1"/>
  <c r="I10" i="9"/>
  <c r="S10" i="9" s="1"/>
  <c r="H10" i="9"/>
  <c r="G10" i="9"/>
  <c r="Q10" i="9" s="1"/>
  <c r="F10" i="9"/>
  <c r="AJ10" i="9" s="1"/>
  <c r="E10" i="9"/>
  <c r="AI10" i="9" s="1"/>
  <c r="D10" i="9"/>
  <c r="C10" i="9"/>
  <c r="B10" i="9"/>
  <c r="AF10" i="9" s="1"/>
  <c r="J9" i="9"/>
  <c r="T9" i="9" s="1"/>
  <c r="J8" i="9"/>
  <c r="T8" i="9" s="1"/>
  <c r="J7" i="9"/>
  <c r="AC6" i="9"/>
  <c r="Y6" i="9"/>
  <c r="W6" i="9"/>
  <c r="J6" i="9"/>
  <c r="T6" i="9" s="1"/>
  <c r="I46" i="7"/>
  <c r="S46" i="7" s="1"/>
  <c r="H46" i="7"/>
  <c r="R46" i="7" s="1"/>
  <c r="G46" i="7"/>
  <c r="Q46" i="7" s="1"/>
  <c r="F46" i="7"/>
  <c r="P46" i="7" s="1"/>
  <c r="E46" i="7"/>
  <c r="O46" i="7" s="1"/>
  <c r="D46" i="7"/>
  <c r="N46" i="7" s="1"/>
  <c r="C46" i="7"/>
  <c r="M46" i="7" s="1"/>
  <c r="B46" i="7"/>
  <c r="L46" i="7" s="1"/>
  <c r="I44" i="7"/>
  <c r="AC17" i="7" s="1"/>
  <c r="H44" i="7"/>
  <c r="R44" i="7" s="1"/>
  <c r="G44" i="7"/>
  <c r="Q44" i="7" s="1"/>
  <c r="F44" i="7"/>
  <c r="Z17" i="7" s="1"/>
  <c r="E44" i="7"/>
  <c r="Y17" i="7" s="1"/>
  <c r="D44" i="7"/>
  <c r="N44" i="7" s="1"/>
  <c r="C44" i="7"/>
  <c r="B44" i="7"/>
  <c r="V17" i="7" s="1"/>
  <c r="J43" i="7"/>
  <c r="T43" i="7" s="1"/>
  <c r="J42" i="7"/>
  <c r="J41" i="7"/>
  <c r="T41" i="7" s="1"/>
  <c r="I39" i="7"/>
  <c r="S39" i="7" s="1"/>
  <c r="H39" i="7"/>
  <c r="R39" i="7" s="1"/>
  <c r="G39" i="7"/>
  <c r="F39" i="7"/>
  <c r="Z12" i="7" s="1"/>
  <c r="E39" i="7"/>
  <c r="O39" i="7" s="1"/>
  <c r="D39" i="7"/>
  <c r="N39" i="7" s="1"/>
  <c r="C39" i="7"/>
  <c r="B39" i="7"/>
  <c r="L39" i="7" s="1"/>
  <c r="J38" i="7"/>
  <c r="J37" i="7"/>
  <c r="T37" i="7" s="1"/>
  <c r="J36" i="7"/>
  <c r="T36" i="7" s="1"/>
  <c r="I34" i="7"/>
  <c r="S34" i="7" s="1"/>
  <c r="H34" i="7"/>
  <c r="R34" i="7" s="1"/>
  <c r="G34" i="7"/>
  <c r="G47" i="7" s="1"/>
  <c r="F34" i="7"/>
  <c r="Z6" i="7" s="1"/>
  <c r="E34" i="7"/>
  <c r="O34" i="7" s="1"/>
  <c r="D34" i="7"/>
  <c r="N34" i="7" s="1"/>
  <c r="C34" i="7"/>
  <c r="B34" i="7"/>
  <c r="J33" i="7"/>
  <c r="T33" i="7" s="1"/>
  <c r="J32" i="7"/>
  <c r="T32" i="7" s="1"/>
  <c r="J31" i="7"/>
  <c r="T31" i="7" s="1"/>
  <c r="J30" i="7"/>
  <c r="I22" i="7"/>
  <c r="H22" i="7"/>
  <c r="R22" i="7" s="1"/>
  <c r="G22" i="7"/>
  <c r="Q22" i="7" s="1"/>
  <c r="F22" i="7"/>
  <c r="P22" i="7" s="1"/>
  <c r="E22" i="7"/>
  <c r="D22" i="7"/>
  <c r="C22" i="7"/>
  <c r="M22" i="7" s="1"/>
  <c r="B22" i="7"/>
  <c r="L22" i="7" s="1"/>
  <c r="I20" i="7"/>
  <c r="S20" i="7" s="1"/>
  <c r="H20" i="7"/>
  <c r="R20" i="7" s="1"/>
  <c r="G20" i="7"/>
  <c r="Q20" i="7" s="1"/>
  <c r="F20" i="7"/>
  <c r="P20" i="7" s="1"/>
  <c r="E20" i="7"/>
  <c r="O20" i="7" s="1"/>
  <c r="D20" i="7"/>
  <c r="N20" i="7" s="1"/>
  <c r="C20" i="7"/>
  <c r="B20" i="7"/>
  <c r="L20" i="7" s="1"/>
  <c r="J19" i="7"/>
  <c r="T19" i="7" s="1"/>
  <c r="J18" i="7"/>
  <c r="J17" i="7"/>
  <c r="I15" i="7"/>
  <c r="H15" i="7"/>
  <c r="R15" i="7" s="1"/>
  <c r="G15" i="7"/>
  <c r="AK15" i="7" s="1"/>
  <c r="F15" i="7"/>
  <c r="AJ15" i="7" s="1"/>
  <c r="E15" i="7"/>
  <c r="D15" i="7"/>
  <c r="C15" i="7"/>
  <c r="M15" i="7" s="1"/>
  <c r="B15" i="7"/>
  <c r="L15" i="7" s="1"/>
  <c r="J14" i="7"/>
  <c r="T14" i="7" s="1"/>
  <c r="J13" i="7"/>
  <c r="T13" i="7" s="1"/>
  <c r="AC12" i="7"/>
  <c r="V12" i="7"/>
  <c r="J12" i="7"/>
  <c r="T12" i="7" s="1"/>
  <c r="I10" i="7"/>
  <c r="AM10" i="7" s="1"/>
  <c r="H10" i="7"/>
  <c r="AL10" i="7" s="1"/>
  <c r="G10" i="7"/>
  <c r="F10" i="7"/>
  <c r="E10" i="7"/>
  <c r="O10" i="7" s="1"/>
  <c r="D10" i="7"/>
  <c r="N10" i="7" s="1"/>
  <c r="C10" i="7"/>
  <c r="B10" i="7"/>
  <c r="L10" i="7" s="1"/>
  <c r="J9" i="7"/>
  <c r="T9" i="7" s="1"/>
  <c r="J8" i="7"/>
  <c r="J7" i="7"/>
  <c r="T7" i="7" s="1"/>
  <c r="Y6" i="7"/>
  <c r="X6" i="7"/>
  <c r="V6" i="7"/>
  <c r="J6" i="7"/>
  <c r="H47" i="5"/>
  <c r="Q47" i="5" s="1"/>
  <c r="G47" i="5"/>
  <c r="P47" i="5" s="1"/>
  <c r="F47" i="5"/>
  <c r="O47" i="5" s="1"/>
  <c r="E47" i="5"/>
  <c r="N47" i="5" s="1"/>
  <c r="D47" i="5"/>
  <c r="M47" i="5" s="1"/>
  <c r="C47" i="5"/>
  <c r="L47" i="5" s="1"/>
  <c r="B47" i="5"/>
  <c r="K47" i="5" s="1"/>
  <c r="H45" i="5"/>
  <c r="Q45" i="5" s="1"/>
  <c r="G45" i="5"/>
  <c r="P45" i="5" s="1"/>
  <c r="F45" i="5"/>
  <c r="O45" i="5" s="1"/>
  <c r="E45" i="5"/>
  <c r="N45" i="5" s="1"/>
  <c r="D45" i="5"/>
  <c r="V17" i="5" s="1"/>
  <c r="C45" i="5"/>
  <c r="U17" i="5" s="1"/>
  <c r="B45" i="5"/>
  <c r="K45" i="5" s="1"/>
  <c r="I44" i="5"/>
  <c r="R44" i="5" s="1"/>
  <c r="I43" i="5"/>
  <c r="R43" i="5" s="1"/>
  <c r="I42" i="5"/>
  <c r="H40" i="5"/>
  <c r="Q40" i="5" s="1"/>
  <c r="G40" i="5"/>
  <c r="P40" i="5" s="1"/>
  <c r="F40" i="5"/>
  <c r="O40" i="5" s="1"/>
  <c r="E40" i="5"/>
  <c r="D40" i="5"/>
  <c r="M40" i="5" s="1"/>
  <c r="C40" i="5"/>
  <c r="L40" i="5" s="1"/>
  <c r="B40" i="5"/>
  <c r="T12" i="5" s="1"/>
  <c r="I39" i="5"/>
  <c r="I38" i="5"/>
  <c r="R38" i="5" s="1"/>
  <c r="I37" i="5"/>
  <c r="H35" i="5"/>
  <c r="Q35" i="5" s="1"/>
  <c r="G35" i="5"/>
  <c r="Y6" i="5" s="1"/>
  <c r="F35" i="5"/>
  <c r="X6" i="5" s="1"/>
  <c r="E35" i="5"/>
  <c r="W6" i="5" s="1"/>
  <c r="D35" i="5"/>
  <c r="V6" i="5" s="1"/>
  <c r="C35" i="5"/>
  <c r="U6" i="5" s="1"/>
  <c r="B35" i="5"/>
  <c r="I34" i="5"/>
  <c r="R34" i="5" s="1"/>
  <c r="I33" i="5"/>
  <c r="R33" i="5" s="1"/>
  <c r="I32" i="5"/>
  <c r="R32" i="5" s="1"/>
  <c r="I31" i="5"/>
  <c r="R31" i="5" s="1"/>
  <c r="H22" i="5"/>
  <c r="G22" i="5"/>
  <c r="P22" i="5" s="1"/>
  <c r="F22" i="5"/>
  <c r="E22" i="5"/>
  <c r="D22" i="5"/>
  <c r="M22" i="5" s="1"/>
  <c r="C22" i="5"/>
  <c r="B22" i="5"/>
  <c r="K22" i="5" s="1"/>
  <c r="H20" i="5"/>
  <c r="Q20" i="5" s="1"/>
  <c r="G20" i="5"/>
  <c r="P20" i="5" s="1"/>
  <c r="F20" i="5"/>
  <c r="O20" i="5" s="1"/>
  <c r="E20" i="5"/>
  <c r="N20" i="5" s="1"/>
  <c r="D20" i="5"/>
  <c r="M20" i="5" s="1"/>
  <c r="C20" i="5"/>
  <c r="L20" i="5" s="1"/>
  <c r="B20" i="5"/>
  <c r="K20" i="5" s="1"/>
  <c r="I19" i="5"/>
  <c r="R19" i="5" s="1"/>
  <c r="I18" i="5"/>
  <c r="R18" i="5" s="1"/>
  <c r="Y17" i="5"/>
  <c r="I17" i="5"/>
  <c r="H15" i="5"/>
  <c r="G15" i="5"/>
  <c r="F15" i="5"/>
  <c r="O15" i="5" s="1"/>
  <c r="E15" i="5"/>
  <c r="N15" i="5" s="1"/>
  <c r="D15" i="5"/>
  <c r="AE15" i="5" s="1"/>
  <c r="C15" i="5"/>
  <c r="AD15" i="5" s="1"/>
  <c r="B15" i="5"/>
  <c r="K15" i="5" s="1"/>
  <c r="I14" i="5"/>
  <c r="R14" i="5" s="1"/>
  <c r="I13" i="5"/>
  <c r="Y12" i="5"/>
  <c r="I12" i="5"/>
  <c r="R12" i="5" s="1"/>
  <c r="H10" i="5"/>
  <c r="G10" i="5"/>
  <c r="F10" i="5"/>
  <c r="O10" i="5" s="1"/>
  <c r="E10" i="5"/>
  <c r="D10" i="5"/>
  <c r="C10" i="5"/>
  <c r="B10" i="5"/>
  <c r="K10" i="5" s="1"/>
  <c r="I9" i="5"/>
  <c r="R9" i="5" s="1"/>
  <c r="I8" i="5"/>
  <c r="R8" i="5" s="1"/>
  <c r="I7" i="5"/>
  <c r="R7" i="5" s="1"/>
  <c r="T6" i="5"/>
  <c r="I6" i="5"/>
  <c r="R6" i="5" s="1"/>
  <c r="F9" i="52"/>
  <c r="E9" i="52"/>
  <c r="D9" i="52"/>
  <c r="C9" i="52"/>
  <c r="E10" i="4"/>
  <c r="D10" i="4"/>
  <c r="C10" i="4"/>
  <c r="B10" i="4"/>
  <c r="E64" i="62"/>
  <c r="E60" i="88" s="1"/>
  <c r="E23" i="88"/>
  <c r="D9" i="88"/>
  <c r="F60" i="68"/>
  <c r="F59" i="68"/>
  <c r="E59" i="68"/>
  <c r="E53" i="68"/>
  <c r="E51" i="68"/>
  <c r="F17" i="68"/>
  <c r="E17" i="68"/>
  <c r="F13" i="68"/>
  <c r="E13" i="68"/>
  <c r="F9" i="68"/>
  <c r="E9" i="68"/>
  <c r="K206" i="66"/>
  <c r="I206" i="66"/>
  <c r="K203" i="66"/>
  <c r="I203" i="66"/>
  <c r="I202" i="66"/>
  <c r="K191" i="66"/>
  <c r="I191" i="66"/>
  <c r="K178" i="66"/>
  <c r="I178" i="66"/>
  <c r="K173" i="66"/>
  <c r="K172" i="66"/>
  <c r="K168" i="66"/>
  <c r="I168" i="66"/>
  <c r="K164" i="66"/>
  <c r="I164" i="66"/>
  <c r="K157" i="66"/>
  <c r="I157" i="66"/>
  <c r="K152" i="66"/>
  <c r="I143" i="66"/>
  <c r="J140" i="66"/>
  <c r="E140" i="66"/>
  <c r="E139" i="66"/>
  <c r="J138" i="66"/>
  <c r="I137" i="66"/>
  <c r="J136" i="66"/>
  <c r="I135" i="66"/>
  <c r="I133" i="66"/>
  <c r="I131" i="66"/>
  <c r="I126" i="66"/>
  <c r="E125" i="66"/>
  <c r="I122" i="66"/>
  <c r="I120" i="66"/>
  <c r="I118" i="66"/>
  <c r="I116" i="66"/>
  <c r="I114" i="66"/>
  <c r="I112" i="66"/>
  <c r="I110" i="66"/>
  <c r="I108" i="66"/>
  <c r="J107" i="66"/>
  <c r="I106" i="66"/>
  <c r="E107" i="66"/>
  <c r="E106" i="66"/>
  <c r="I104" i="66"/>
  <c r="I102" i="66"/>
  <c r="I93" i="66"/>
  <c r="I91" i="66"/>
  <c r="J88" i="66"/>
  <c r="E88" i="66"/>
  <c r="E87" i="66"/>
  <c r="I85" i="66"/>
  <c r="I83" i="66"/>
  <c r="I81" i="66"/>
  <c r="I79" i="66"/>
  <c r="I77" i="66"/>
  <c r="J74" i="66"/>
  <c r="E74" i="66"/>
  <c r="E73" i="66"/>
  <c r="E72" i="66"/>
  <c r="E71" i="66"/>
  <c r="I69" i="66"/>
  <c r="I67" i="66"/>
  <c r="I62" i="66"/>
  <c r="I60" i="66"/>
  <c r="I58" i="66"/>
  <c r="I56" i="66"/>
  <c r="I54" i="66"/>
  <c r="J51" i="66"/>
  <c r="E51" i="66"/>
  <c r="E50" i="66"/>
  <c r="I48" i="66"/>
  <c r="I46" i="66"/>
  <c r="I44" i="66"/>
  <c r="I42" i="66"/>
  <c r="I40" i="66"/>
  <c r="I38" i="66"/>
  <c r="I36" i="66"/>
  <c r="H31" i="66"/>
  <c r="H29" i="66"/>
  <c r="J28" i="66"/>
  <c r="H25" i="66"/>
  <c r="H23" i="66"/>
  <c r="H21" i="66"/>
  <c r="H19" i="66"/>
  <c r="H17" i="66"/>
  <c r="H15" i="66"/>
  <c r="J12" i="66"/>
  <c r="E12" i="66"/>
  <c r="Q10" i="60"/>
  <c r="Q9" i="60"/>
  <c r="Q8" i="60"/>
  <c r="Q7" i="60"/>
  <c r="Q6" i="60"/>
  <c r="Q5" i="60"/>
  <c r="X735" i="71"/>
  <c r="AP735" i="71" s="1"/>
  <c r="N735" i="71"/>
  <c r="AO735" i="71" s="1"/>
  <c r="AD697" i="71"/>
  <c r="AD702" i="71" s="1"/>
  <c r="AD686" i="86" s="1"/>
  <c r="Z702" i="71"/>
  <c r="AL702" i="71" s="1"/>
  <c r="V697" i="71"/>
  <c r="R697" i="71"/>
  <c r="N697" i="71"/>
  <c r="AM696" i="71"/>
  <c r="AL696" i="71"/>
  <c r="AM695" i="71"/>
  <c r="AM694" i="71"/>
  <c r="AL694" i="71"/>
  <c r="V670" i="86"/>
  <c r="R670" i="86"/>
  <c r="N670" i="86"/>
  <c r="AO640" i="71"/>
  <c r="AO638" i="71"/>
  <c r="AM638" i="71"/>
  <c r="AL638" i="71"/>
  <c r="AO636" i="71"/>
  <c r="AL636" i="71"/>
  <c r="AO634" i="71"/>
  <c r="AM634" i="71"/>
  <c r="AL634" i="71"/>
  <c r="N613" i="71"/>
  <c r="AO548" i="71"/>
  <c r="AO546" i="71"/>
  <c r="AC539" i="71"/>
  <c r="AM539" i="71" s="1"/>
  <c r="AC538" i="71"/>
  <c r="AM538" i="71" s="1"/>
  <c r="AC537" i="71"/>
  <c r="AC535" i="71"/>
  <c r="AC533" i="86" s="1"/>
  <c r="AM502" i="71"/>
  <c r="AL502" i="71"/>
  <c r="AM499" i="71"/>
  <c r="AL499" i="71"/>
  <c r="AM496" i="71"/>
  <c r="AL496" i="71"/>
  <c r="AM493" i="71"/>
  <c r="AL493" i="71"/>
  <c r="N484" i="71"/>
  <c r="AO484" i="71" s="1"/>
  <c r="AA443" i="71"/>
  <c r="AA442" i="71"/>
  <c r="AO442" i="71" s="1"/>
  <c r="AA441" i="71"/>
  <c r="AA440" i="71"/>
  <c r="AA438" i="71"/>
  <c r="AO438" i="71" s="1"/>
  <c r="AA437" i="71"/>
  <c r="T435" i="71"/>
  <c r="M435" i="71"/>
  <c r="AA433" i="71"/>
  <c r="AA432" i="71"/>
  <c r="AO432" i="71" s="1"/>
  <c r="AA431" i="71"/>
  <c r="AO431" i="71" s="1"/>
  <c r="AA430" i="71"/>
  <c r="X411" i="71"/>
  <c r="S411" i="71"/>
  <c r="N411" i="71"/>
  <c r="I411" i="71"/>
  <c r="I409" i="86" s="1"/>
  <c r="AC410" i="71"/>
  <c r="AC409" i="71"/>
  <c r="AC407" i="86" s="1"/>
  <c r="AC408" i="71"/>
  <c r="AC406" i="86" s="1"/>
  <c r="AC407" i="71"/>
  <c r="AC405" i="86" s="1"/>
  <c r="AC406" i="71"/>
  <c r="X375" i="71"/>
  <c r="S375" i="71"/>
  <c r="N375" i="71"/>
  <c r="I375" i="71"/>
  <c r="AC374" i="71"/>
  <c r="AC373" i="71"/>
  <c r="AC372" i="71"/>
  <c r="AC371" i="71"/>
  <c r="AC370" i="71"/>
  <c r="AC369" i="71"/>
  <c r="AO369" i="71" s="1"/>
  <c r="AC368" i="71"/>
  <c r="T331" i="86"/>
  <c r="H331" i="86"/>
  <c r="W325" i="86"/>
  <c r="K325" i="86"/>
  <c r="AM320" i="71"/>
  <c r="Z319" i="86"/>
  <c r="W319" i="86"/>
  <c r="T319" i="86"/>
  <c r="N319" i="86"/>
  <c r="K319" i="86"/>
  <c r="H319" i="86"/>
  <c r="AF315" i="86"/>
  <c r="AC309" i="71"/>
  <c r="AC308" i="86" s="1"/>
  <c r="Z309" i="71"/>
  <c r="Z308" i="86" s="1"/>
  <c r="W309" i="71"/>
  <c r="T309" i="71"/>
  <c r="Q309" i="71"/>
  <c r="Q308" i="86" s="1"/>
  <c r="N308" i="86"/>
  <c r="K309" i="71"/>
  <c r="H309" i="71"/>
  <c r="H306" i="86"/>
  <c r="AF305" i="71"/>
  <c r="AF304" i="71"/>
  <c r="AF303" i="71"/>
  <c r="AC300" i="86"/>
  <c r="W300" i="86"/>
  <c r="Q300" i="86"/>
  <c r="N300" i="86"/>
  <c r="AF299" i="71"/>
  <c r="AF298" i="71"/>
  <c r="AU297" i="71"/>
  <c r="AF297" i="71"/>
  <c r="AM295" i="71"/>
  <c r="AC295" i="71"/>
  <c r="BJ295" i="71" s="1"/>
  <c r="Z295" i="71"/>
  <c r="BI295" i="71" s="1"/>
  <c r="W295" i="71"/>
  <c r="T295" i="71"/>
  <c r="Q295" i="71"/>
  <c r="BE295" i="71"/>
  <c r="K295" i="71"/>
  <c r="H295" i="71"/>
  <c r="AF294" i="71"/>
  <c r="AF293" i="71"/>
  <c r="AF292" i="86" s="1"/>
  <c r="AF292" i="71"/>
  <c r="S262" i="86"/>
  <c r="P262" i="86"/>
  <c r="AE258" i="86"/>
  <c r="S256" i="86"/>
  <c r="P256" i="86"/>
  <c r="M250" i="86"/>
  <c r="AR227" i="71"/>
  <c r="AE246" i="86"/>
  <c r="AB245" i="71"/>
  <c r="Y245" i="71"/>
  <c r="V245" i="71"/>
  <c r="S245" i="71"/>
  <c r="S239" i="86" s="1"/>
  <c r="P245" i="71"/>
  <c r="P239" i="86" s="1"/>
  <c r="M245" i="71"/>
  <c r="J245" i="71"/>
  <c r="AE233" i="86"/>
  <c r="AE227" i="86"/>
  <c r="AB231" i="71"/>
  <c r="Y231" i="71"/>
  <c r="V231" i="71"/>
  <c r="S231" i="71"/>
  <c r="P231" i="71"/>
  <c r="M231" i="71"/>
  <c r="BB231" i="71" s="1"/>
  <c r="J231" i="71"/>
  <c r="AE230" i="71"/>
  <c r="AE229" i="71"/>
  <c r="AE228" i="71"/>
  <c r="AE227" i="71"/>
  <c r="AE245" i="71" s="1"/>
  <c r="I16" i="50" l="1"/>
  <c r="L28" i="27"/>
  <c r="U12" i="5"/>
  <c r="F23" i="7"/>
  <c r="AJ23" i="7" s="1"/>
  <c r="V17" i="9"/>
  <c r="N9" i="27"/>
  <c r="AB17" i="7"/>
  <c r="Y12" i="9"/>
  <c r="N6" i="14"/>
  <c r="L24" i="27"/>
  <c r="AA6" i="9"/>
  <c r="K7" i="50"/>
  <c r="W17" i="5"/>
  <c r="AA12" i="9"/>
  <c r="AO406" i="71"/>
  <c r="AC404" i="86"/>
  <c r="AO410" i="71"/>
  <c r="AC408" i="86"/>
  <c r="AF15" i="5"/>
  <c r="Z6" i="5"/>
  <c r="G48" i="5"/>
  <c r="AH48" i="5" s="1"/>
  <c r="AB17" i="9"/>
  <c r="K10" i="50"/>
  <c r="AB6" i="7"/>
  <c r="N5" i="14"/>
  <c r="L8" i="17"/>
  <c r="E7" i="54"/>
  <c r="I10" i="50"/>
  <c r="I32" i="50"/>
  <c r="M38" i="50"/>
  <c r="J44" i="7"/>
  <c r="AD17" i="7" s="1"/>
  <c r="AC17" i="9"/>
  <c r="F8" i="20"/>
  <c r="N8" i="27"/>
  <c r="I12" i="50"/>
  <c r="G7" i="12"/>
  <c r="M7" i="12" s="1"/>
  <c r="Y12" i="7"/>
  <c r="N7" i="17"/>
  <c r="I9" i="50"/>
  <c r="M37" i="50"/>
  <c r="K5" i="50"/>
  <c r="AC6" i="7"/>
  <c r="Q15" i="7"/>
  <c r="B47" i="7"/>
  <c r="V22" i="7" s="1"/>
  <c r="AH15" i="9"/>
  <c r="H7" i="18"/>
  <c r="I14" i="50"/>
  <c r="M34" i="50"/>
  <c r="H9" i="33"/>
  <c r="AG15" i="5"/>
  <c r="J22" i="7"/>
  <c r="X12" i="7"/>
  <c r="AF15" i="7"/>
  <c r="T42" i="7"/>
  <c r="AC12" i="9"/>
  <c r="L11" i="14"/>
  <c r="I3" i="24"/>
  <c r="F12" i="24"/>
  <c r="I30" i="50"/>
  <c r="N13" i="27"/>
  <c r="F7" i="30"/>
  <c r="F3" i="33"/>
  <c r="L7" i="38"/>
  <c r="AL15" i="9"/>
  <c r="I23" i="7"/>
  <c r="AM23" i="7" s="1"/>
  <c r="P10" i="9"/>
  <c r="H13" i="33"/>
  <c r="T17" i="5"/>
  <c r="S10" i="7"/>
  <c r="AB12" i="7"/>
  <c r="X17" i="7"/>
  <c r="J46" i="7"/>
  <c r="J39" i="7"/>
  <c r="AD12" i="7" s="1"/>
  <c r="Z6" i="9"/>
  <c r="X17" i="9"/>
  <c r="K22" i="50"/>
  <c r="I13" i="33"/>
  <c r="I40" i="5"/>
  <c r="AA12" i="5" s="1"/>
  <c r="AI10" i="7"/>
  <c r="B47" i="9"/>
  <c r="L47" i="9" s="1"/>
  <c r="E6" i="24"/>
  <c r="K8" i="50"/>
  <c r="E6" i="33"/>
  <c r="V12" i="5"/>
  <c r="X17" i="5"/>
  <c r="R37" i="5"/>
  <c r="J20" i="7"/>
  <c r="T20" i="7" s="1"/>
  <c r="W12" i="9"/>
  <c r="Z17" i="9"/>
  <c r="J12" i="18"/>
  <c r="M27" i="50"/>
  <c r="I37" i="50"/>
  <c r="I7" i="38"/>
  <c r="N16" i="27"/>
  <c r="Y22" i="5"/>
  <c r="T6" i="7"/>
  <c r="R10" i="7"/>
  <c r="S44" i="7"/>
  <c r="AM10" i="9"/>
  <c r="L6" i="17"/>
  <c r="I17" i="50"/>
  <c r="I34" i="50"/>
  <c r="AC10" i="5"/>
  <c r="L45" i="5"/>
  <c r="J10" i="7"/>
  <c r="E23" i="7"/>
  <c r="AI23" i="7" s="1"/>
  <c r="L10" i="9"/>
  <c r="F7" i="13"/>
  <c r="L7" i="13" s="1"/>
  <c r="AC15" i="5"/>
  <c r="M45" i="5"/>
  <c r="T8" i="7"/>
  <c r="AH10" i="7"/>
  <c r="P15" i="7"/>
  <c r="P39" i="7"/>
  <c r="O10" i="9"/>
  <c r="I9" i="24"/>
  <c r="I38" i="50"/>
  <c r="N14" i="27"/>
  <c r="C48" i="5"/>
  <c r="AD48" i="5" s="1"/>
  <c r="D47" i="7"/>
  <c r="AH47" i="7" s="1"/>
  <c r="R39" i="5"/>
  <c r="D48" i="5"/>
  <c r="AE48" i="5" s="1"/>
  <c r="T18" i="7"/>
  <c r="L44" i="7"/>
  <c r="M3" i="12"/>
  <c r="F12" i="14"/>
  <c r="N12" i="14" s="1"/>
  <c r="L8" i="14"/>
  <c r="L4" i="17"/>
  <c r="H5" i="18"/>
  <c r="H14" i="18"/>
  <c r="I5" i="50"/>
  <c r="F9" i="33"/>
  <c r="L34" i="7"/>
  <c r="AG15" i="9"/>
  <c r="L34" i="9"/>
  <c r="E8" i="20"/>
  <c r="E3" i="33"/>
  <c r="L35" i="5"/>
  <c r="P48" i="5"/>
  <c r="T30" i="7"/>
  <c r="T38" i="7"/>
  <c r="O44" i="7"/>
  <c r="F23" i="9"/>
  <c r="AJ23" i="9" s="1"/>
  <c r="L9" i="14"/>
  <c r="H6" i="18"/>
  <c r="H15" i="18"/>
  <c r="I13" i="50"/>
  <c r="I29" i="50"/>
  <c r="Z12" i="5"/>
  <c r="AH15" i="5"/>
  <c r="M35" i="5"/>
  <c r="P34" i="9"/>
  <c r="P47" i="9"/>
  <c r="E13" i="55"/>
  <c r="J13" i="55" s="1"/>
  <c r="F6" i="24"/>
  <c r="AL697" i="71"/>
  <c r="AO437" i="71"/>
  <c r="AF295" i="71"/>
  <c r="AF301" i="71"/>
  <c r="AF300" i="86" s="1"/>
  <c r="AS702" i="71"/>
  <c r="AR702" i="71"/>
  <c r="Z686" i="86"/>
  <c r="AL536" i="71"/>
  <c r="AQ326" i="71"/>
  <c r="AE16" i="96"/>
  <c r="AD16" i="96"/>
  <c r="AD15" i="93"/>
  <c r="AE15" i="93"/>
  <c r="AG16" i="96"/>
  <c r="AI16" i="96"/>
  <c r="AJ16" i="96"/>
  <c r="AH16" i="96"/>
  <c r="AG15" i="93"/>
  <c r="AJ15" i="93"/>
  <c r="AI15" i="93"/>
  <c r="AH15" i="93"/>
  <c r="AE15" i="96"/>
  <c r="AD15" i="96"/>
  <c r="AE14" i="93"/>
  <c r="AD14" i="93"/>
  <c r="AG15" i="96"/>
  <c r="AH15" i="96"/>
  <c r="AJ15" i="96"/>
  <c r="AI15" i="96"/>
  <c r="AJ14" i="93"/>
  <c r="AI14" i="93"/>
  <c r="AH14" i="93"/>
  <c r="AG14" i="93"/>
  <c r="AH13" i="96"/>
  <c r="Z4" i="96"/>
  <c r="W4" i="96"/>
  <c r="AG13" i="96"/>
  <c r="Y4" i="96"/>
  <c r="AI13" i="96"/>
  <c r="AJ13" i="96"/>
  <c r="X4" i="96"/>
  <c r="AG12" i="93"/>
  <c r="Y4" i="93"/>
  <c r="AJ12" i="93"/>
  <c r="X4" i="93"/>
  <c r="Z4" i="93"/>
  <c r="AI12" i="93"/>
  <c r="W4" i="93"/>
  <c r="AH12" i="93"/>
  <c r="R4" i="96"/>
  <c r="Q4" i="96"/>
  <c r="R4" i="93"/>
  <c r="Q4" i="93"/>
  <c r="U4" i="96"/>
  <c r="T4" i="96"/>
  <c r="AE13" i="96"/>
  <c r="AD13" i="96"/>
  <c r="T4" i="93"/>
  <c r="U4" i="93"/>
  <c r="AE12" i="93"/>
  <c r="AD12" i="93"/>
  <c r="AH12" i="96"/>
  <c r="AG12" i="96"/>
  <c r="AJ12" i="96"/>
  <c r="AI12" i="96"/>
  <c r="AG11" i="93"/>
  <c r="AJ11" i="93"/>
  <c r="AI11" i="93"/>
  <c r="AH11" i="93"/>
  <c r="AD12" i="96"/>
  <c r="AE12" i="96"/>
  <c r="AE11" i="93"/>
  <c r="AD11" i="93"/>
  <c r="AQ332" i="71"/>
  <c r="H294" i="86"/>
  <c r="BC295" i="71"/>
  <c r="T294" i="86"/>
  <c r="BG295" i="71"/>
  <c r="X720" i="86"/>
  <c r="AJ309" i="71"/>
  <c r="K308" i="86"/>
  <c r="AN309" i="71"/>
  <c r="W308" i="86"/>
  <c r="Q294" i="86"/>
  <c r="BF295" i="71"/>
  <c r="X483" i="86"/>
  <c r="AP484" i="71"/>
  <c r="N720" i="86"/>
  <c r="BA231" i="71"/>
  <c r="AI231" i="71"/>
  <c r="K294" i="86"/>
  <c r="BD295" i="71"/>
  <c r="W294" i="86"/>
  <c r="BH295" i="71"/>
  <c r="AF302" i="86"/>
  <c r="AF307" i="71"/>
  <c r="AQ307" i="71" s="1"/>
  <c r="AI309" i="71"/>
  <c r="H308" i="86"/>
  <c r="AM309" i="71"/>
  <c r="T308" i="86"/>
  <c r="AA428" i="86"/>
  <c r="AO430" i="71"/>
  <c r="AC372" i="86"/>
  <c r="AO374" i="71"/>
  <c r="AA432" i="86"/>
  <c r="AC369" i="86"/>
  <c r="AO371" i="71"/>
  <c r="AC370" i="86"/>
  <c r="AO372" i="71"/>
  <c r="AO409" i="71"/>
  <c r="AO440" i="71"/>
  <c r="AO441" i="71"/>
  <c r="AC368" i="86"/>
  <c r="AO370" i="71"/>
  <c r="AO407" i="71"/>
  <c r="AO408" i="71"/>
  <c r="AA441" i="86"/>
  <c r="AO443" i="71"/>
  <c r="AA431" i="86"/>
  <c r="AO433" i="71"/>
  <c r="AO535" i="71"/>
  <c r="AC366" i="86"/>
  <c r="AO368" i="71"/>
  <c r="P225" i="86"/>
  <c r="BC231" i="71"/>
  <c r="S225" i="86"/>
  <c r="BD231" i="71"/>
  <c r="Y225" i="86"/>
  <c r="BF231" i="71"/>
  <c r="BG231" i="71"/>
  <c r="AO231" i="71"/>
  <c r="V225" i="86"/>
  <c r="BE231" i="71"/>
  <c r="J2" i="101"/>
  <c r="J2" i="99"/>
  <c r="E2" i="101"/>
  <c r="E2" i="99"/>
  <c r="E2" i="91"/>
  <c r="D2" i="103" s="1"/>
  <c r="E2" i="66"/>
  <c r="J2" i="66"/>
  <c r="J2" i="91"/>
  <c r="G2" i="103" s="1"/>
  <c r="AJ15" i="85"/>
  <c r="AJ15" i="87" s="1"/>
  <c r="AI15" i="85"/>
  <c r="AI15" i="87" s="1"/>
  <c r="AG15" i="85"/>
  <c r="AG15" i="87" s="1"/>
  <c r="AH15" i="85"/>
  <c r="AH15" i="87" s="1"/>
  <c r="AE15" i="85"/>
  <c r="AE15" i="87" s="1"/>
  <c r="AD15" i="85"/>
  <c r="AD15" i="87" s="1"/>
  <c r="AE14" i="85"/>
  <c r="AE14" i="87" s="1"/>
  <c r="AD14" i="85"/>
  <c r="AD14" i="87" s="1"/>
  <c r="AG14" i="65"/>
  <c r="AJ14" i="85"/>
  <c r="AJ14" i="87" s="1"/>
  <c r="AH14" i="85"/>
  <c r="AH14" i="87" s="1"/>
  <c r="AG14" i="85"/>
  <c r="AG14" i="87" s="1"/>
  <c r="AI14" i="85"/>
  <c r="AI14" i="87" s="1"/>
  <c r="AD12" i="85"/>
  <c r="AD12" i="87" s="1"/>
  <c r="S4" i="85"/>
  <c r="T4" i="87" s="1"/>
  <c r="AE12" i="85"/>
  <c r="AE12" i="87" s="1"/>
  <c r="R4" i="85"/>
  <c r="S4" i="87" s="1"/>
  <c r="M4" i="67"/>
  <c r="O4" i="85"/>
  <c r="P4" i="87" s="1"/>
  <c r="P4" i="85"/>
  <c r="Q4" i="87" s="1"/>
  <c r="AI12" i="85"/>
  <c r="AI12" i="87" s="1"/>
  <c r="U4" i="85"/>
  <c r="V4" i="87" s="1"/>
  <c r="AH12" i="85"/>
  <c r="AH12" i="87" s="1"/>
  <c r="X4" i="85"/>
  <c r="Y4" i="87" s="1"/>
  <c r="V4" i="85"/>
  <c r="W4" i="87" s="1"/>
  <c r="AG12" i="85"/>
  <c r="AG12" i="87" s="1"/>
  <c r="W4" i="85"/>
  <c r="X4" i="87" s="1"/>
  <c r="AJ12" i="85"/>
  <c r="AJ12" i="87" s="1"/>
  <c r="AE11" i="85"/>
  <c r="AE11" i="87" s="1"/>
  <c r="AD11" i="85"/>
  <c r="AD11" i="87" s="1"/>
  <c r="AJ11" i="85"/>
  <c r="AJ11" i="87" s="1"/>
  <c r="AI11" i="85"/>
  <c r="AI11" i="87" s="1"/>
  <c r="AH11" i="85"/>
  <c r="AH11" i="87" s="1"/>
  <c r="AG11" i="85"/>
  <c r="AG11" i="87" s="1"/>
  <c r="AE11" i="65"/>
  <c r="D72" i="88"/>
  <c r="D90" i="88" s="1"/>
  <c r="D94" i="62"/>
  <c r="D96" i="62" s="1"/>
  <c r="D100" i="62" s="1"/>
  <c r="D106" i="62" s="1"/>
  <c r="E94" i="62"/>
  <c r="E72" i="88"/>
  <c r="E90" i="88" s="1"/>
  <c r="AE234" i="86"/>
  <c r="AM256" i="71"/>
  <c r="V250" i="86"/>
  <c r="AB256" i="86"/>
  <c r="V262" i="86"/>
  <c r="AJ270" i="71"/>
  <c r="M264" i="86"/>
  <c r="AN270" i="71"/>
  <c r="Y264" i="86"/>
  <c r="N294" i="86"/>
  <c r="N306" i="86"/>
  <c r="AQ318" i="71"/>
  <c r="AF317" i="86"/>
  <c r="AQ323" i="71"/>
  <c r="AF322" i="86"/>
  <c r="Z325" i="86"/>
  <c r="AV303" i="71"/>
  <c r="Q331" i="86"/>
  <c r="AL334" i="71"/>
  <c r="Q333" i="86"/>
  <c r="AA429" i="86"/>
  <c r="AM524" i="71"/>
  <c r="R521" i="86"/>
  <c r="AC535" i="86"/>
  <c r="N572" i="86"/>
  <c r="AP230" i="71"/>
  <c r="AE224" i="86"/>
  <c r="AM245" i="71"/>
  <c r="V239" i="86"/>
  <c r="AE254" i="86"/>
  <c r="M262" i="86"/>
  <c r="AK270" i="71"/>
  <c r="P264" i="86"/>
  <c r="AQ294" i="71"/>
  <c r="AF293" i="86"/>
  <c r="AC294" i="86"/>
  <c r="AQ298" i="71"/>
  <c r="AF297" i="86"/>
  <c r="Z300" i="86"/>
  <c r="Q306" i="86"/>
  <c r="AV291" i="71"/>
  <c r="Q319" i="86"/>
  <c r="AQ324" i="71"/>
  <c r="AF323" i="86"/>
  <c r="AV297" i="71"/>
  <c r="Q325" i="86"/>
  <c r="AM334" i="71"/>
  <c r="T333" i="86"/>
  <c r="AK411" i="71"/>
  <c r="S409" i="86"/>
  <c r="AM432" i="71"/>
  <c r="AA430" i="86"/>
  <c r="AK444" i="71"/>
  <c r="M442" i="86"/>
  <c r="N483" i="86"/>
  <c r="AC546" i="86"/>
  <c r="X572" i="86"/>
  <c r="AJ697" i="71"/>
  <c r="R681" i="86"/>
  <c r="AP227" i="71"/>
  <c r="AE221" i="86"/>
  <c r="J225" i="86"/>
  <c r="AE228" i="86"/>
  <c r="AJ245" i="71"/>
  <c r="M239" i="86"/>
  <c r="AN245" i="71"/>
  <c r="Y239" i="86"/>
  <c r="AP254" i="71"/>
  <c r="AE248" i="86"/>
  <c r="AT227" i="71"/>
  <c r="P250" i="86"/>
  <c r="AO256" i="71"/>
  <c r="AB250" i="86"/>
  <c r="J256" i="86"/>
  <c r="V256" i="86"/>
  <c r="AE259" i="86"/>
  <c r="AB262" i="86"/>
  <c r="AL270" i="71"/>
  <c r="S264" i="86"/>
  <c r="AQ291" i="71"/>
  <c r="AF290" i="86"/>
  <c r="AQ299" i="71"/>
  <c r="AF298" i="86"/>
  <c r="T306" i="86"/>
  <c r="H325" i="86"/>
  <c r="T325" i="86"/>
  <c r="AQ328" i="71"/>
  <c r="AF327" i="86"/>
  <c r="K331" i="86"/>
  <c r="W331" i="86"/>
  <c r="AJ334" i="71"/>
  <c r="K333" i="86"/>
  <c r="AN334" i="71"/>
  <c r="W333" i="86"/>
  <c r="AM369" i="71"/>
  <c r="AC367" i="86"/>
  <c r="AM373" i="71"/>
  <c r="AC371" i="86"/>
  <c r="AK375" i="71"/>
  <c r="S373" i="86"/>
  <c r="AM406" i="71"/>
  <c r="AM410" i="71"/>
  <c r="AL411" i="71"/>
  <c r="X409" i="86"/>
  <c r="AA435" i="86"/>
  <c r="AM441" i="71"/>
  <c r="AA439" i="86"/>
  <c r="AC537" i="86"/>
  <c r="AM549" i="71"/>
  <c r="AC547" i="86"/>
  <c r="N569" i="86"/>
  <c r="AK697" i="71"/>
  <c r="V681" i="86"/>
  <c r="AP229" i="71"/>
  <c r="AE223" i="86"/>
  <c r="AB225" i="86"/>
  <c r="AI256" i="71"/>
  <c r="J250" i="86"/>
  <c r="AE253" i="86"/>
  <c r="J262" i="86"/>
  <c r="AO295" i="71"/>
  <c r="Z294" i="86"/>
  <c r="K300" i="86"/>
  <c r="AQ304" i="71"/>
  <c r="AF303" i="86"/>
  <c r="Z306" i="86"/>
  <c r="N325" i="86"/>
  <c r="AQ330" i="71"/>
  <c r="AF329" i="86"/>
  <c r="AZ303" i="71"/>
  <c r="AC331" i="86"/>
  <c r="AP334" i="71"/>
  <c r="AC333" i="86"/>
  <c r="AI375" i="71"/>
  <c r="I373" i="86"/>
  <c r="AJ411" i="71"/>
  <c r="N409" i="86"/>
  <c r="AK435" i="71"/>
  <c r="M433" i="86"/>
  <c r="N615" i="71"/>
  <c r="N610" i="86"/>
  <c r="AI697" i="71"/>
  <c r="N681" i="86"/>
  <c r="AM702" i="71"/>
  <c r="AD681" i="86"/>
  <c r="AE235" i="86"/>
  <c r="AI245" i="71"/>
  <c r="J239" i="86"/>
  <c r="AP253" i="71"/>
  <c r="AE247" i="86"/>
  <c r="AW227" i="71"/>
  <c r="Y250" i="86"/>
  <c r="Y262" i="86"/>
  <c r="AO270" i="71"/>
  <c r="AB264" i="86"/>
  <c r="AQ305" i="71"/>
  <c r="AF304" i="86"/>
  <c r="AC306" i="86"/>
  <c r="AQ319" i="71"/>
  <c r="AF318" i="86"/>
  <c r="AP320" i="71"/>
  <c r="AC319" i="86"/>
  <c r="AC325" i="86"/>
  <c r="AI334" i="71"/>
  <c r="H333" i="86"/>
  <c r="AJ375" i="71"/>
  <c r="N373" i="86"/>
  <c r="AL435" i="71"/>
  <c r="T433" i="86"/>
  <c r="AA438" i="86"/>
  <c r="AC536" i="86"/>
  <c r="X615" i="71"/>
  <c r="X610" i="86"/>
  <c r="AP228" i="71"/>
  <c r="AE222" i="86"/>
  <c r="M225" i="86"/>
  <c r="AE229" i="86"/>
  <c r="AO245" i="71"/>
  <c r="AB239" i="86"/>
  <c r="AP255" i="71"/>
  <c r="AE249" i="86"/>
  <c r="AU227" i="71"/>
  <c r="S250" i="86"/>
  <c r="AE252" i="86"/>
  <c r="M256" i="86"/>
  <c r="Y256" i="86"/>
  <c r="AE260" i="86"/>
  <c r="AI270" i="71"/>
  <c r="J264" i="86"/>
  <c r="AM270" i="71"/>
  <c r="V264" i="86"/>
  <c r="AQ292" i="71"/>
  <c r="AF291" i="86"/>
  <c r="AQ297" i="71"/>
  <c r="AF296" i="86"/>
  <c r="H300" i="86"/>
  <c r="T300" i="86"/>
  <c r="K306" i="86"/>
  <c r="W306" i="86"/>
  <c r="AQ317" i="71"/>
  <c r="AF316" i="86"/>
  <c r="AQ322" i="71"/>
  <c r="AF321" i="86"/>
  <c r="AQ329" i="71"/>
  <c r="AF328" i="86"/>
  <c r="AU303" i="71"/>
  <c r="N331" i="86"/>
  <c r="AY303" i="71"/>
  <c r="Z331" i="86"/>
  <c r="AK334" i="71"/>
  <c r="N333" i="86"/>
  <c r="AO334" i="71"/>
  <c r="Z333" i="86"/>
  <c r="AL375" i="71"/>
  <c r="X373" i="86"/>
  <c r="AI411" i="71"/>
  <c r="AM438" i="71"/>
  <c r="AA436" i="86"/>
  <c r="T436" i="86" s="1"/>
  <c r="AM442" i="71"/>
  <c r="AA440" i="86"/>
  <c r="AL535" i="71"/>
  <c r="AC544" i="86"/>
  <c r="AM550" i="71"/>
  <c r="AC548" i="86"/>
  <c r="X569" i="86"/>
  <c r="Z681" i="86"/>
  <c r="AV227" i="71"/>
  <c r="AL613" i="71"/>
  <c r="AM613" i="71"/>
  <c r="AL537" i="71"/>
  <c r="BB271" i="71"/>
  <c r="AW297" i="71"/>
  <c r="H310" i="71"/>
  <c r="AK295" i="71"/>
  <c r="AS297" i="71"/>
  <c r="AZ291" i="71"/>
  <c r="Q310" i="71"/>
  <c r="AL539" i="71"/>
  <c r="AL320" i="71"/>
  <c r="AM431" i="71"/>
  <c r="AM437" i="71"/>
  <c r="V246" i="71"/>
  <c r="BE246" i="71" s="1"/>
  <c r="AN256" i="71"/>
  <c r="AM548" i="71"/>
  <c r="AY297" i="71"/>
  <c r="AL484" i="71"/>
  <c r="J246" i="71"/>
  <c r="BA246" i="71" s="1"/>
  <c r="BE335" i="71"/>
  <c r="AK320" i="71"/>
  <c r="AO309" i="71"/>
  <c r="AM370" i="71"/>
  <c r="AM547" i="71"/>
  <c r="P246" i="71"/>
  <c r="BC246" i="71" s="1"/>
  <c r="AK231" i="71"/>
  <c r="AS227" i="71"/>
  <c r="AJ256" i="71"/>
  <c r="AU291" i="71"/>
  <c r="AZ297" i="71"/>
  <c r="AC375" i="71"/>
  <c r="AO375" i="71" s="1"/>
  <c r="AM433" i="71"/>
  <c r="BI335" i="71"/>
  <c r="AO320" i="71"/>
  <c r="AY291" i="71"/>
  <c r="AM484" i="71"/>
  <c r="AL295" i="71"/>
  <c r="AP295" i="71"/>
  <c r="AT303" i="71"/>
  <c r="AW303" i="71"/>
  <c r="AM372" i="71"/>
  <c r="AM407" i="71"/>
  <c r="AL735" i="71"/>
  <c r="Y246" i="71"/>
  <c r="BF246" i="71" s="1"/>
  <c r="AM231" i="71"/>
  <c r="AM440" i="71"/>
  <c r="AM537" i="71"/>
  <c r="BF335" i="71"/>
  <c r="BJ335" i="71"/>
  <c r="AE12" i="65"/>
  <c r="AG14" i="67"/>
  <c r="G2" i="80"/>
  <c r="G2" i="78"/>
  <c r="E2" i="76"/>
  <c r="AE15" i="65"/>
  <c r="AE17" i="84"/>
  <c r="AE16" i="83"/>
  <c r="AD17" i="84"/>
  <c r="AD16" i="83"/>
  <c r="AD15" i="75"/>
  <c r="AE15" i="75"/>
  <c r="AD15" i="72"/>
  <c r="AE15" i="72"/>
  <c r="AJ17" i="84"/>
  <c r="AJ16" i="83"/>
  <c r="AI16" i="83"/>
  <c r="AH16" i="83"/>
  <c r="AG17" i="84"/>
  <c r="AG16" i="83"/>
  <c r="AI17" i="84"/>
  <c r="AH17" i="84"/>
  <c r="AI15" i="75"/>
  <c r="AH15" i="75"/>
  <c r="AJ15" i="75"/>
  <c r="AG15" i="75"/>
  <c r="AG15" i="72"/>
  <c r="AJ15" i="72"/>
  <c r="AH15" i="72"/>
  <c r="AI15" i="72"/>
  <c r="AD15" i="67"/>
  <c r="AJ14" i="67"/>
  <c r="AH16" i="84"/>
  <c r="AJ15" i="83"/>
  <c r="AG16" i="84"/>
  <c r="AH15" i="83"/>
  <c r="AI16" i="84"/>
  <c r="AG15" i="83"/>
  <c r="AI15" i="83"/>
  <c r="AJ16" i="84"/>
  <c r="AI14" i="75"/>
  <c r="AG14" i="75"/>
  <c r="AJ14" i="75"/>
  <c r="AH14" i="75"/>
  <c r="AI14" i="72"/>
  <c r="AG14" i="72"/>
  <c r="AJ14" i="72"/>
  <c r="AH14" i="72"/>
  <c r="AJ14" i="65"/>
  <c r="AH14" i="67"/>
  <c r="AE15" i="83"/>
  <c r="AD15" i="83"/>
  <c r="AE16" i="84"/>
  <c r="AD16" i="84"/>
  <c r="AD14" i="75"/>
  <c r="AE14" i="75"/>
  <c r="AD14" i="72"/>
  <c r="AE14" i="72"/>
  <c r="W4" i="65"/>
  <c r="AH14" i="84"/>
  <c r="U5" i="84"/>
  <c r="AH13" i="83"/>
  <c r="U4" i="83"/>
  <c r="T5" i="84"/>
  <c r="T4" i="83"/>
  <c r="S5" i="84"/>
  <c r="S4" i="83"/>
  <c r="AI14" i="84"/>
  <c r="R5" i="84"/>
  <c r="AI13" i="83"/>
  <c r="R4" i="83"/>
  <c r="AG14" i="84"/>
  <c r="AG13" i="83"/>
  <c r="AJ14" i="84"/>
  <c r="AJ13" i="83"/>
  <c r="AI12" i="75"/>
  <c r="R4" i="75"/>
  <c r="U4" i="75"/>
  <c r="AG12" i="75"/>
  <c r="AJ12" i="75"/>
  <c r="S4" i="75"/>
  <c r="AH12" i="75"/>
  <c r="T4" i="75"/>
  <c r="AI12" i="72"/>
  <c r="R4" i="72"/>
  <c r="AH12" i="72"/>
  <c r="U4" i="72"/>
  <c r="AG12" i="72"/>
  <c r="AJ12" i="72"/>
  <c r="S4" i="72"/>
  <c r="T4" i="72"/>
  <c r="AE12" i="67"/>
  <c r="P5" i="84"/>
  <c r="P4" i="83"/>
  <c r="AE14" i="84"/>
  <c r="AE13" i="83"/>
  <c r="AD14" i="84"/>
  <c r="AD13" i="83"/>
  <c r="O5" i="84"/>
  <c r="O4" i="83"/>
  <c r="AD12" i="75"/>
  <c r="O4" i="75"/>
  <c r="AE12" i="75"/>
  <c r="P4" i="75"/>
  <c r="AD12" i="72"/>
  <c r="P4" i="72"/>
  <c r="O4" i="72"/>
  <c r="AE12" i="72"/>
  <c r="L5" i="84"/>
  <c r="L4" i="83"/>
  <c r="M5" i="84"/>
  <c r="M4" i="83"/>
  <c r="L4" i="75"/>
  <c r="M4" i="75"/>
  <c r="L4" i="72"/>
  <c r="M4" i="72"/>
  <c r="U4" i="65"/>
  <c r="AE11" i="67"/>
  <c r="AE12" i="83"/>
  <c r="AD12" i="83"/>
  <c r="AE13" i="84"/>
  <c r="AD13" i="84"/>
  <c r="AE11" i="75"/>
  <c r="AD11" i="75"/>
  <c r="AD11" i="72"/>
  <c r="AE11" i="72"/>
  <c r="AG11" i="67"/>
  <c r="AH13" i="84"/>
  <c r="AJ12" i="83"/>
  <c r="AJ13" i="84"/>
  <c r="AI13" i="84"/>
  <c r="AG13" i="84"/>
  <c r="AI12" i="83"/>
  <c r="AH12" i="83"/>
  <c r="AG12" i="83"/>
  <c r="AI11" i="75"/>
  <c r="AG11" i="75"/>
  <c r="AJ11" i="75"/>
  <c r="AH11" i="75"/>
  <c r="AI11" i="72"/>
  <c r="AH11" i="72"/>
  <c r="AJ11" i="72"/>
  <c r="AG11" i="72"/>
  <c r="A17" i="84"/>
  <c r="A16" i="83"/>
  <c r="A15" i="72"/>
  <c r="A15" i="75" s="1"/>
  <c r="G17" i="84"/>
  <c r="G16" i="83"/>
  <c r="G15" i="72"/>
  <c r="G15" i="75" s="1"/>
  <c r="D16" i="83"/>
  <c r="D17" i="84"/>
  <c r="D15" i="72"/>
  <c r="D15" i="75" s="1"/>
  <c r="E16" i="83"/>
  <c r="E17" i="84"/>
  <c r="E15" i="72"/>
  <c r="E15" i="75" s="1"/>
  <c r="B16" i="83"/>
  <c r="B17" i="84"/>
  <c r="B15" i="72"/>
  <c r="B15" i="75" s="1"/>
  <c r="T310" i="71"/>
  <c r="AQ303" i="71"/>
  <c r="AQ316" i="71"/>
  <c r="AX297" i="71"/>
  <c r="AM408" i="71"/>
  <c r="K202" i="66"/>
  <c r="I19" i="32"/>
  <c r="P10" i="5"/>
  <c r="G23" i="5"/>
  <c r="AH23" i="5" s="1"/>
  <c r="AH10" i="5"/>
  <c r="K40" i="5"/>
  <c r="AA17" i="9"/>
  <c r="Q44" i="9"/>
  <c r="G47" i="9"/>
  <c r="Q47" i="9" s="1"/>
  <c r="L12" i="14"/>
  <c r="AQ293" i="71"/>
  <c r="W310" i="71"/>
  <c r="AN295" i="71"/>
  <c r="AL309" i="71"/>
  <c r="AS303" i="71"/>
  <c r="I173" i="66"/>
  <c r="I172" i="66"/>
  <c r="AE10" i="5"/>
  <c r="D23" i="5"/>
  <c r="AE23" i="5" s="1"/>
  <c r="M10" i="5"/>
  <c r="I15" i="5"/>
  <c r="M44" i="7"/>
  <c r="W17" i="7"/>
  <c r="M246" i="71"/>
  <c r="BB246" i="71" s="1"/>
  <c r="AJ231" i="71"/>
  <c r="AK245" i="71"/>
  <c r="BG271" i="71"/>
  <c r="BC335" i="71"/>
  <c r="AS291" i="71"/>
  <c r="AI320" i="71"/>
  <c r="AW291" i="71"/>
  <c r="BG335" i="71"/>
  <c r="H13" i="66"/>
  <c r="E28" i="66"/>
  <c r="I124" i="66"/>
  <c r="I139" i="66"/>
  <c r="I141" i="66"/>
  <c r="E60" i="68"/>
  <c r="J12" i="43"/>
  <c r="L22" i="5"/>
  <c r="AN10" i="7"/>
  <c r="T10" i="7"/>
  <c r="M20" i="7"/>
  <c r="AG15" i="7"/>
  <c r="C47" i="7"/>
  <c r="M47" i="7" s="1"/>
  <c r="M34" i="7"/>
  <c r="W6" i="7"/>
  <c r="Q47" i="7"/>
  <c r="Q34" i="7"/>
  <c r="AA6" i="7"/>
  <c r="P23" i="9"/>
  <c r="H9" i="24"/>
  <c r="E9" i="24"/>
  <c r="M28" i="50"/>
  <c r="I28" i="50"/>
  <c r="K6" i="50"/>
  <c r="AK256" i="71"/>
  <c r="BC271" i="71"/>
  <c r="AT297" i="71"/>
  <c r="AM735" i="71"/>
  <c r="F8" i="68"/>
  <c r="C23" i="5"/>
  <c r="AD23" i="5" s="1"/>
  <c r="L10" i="5"/>
  <c r="AD10" i="5"/>
  <c r="R13" i="5"/>
  <c r="R15" i="5"/>
  <c r="Q15" i="5"/>
  <c r="AI15" i="5"/>
  <c r="AK47" i="7"/>
  <c r="AA22" i="7"/>
  <c r="M44" i="9"/>
  <c r="AP252" i="71"/>
  <c r="K310" i="71"/>
  <c r="AJ295" i="71"/>
  <c r="AI295" i="71"/>
  <c r="AP309" i="71"/>
  <c r="AM409" i="71"/>
  <c r="Q10" i="5"/>
  <c r="H23" i="5"/>
  <c r="AI23" i="5" s="1"/>
  <c r="AI10" i="5"/>
  <c r="X12" i="5"/>
  <c r="M15" i="5"/>
  <c r="AF47" i="7"/>
  <c r="AX227" i="71"/>
  <c r="AB246" i="71"/>
  <c r="BG246" i="71" s="1"/>
  <c r="AN231" i="71"/>
  <c r="AF309" i="71"/>
  <c r="AF308" i="86" s="1"/>
  <c r="AC310" i="71"/>
  <c r="E11" i="66"/>
  <c r="H27" i="66"/>
  <c r="I75" i="66"/>
  <c r="I87" i="66"/>
  <c r="Q22" i="5"/>
  <c r="AA17" i="7"/>
  <c r="AK15" i="9"/>
  <c r="G23" i="9"/>
  <c r="AK23" i="9" s="1"/>
  <c r="M20" i="9"/>
  <c r="E10" i="54"/>
  <c r="H10" i="54"/>
  <c r="BE271" i="71"/>
  <c r="AJ320" i="71"/>
  <c r="AT291" i="71"/>
  <c r="AN320" i="71"/>
  <c r="AX291" i="71"/>
  <c r="BH335" i="71"/>
  <c r="AM371" i="71"/>
  <c r="AC411" i="71"/>
  <c r="AC409" i="86" s="1"/>
  <c r="AA435" i="71"/>
  <c r="AO435" i="71" s="1"/>
  <c r="AM430" i="71"/>
  <c r="AM546" i="71"/>
  <c r="I45" i="5"/>
  <c r="R45" i="5" s="1"/>
  <c r="R42" i="5"/>
  <c r="N22" i="7"/>
  <c r="J18" i="18"/>
  <c r="H18" i="18"/>
  <c r="I7" i="54"/>
  <c r="F10" i="54"/>
  <c r="I10" i="54"/>
  <c r="BA271" i="71"/>
  <c r="AE239" i="86"/>
  <c r="AE231" i="71"/>
  <c r="N310" i="71"/>
  <c r="Z310" i="71"/>
  <c r="AX303" i="71"/>
  <c r="AK309" i="71"/>
  <c r="AM368" i="71"/>
  <c r="AM374" i="71"/>
  <c r="AM434" i="71"/>
  <c r="AM443" i="71"/>
  <c r="AM535" i="71"/>
  <c r="AM697" i="71"/>
  <c r="E8" i="68"/>
  <c r="W12" i="5"/>
  <c r="N40" i="5"/>
  <c r="D23" i="7"/>
  <c r="AH23" i="7" s="1"/>
  <c r="AH15" i="7"/>
  <c r="H23" i="7"/>
  <c r="AL15" i="7"/>
  <c r="N15" i="7"/>
  <c r="F47" i="7"/>
  <c r="AI15" i="9"/>
  <c r="O15" i="9"/>
  <c r="AM15" i="9"/>
  <c r="S15" i="9"/>
  <c r="E12" i="24"/>
  <c r="H12" i="24"/>
  <c r="I15" i="50"/>
  <c r="M15" i="50"/>
  <c r="I31" i="50"/>
  <c r="M31" i="50"/>
  <c r="K9" i="50"/>
  <c r="F11" i="27"/>
  <c r="I9" i="30"/>
  <c r="F9" i="30"/>
  <c r="AL231" i="71"/>
  <c r="AL245" i="71"/>
  <c r="S246" i="71"/>
  <c r="BD246" i="71" s="1"/>
  <c r="AL256" i="71"/>
  <c r="BD271" i="71"/>
  <c r="E34" i="68"/>
  <c r="E10" i="39"/>
  <c r="Z17" i="5"/>
  <c r="P35" i="5"/>
  <c r="H48" i="5"/>
  <c r="AI48" i="5" s="1"/>
  <c r="AF10" i="7"/>
  <c r="P23" i="7"/>
  <c r="AJ10" i="7"/>
  <c r="P10" i="7"/>
  <c r="AI15" i="7"/>
  <c r="O15" i="7"/>
  <c r="AM15" i="7"/>
  <c r="S15" i="7"/>
  <c r="T17" i="7"/>
  <c r="O22" i="7"/>
  <c r="S22" i="7"/>
  <c r="B23" i="7"/>
  <c r="AF23" i="7" s="1"/>
  <c r="S23" i="7"/>
  <c r="M39" i="7"/>
  <c r="W12" i="7"/>
  <c r="Q39" i="7"/>
  <c r="AA12" i="7"/>
  <c r="AH10" i="9"/>
  <c r="D23" i="9"/>
  <c r="AH23" i="9" s="1"/>
  <c r="N10" i="9"/>
  <c r="AL10" i="9"/>
  <c r="H23" i="9"/>
  <c r="AL23" i="9" s="1"/>
  <c r="R10" i="9"/>
  <c r="J20" i="9"/>
  <c r="T20" i="9" s="1"/>
  <c r="J22" i="9"/>
  <c r="T17" i="9"/>
  <c r="J39" i="9"/>
  <c r="AD12" i="9" s="1"/>
  <c r="T36" i="9"/>
  <c r="J46" i="9"/>
  <c r="T46" i="9" s="1"/>
  <c r="J8" i="18"/>
  <c r="H8" i="18"/>
  <c r="D10" i="18"/>
  <c r="L13" i="55"/>
  <c r="F5" i="21"/>
  <c r="E3" i="24"/>
  <c r="H3" i="24"/>
  <c r="I52" i="66"/>
  <c r="I50" i="66"/>
  <c r="F34" i="68"/>
  <c r="F10" i="39"/>
  <c r="F51" i="68"/>
  <c r="E63" i="68"/>
  <c r="I22" i="5"/>
  <c r="I10" i="5"/>
  <c r="B23" i="5"/>
  <c r="AC23" i="5" s="1"/>
  <c r="F23" i="5"/>
  <c r="AG23" i="5" s="1"/>
  <c r="AG10" i="5"/>
  <c r="I20" i="5"/>
  <c r="R20" i="5" s="1"/>
  <c r="AA17" i="5"/>
  <c r="R17" i="5"/>
  <c r="O22" i="5"/>
  <c r="I47" i="5"/>
  <c r="R47" i="5" s="1"/>
  <c r="T22" i="7"/>
  <c r="AG10" i="7"/>
  <c r="C23" i="7"/>
  <c r="AG23" i="7" s="1"/>
  <c r="M10" i="7"/>
  <c r="AK10" i="7"/>
  <c r="G23" i="7"/>
  <c r="AK23" i="7" s="1"/>
  <c r="Q10" i="7"/>
  <c r="T46" i="7"/>
  <c r="L47" i="7"/>
  <c r="J34" i="7"/>
  <c r="T34" i="7" s="1"/>
  <c r="P34" i="7"/>
  <c r="P44" i="7"/>
  <c r="E23" i="9"/>
  <c r="AI23" i="9" s="1"/>
  <c r="I23" i="9"/>
  <c r="AM23" i="9" s="1"/>
  <c r="J34" i="9"/>
  <c r="T34" i="9" s="1"/>
  <c r="N34" i="9"/>
  <c r="X6" i="9"/>
  <c r="D47" i="9"/>
  <c r="N47" i="9" s="1"/>
  <c r="R34" i="9"/>
  <c r="AB6" i="9"/>
  <c r="J44" i="9"/>
  <c r="T44" i="9" s="1"/>
  <c r="T41" i="9"/>
  <c r="H47" i="9"/>
  <c r="R47" i="9" s="1"/>
  <c r="J9" i="18"/>
  <c r="H9" i="18"/>
  <c r="J17" i="18"/>
  <c r="H17" i="18"/>
  <c r="D19" i="18"/>
  <c r="M8" i="50"/>
  <c r="I8" i="50"/>
  <c r="M33" i="50"/>
  <c r="K11" i="50"/>
  <c r="I33" i="50"/>
  <c r="N17" i="27"/>
  <c r="L35" i="27"/>
  <c r="I152" i="66"/>
  <c r="F53" i="68"/>
  <c r="K12" i="43"/>
  <c r="F63" i="68"/>
  <c r="N10" i="5"/>
  <c r="AF10" i="5"/>
  <c r="L15" i="5"/>
  <c r="P15" i="5"/>
  <c r="N22" i="5"/>
  <c r="E23" i="5"/>
  <c r="AF23" i="5" s="1"/>
  <c r="I35" i="5"/>
  <c r="AA6" i="5" s="1"/>
  <c r="N35" i="5"/>
  <c r="E48" i="5"/>
  <c r="AF48" i="5" s="1"/>
  <c r="J15" i="7"/>
  <c r="AN15" i="7" s="1"/>
  <c r="N47" i="7"/>
  <c r="H47" i="7"/>
  <c r="AL47" i="7" s="1"/>
  <c r="J10" i="9"/>
  <c r="T7" i="9"/>
  <c r="AF15" i="9"/>
  <c r="L15" i="9"/>
  <c r="AJ15" i="9"/>
  <c r="P15" i="9"/>
  <c r="J15" i="9"/>
  <c r="AN15" i="9" s="1"/>
  <c r="O22" i="9"/>
  <c r="B23" i="9"/>
  <c r="C47" i="9"/>
  <c r="M47" i="9" s="1"/>
  <c r="N5" i="17"/>
  <c r="L5" i="17"/>
  <c r="M11" i="50"/>
  <c r="I11" i="50"/>
  <c r="M18" i="50"/>
  <c r="I18" i="50"/>
  <c r="F23" i="27"/>
  <c r="N5" i="27" s="1"/>
  <c r="I5" i="28"/>
  <c r="F8" i="28"/>
  <c r="I8" i="28"/>
  <c r="F6" i="33"/>
  <c r="I6" i="33"/>
  <c r="K35" i="5"/>
  <c r="O35" i="5"/>
  <c r="B48" i="5"/>
  <c r="AC48" i="5" s="1"/>
  <c r="F48" i="5"/>
  <c r="AG48" i="5" s="1"/>
  <c r="E47" i="7"/>
  <c r="AI47" i="7" s="1"/>
  <c r="I47" i="7"/>
  <c r="AM47" i="7" s="1"/>
  <c r="AG10" i="9"/>
  <c r="AK10" i="9"/>
  <c r="M10" i="9"/>
  <c r="V22" i="9"/>
  <c r="L22" i="9"/>
  <c r="Z22" i="9"/>
  <c r="P22" i="9"/>
  <c r="C23" i="9"/>
  <c r="AG23" i="9" s="1"/>
  <c r="M34" i="9"/>
  <c r="N39" i="9"/>
  <c r="X12" i="9"/>
  <c r="R39" i="9"/>
  <c r="AB12" i="9"/>
  <c r="N7" i="14"/>
  <c r="L7" i="14"/>
  <c r="F9" i="17"/>
  <c r="J13" i="18"/>
  <c r="H13" i="18"/>
  <c r="M7" i="50"/>
  <c r="I7" i="50"/>
  <c r="AJ11" i="67"/>
  <c r="AI11" i="65"/>
  <c r="AI11" i="67"/>
  <c r="AH11" i="65"/>
  <c r="AH11" i="67"/>
  <c r="AJ11" i="65"/>
  <c r="AJ12" i="67"/>
  <c r="U4" i="67"/>
  <c r="AI12" i="65"/>
  <c r="Y4" i="65"/>
  <c r="AI12" i="67"/>
  <c r="T4" i="67"/>
  <c r="AH12" i="65"/>
  <c r="X4" i="65"/>
  <c r="AJ12" i="65"/>
  <c r="AH12" i="67"/>
  <c r="S4" i="67"/>
  <c r="AG12" i="65"/>
  <c r="AG12" i="67"/>
  <c r="Z4" i="65"/>
  <c r="AG11" i="65"/>
  <c r="R4" i="67"/>
  <c r="E47" i="9"/>
  <c r="AI47" i="9" s="1"/>
  <c r="I47" i="9"/>
  <c r="AM47" i="9" s="1"/>
  <c r="H5" i="27"/>
  <c r="F5" i="27"/>
  <c r="B9" i="30"/>
  <c r="H9" i="30" s="1"/>
  <c r="R4" i="65"/>
  <c r="L4" i="67"/>
  <c r="Q4" i="65"/>
  <c r="AG15" i="67"/>
  <c r="AJ15" i="65"/>
  <c r="AJ15" i="67"/>
  <c r="AI15" i="65"/>
  <c r="AH15" i="65"/>
  <c r="AI15" i="67"/>
  <c r="AG15" i="65"/>
  <c r="AH15" i="67"/>
  <c r="M36" i="50"/>
  <c r="K14" i="50"/>
  <c r="I39" i="50"/>
  <c r="K17" i="50"/>
  <c r="K19" i="50"/>
  <c r="I43" i="50"/>
  <c r="K21" i="50"/>
  <c r="F29" i="27"/>
  <c r="N15" i="27"/>
  <c r="L33" i="27"/>
  <c r="H5" i="28"/>
  <c r="H8" i="28"/>
  <c r="E9" i="30"/>
  <c r="H7" i="38"/>
  <c r="K7" i="38"/>
  <c r="I35" i="50"/>
  <c r="K13" i="50"/>
  <c r="M40" i="50"/>
  <c r="K18" i="50"/>
  <c r="AE14" i="67"/>
  <c r="AD14" i="65"/>
  <c r="AD14" i="67"/>
  <c r="E2" i="68"/>
  <c r="AE14" i="65"/>
  <c r="AH14" i="65"/>
  <c r="AD15" i="65"/>
  <c r="O4" i="67"/>
  <c r="AD11" i="67"/>
  <c r="AD12" i="67"/>
  <c r="AI14" i="67"/>
  <c r="AE15" i="67"/>
  <c r="T4" i="65"/>
  <c r="AD11" i="65"/>
  <c r="AD12" i="65"/>
  <c r="AI14" i="65"/>
  <c r="P4" i="67"/>
  <c r="T39" i="7" l="1"/>
  <c r="Q23" i="9"/>
  <c r="X22" i="7"/>
  <c r="O23" i="7"/>
  <c r="L48" i="5"/>
  <c r="P23" i="5"/>
  <c r="U22" i="5"/>
  <c r="T44" i="7"/>
  <c r="Y22" i="9"/>
  <c r="S47" i="7"/>
  <c r="AD17" i="9"/>
  <c r="T15" i="7"/>
  <c r="R35" i="5"/>
  <c r="AF47" i="9"/>
  <c r="T39" i="9"/>
  <c r="M23" i="5"/>
  <c r="R40" i="5"/>
  <c r="N23" i="7"/>
  <c r="M23" i="7"/>
  <c r="R23" i="9"/>
  <c r="M48" i="5"/>
  <c r="V22" i="5"/>
  <c r="Q23" i="7"/>
  <c r="K23" i="5"/>
  <c r="N23" i="9"/>
  <c r="X22" i="5"/>
  <c r="Q23" i="5"/>
  <c r="S47" i="9"/>
  <c r="BH231" i="71"/>
  <c r="AE246" i="71"/>
  <c r="AA439" i="71"/>
  <c r="T444" i="71"/>
  <c r="BE310" i="71"/>
  <c r="N309" i="86"/>
  <c r="AF294" i="86"/>
  <c r="BK295" i="71"/>
  <c r="Y265" i="86"/>
  <c r="BF271" i="71"/>
  <c r="AL615" i="71"/>
  <c r="AO615" i="71"/>
  <c r="AQ301" i="71"/>
  <c r="BK301" i="71"/>
  <c r="BJ310" i="71"/>
  <c r="AC309" i="86"/>
  <c r="BH310" i="71"/>
  <c r="W309" i="86"/>
  <c r="BG310" i="71"/>
  <c r="T309" i="86"/>
  <c r="BC310" i="71"/>
  <c r="H309" i="86"/>
  <c r="BI310" i="71"/>
  <c r="Z309" i="86"/>
  <c r="K334" i="86"/>
  <c r="BD335" i="71"/>
  <c r="BD310" i="71"/>
  <c r="K309" i="86"/>
  <c r="BF310" i="71"/>
  <c r="Q309" i="86"/>
  <c r="AM615" i="71"/>
  <c r="AP615" i="71"/>
  <c r="AA433" i="86"/>
  <c r="AO411" i="71"/>
  <c r="G2" i="95"/>
  <c r="G2" i="92"/>
  <c r="D2" i="95"/>
  <c r="D2" i="92"/>
  <c r="V265" i="86"/>
  <c r="AQ320" i="71"/>
  <c r="AF319" i="86"/>
  <c r="AU309" i="71"/>
  <c r="N334" i="86"/>
  <c r="AP231" i="71"/>
  <c r="AE225" i="86"/>
  <c r="AN335" i="71"/>
  <c r="W334" i="86"/>
  <c r="M240" i="86"/>
  <c r="AQ334" i="71"/>
  <c r="AF333" i="86"/>
  <c r="AP335" i="71"/>
  <c r="AC334" i="86"/>
  <c r="AC373" i="86"/>
  <c r="AS245" i="71"/>
  <c r="M265" i="86"/>
  <c r="N612" i="86"/>
  <c r="P265" i="86"/>
  <c r="AI335" i="71"/>
  <c r="H334" i="86"/>
  <c r="AP270" i="71"/>
  <c r="AE264" i="86"/>
  <c r="AE256" i="86"/>
  <c r="S240" i="86"/>
  <c r="AF306" i="86"/>
  <c r="AB240" i="86"/>
  <c r="AB265" i="86"/>
  <c r="AF325" i="86"/>
  <c r="Y240" i="86"/>
  <c r="AF331" i="86"/>
  <c r="P240" i="86"/>
  <c r="V240" i="86"/>
  <c r="S265" i="86"/>
  <c r="AI271" i="71"/>
  <c r="J265" i="86"/>
  <c r="AE262" i="86"/>
  <c r="AM335" i="71"/>
  <c r="T334" i="86"/>
  <c r="AP256" i="71"/>
  <c r="AE250" i="86"/>
  <c r="Q334" i="86"/>
  <c r="AO335" i="71"/>
  <c r="Z334" i="86"/>
  <c r="J240" i="86"/>
  <c r="X612" i="86"/>
  <c r="BA303" i="71"/>
  <c r="AJ246" i="71"/>
  <c r="AZ309" i="71"/>
  <c r="AI310" i="71"/>
  <c r="AJ271" i="71"/>
  <c r="AI246" i="71"/>
  <c r="AM246" i="71"/>
  <c r="AL310" i="71"/>
  <c r="AK246" i="71"/>
  <c r="AL335" i="71"/>
  <c r="AM375" i="71"/>
  <c r="AV309" i="71"/>
  <c r="AM310" i="71"/>
  <c r="AY309" i="71"/>
  <c r="AJ310" i="71"/>
  <c r="BA297" i="71"/>
  <c r="AN246" i="71"/>
  <c r="AM271" i="71"/>
  <c r="AN310" i="71"/>
  <c r="AK335" i="71"/>
  <c r="L23" i="27"/>
  <c r="P23" i="27"/>
  <c r="AM435" i="71"/>
  <c r="H11" i="66"/>
  <c r="T15" i="9"/>
  <c r="R47" i="7"/>
  <c r="J19" i="18"/>
  <c r="H19" i="18"/>
  <c r="E16" i="68"/>
  <c r="AQ309" i="71"/>
  <c r="AL271" i="71"/>
  <c r="AK271" i="71"/>
  <c r="AW309" i="71"/>
  <c r="P5" i="27"/>
  <c r="L5" i="27"/>
  <c r="M23" i="9"/>
  <c r="O47" i="7"/>
  <c r="AC22" i="9"/>
  <c r="AL47" i="9"/>
  <c r="AB22" i="9"/>
  <c r="J47" i="7"/>
  <c r="AD6" i="7"/>
  <c r="T22" i="5"/>
  <c r="R22" i="5"/>
  <c r="L23" i="7"/>
  <c r="W22" i="5"/>
  <c r="P11" i="27"/>
  <c r="L11" i="27"/>
  <c r="O23" i="9"/>
  <c r="AK310" i="71"/>
  <c r="AB22" i="7"/>
  <c r="O48" i="5"/>
  <c r="AM411" i="71"/>
  <c r="Z22" i="5"/>
  <c r="AP310" i="71"/>
  <c r="AX245" i="71"/>
  <c r="L23" i="5"/>
  <c r="BK335" i="71"/>
  <c r="BA291" i="71"/>
  <c r="AV245" i="71"/>
  <c r="N48" i="5"/>
  <c r="O47" i="9"/>
  <c r="AF310" i="71"/>
  <c r="AQ295" i="71"/>
  <c r="AT245" i="71"/>
  <c r="AF23" i="9"/>
  <c r="L23" i="9"/>
  <c r="I23" i="5"/>
  <c r="AJ10" i="5"/>
  <c r="N23" i="5"/>
  <c r="AJ47" i="7"/>
  <c r="Z22" i="7"/>
  <c r="AW245" i="71"/>
  <c r="AP245" i="71"/>
  <c r="AT309" i="71"/>
  <c r="P29" i="27"/>
  <c r="L29" i="27"/>
  <c r="N11" i="27"/>
  <c r="N9" i="17"/>
  <c r="L9" i="17"/>
  <c r="AH47" i="9"/>
  <c r="X22" i="9"/>
  <c r="J47" i="9"/>
  <c r="AD22" i="9" s="1"/>
  <c r="AD6" i="9"/>
  <c r="O23" i="5"/>
  <c r="R10" i="5"/>
  <c r="J10" i="18"/>
  <c r="H10" i="18"/>
  <c r="Y22" i="7"/>
  <c r="AR245" i="71"/>
  <c r="AX309" i="71"/>
  <c r="I71" i="66"/>
  <c r="I73" i="66"/>
  <c r="P47" i="7"/>
  <c r="AG47" i="9"/>
  <c r="W22" i="9"/>
  <c r="J23" i="9"/>
  <c r="T10" i="9"/>
  <c r="AN10" i="9"/>
  <c r="I48" i="5"/>
  <c r="O5" i="21"/>
  <c r="M5" i="21"/>
  <c r="T22" i="9"/>
  <c r="AC22" i="7"/>
  <c r="Q48" i="5"/>
  <c r="S23" i="9"/>
  <c r="AL23" i="7"/>
  <c r="R23" i="7"/>
  <c r="AO310" i="71"/>
  <c r="AN271" i="71"/>
  <c r="AU245" i="71"/>
  <c r="K48" i="5"/>
  <c r="AJ335" i="71"/>
  <c r="J125" i="66"/>
  <c r="E94" i="88"/>
  <c r="D93" i="88"/>
  <c r="AO246" i="71"/>
  <c r="F16" i="68"/>
  <c r="AO271" i="71"/>
  <c r="AG47" i="7"/>
  <c r="W22" i="7"/>
  <c r="J23" i="7"/>
  <c r="AS309" i="71"/>
  <c r="AJ15" i="5"/>
  <c r="AK47" i="9"/>
  <c r="AA22" i="9"/>
  <c r="AY227" i="71"/>
  <c r="AL246" i="71"/>
  <c r="T442" i="86" l="1"/>
  <c r="AL444" i="71"/>
  <c r="AA444" i="71"/>
  <c r="AA437" i="86"/>
  <c r="AO439" i="71"/>
  <c r="AM439" i="71"/>
  <c r="BK310" i="71"/>
  <c r="AF309" i="86"/>
  <c r="AE265" i="86"/>
  <c r="BH271" i="71"/>
  <c r="AE240" i="86"/>
  <c r="BH246" i="71"/>
  <c r="BA309" i="71"/>
  <c r="AF334" i="86"/>
  <c r="AP271" i="71"/>
  <c r="AN23" i="9"/>
  <c r="T23" i="9"/>
  <c r="AJ48" i="5"/>
  <c r="R48" i="5"/>
  <c r="AQ335" i="71"/>
  <c r="AA22" i="5"/>
  <c r="AJ23" i="5"/>
  <c r="R23" i="5"/>
  <c r="AP246" i="71"/>
  <c r="E31" i="68"/>
  <c r="T47" i="7"/>
  <c r="AN47" i="7"/>
  <c r="AD22" i="7"/>
  <c r="AN23" i="7"/>
  <c r="T23" i="7"/>
  <c r="F31" i="68"/>
  <c r="J72" i="66"/>
  <c r="AN47" i="9"/>
  <c r="T47" i="9"/>
  <c r="AY245" i="71"/>
  <c r="AQ310" i="71"/>
  <c r="AO444" i="71" l="1"/>
  <c r="AM444" i="71"/>
  <c r="AA442" i="86"/>
  <c r="E52" i="68"/>
  <c r="E64" i="68"/>
  <c r="J4" i="43"/>
  <c r="F52" i="68"/>
  <c r="K4" i="43"/>
  <c r="E32" i="62"/>
  <c r="E37" i="62" s="1"/>
  <c r="F64" i="68"/>
  <c r="E28" i="88" l="1"/>
  <c r="D7" i="88"/>
  <c r="E7" i="88"/>
  <c r="G171" i="80"/>
  <c r="G171" i="78"/>
  <c r="I171" i="80"/>
  <c r="I171" i="78"/>
  <c r="F56" i="68"/>
  <c r="F66" i="68"/>
  <c r="K171" i="66"/>
  <c r="M41" i="50"/>
  <c r="E56" i="68"/>
  <c r="E66" i="68"/>
  <c r="I171" i="66"/>
  <c r="M19" i="50"/>
  <c r="E33" i="88" l="1"/>
  <c r="E41" i="62"/>
  <c r="D28" i="88"/>
  <c r="I151" i="80"/>
  <c r="I151" i="78"/>
  <c r="G151" i="80"/>
  <c r="G151" i="78"/>
  <c r="K151" i="66"/>
  <c r="I151" i="66"/>
  <c r="E37" i="88" l="1"/>
  <c r="E96" i="62"/>
  <c r="E100" i="62" s="1"/>
  <c r="D33" i="88"/>
  <c r="G150" i="80"/>
  <c r="G150" i="78"/>
  <c r="I150" i="80"/>
  <c r="I150" i="78"/>
  <c r="K150" i="66"/>
  <c r="I150" i="66"/>
  <c r="E92" i="88" l="1"/>
  <c r="E106" i="62"/>
  <c r="E96" i="88"/>
  <c r="D37" i="88"/>
  <c r="D92" i="88" l="1"/>
  <c r="D96" i="88" l="1"/>
  <c r="X769" i="71" l="1"/>
  <c r="X754" i="86" s="1"/>
  <c r="AP769" i="71" l="1"/>
  <c r="X768" i="71"/>
  <c r="AP768" i="71" l="1"/>
  <c r="X753" i="86"/>
  <c r="AM768" i="71"/>
  <c r="I239" i="101" l="1"/>
  <c r="I239" i="91"/>
  <c r="I241" i="91"/>
  <c r="I239" i="99"/>
  <c r="I241" i="99" l="1"/>
  <c r="I241" i="101"/>
  <c r="D161" i="89"/>
  <c r="AO537" i="71"/>
  <c r="J670" i="86"/>
  <c r="J669" i="86"/>
  <c r="AD669" i="86" l="1"/>
  <c r="AD670" i="86"/>
  <c r="Z685" i="71"/>
  <c r="Z670" i="86" s="1"/>
  <c r="Z669" i="86"/>
  <c r="X745" i="86" l="1"/>
  <c r="X751" i="71"/>
  <c r="X736" i="86" s="1"/>
  <c r="AM760" i="71"/>
</calcChain>
</file>

<file path=xl/comments1.xml><?xml version="1.0" encoding="utf-8"?>
<comments xmlns="http://schemas.openxmlformats.org/spreadsheetml/2006/main">
  <authors>
    <author>Autor</author>
  </authors>
  <commentList>
    <comment ref="E6" authorId="0" shapeId="0">
      <text>
        <r>
          <rPr>
            <sz val="8"/>
            <color indexed="81"/>
            <rFont val="Tahoma"/>
            <family val="2"/>
            <charset val="238"/>
          </rPr>
          <t>select type of report with "</t>
        </r>
        <r>
          <rPr>
            <b/>
            <sz val="8"/>
            <color indexed="81"/>
            <rFont val="Tahoma"/>
            <family val="2"/>
            <charset val="238"/>
          </rPr>
          <t>X</t>
        </r>
        <r>
          <rPr>
            <sz val="8"/>
            <color indexed="81"/>
            <rFont val="Tahoma"/>
            <family val="2"/>
            <charset val="238"/>
          </rPr>
          <t xml:space="preserve">"
in cells </t>
        </r>
        <r>
          <rPr>
            <b/>
            <sz val="8"/>
            <color indexed="81"/>
            <rFont val="Tahoma"/>
            <family val="2"/>
            <charset val="238"/>
          </rPr>
          <t>D7, D8, D9</t>
        </r>
      </text>
    </comment>
    <comment ref="B7" authorId="0" shapeId="0">
      <text>
        <r>
          <rPr>
            <sz val="8"/>
            <color indexed="81"/>
            <rFont val="Tahoma"/>
            <family val="2"/>
            <charset val="238"/>
          </rPr>
          <t xml:space="preserve">
Enter full date ONLY in this cell</t>
        </r>
      </text>
    </comment>
    <comment ref="F7" authorId="0" shapeId="0">
      <text>
        <r>
          <rPr>
            <sz val="8"/>
            <color indexed="81"/>
            <rFont val="Tahoma"/>
            <family val="2"/>
            <charset val="238"/>
          </rPr>
          <t xml:space="preserve">Clasification of economic activities in sheet "SK NACE". </t>
        </r>
        <r>
          <rPr>
            <b/>
            <sz val="8"/>
            <color indexed="81"/>
            <rFont val="Tahoma"/>
            <family val="2"/>
            <charset val="238"/>
          </rPr>
          <t>Use values from column A (without dots)</t>
        </r>
      </text>
    </comment>
    <comment ref="B10" authorId="0" shapeId="0">
      <text>
        <r>
          <rPr>
            <b/>
            <sz val="8"/>
            <color indexed="81"/>
            <rFont val="Tahoma"/>
            <family val="2"/>
            <charset val="238"/>
          </rPr>
          <t xml:space="preserve">
Enter full date ONLY in this cell</t>
        </r>
      </text>
    </comment>
    <comment ref="E11" authorId="0" shapeId="0">
      <text>
        <r>
          <rPr>
            <sz val="8"/>
            <color indexed="81"/>
            <rFont val="Tahoma"/>
            <family val="2"/>
            <charset val="238"/>
          </rPr>
          <t>select the contains of Financial statement with "</t>
        </r>
        <r>
          <rPr>
            <b/>
            <sz val="8"/>
            <color indexed="81"/>
            <rFont val="Tahoma"/>
            <family val="2"/>
            <charset val="238"/>
          </rPr>
          <t>X</t>
        </r>
        <r>
          <rPr>
            <sz val="8"/>
            <color indexed="81"/>
            <rFont val="Tahoma"/>
            <family val="2"/>
            <charset val="238"/>
          </rPr>
          <t xml:space="preserve">"
in cells </t>
        </r>
        <r>
          <rPr>
            <b/>
            <sz val="8"/>
            <color indexed="81"/>
            <rFont val="Tahoma"/>
            <family val="2"/>
            <charset val="238"/>
          </rPr>
          <t>D12, D13, D14</t>
        </r>
      </text>
    </comment>
    <comment ref="E16" authorId="0" shapeId="0">
      <text>
        <r>
          <rPr>
            <sz val="8"/>
            <color indexed="81"/>
            <rFont val="Tahoma"/>
            <family val="2"/>
            <charset val="238"/>
          </rPr>
          <t>select type of accounting entity with "</t>
        </r>
        <r>
          <rPr>
            <b/>
            <sz val="8"/>
            <color indexed="81"/>
            <rFont val="Tahoma"/>
            <family val="2"/>
            <charset val="238"/>
          </rPr>
          <t>X</t>
        </r>
        <r>
          <rPr>
            <sz val="8"/>
            <color indexed="81"/>
            <rFont val="Tahoma"/>
            <family val="2"/>
            <charset val="238"/>
          </rPr>
          <t xml:space="preserve">"
in cells </t>
        </r>
        <r>
          <rPr>
            <b/>
            <sz val="8"/>
            <color indexed="81"/>
            <rFont val="Tahoma"/>
            <family val="2"/>
            <charset val="238"/>
          </rPr>
          <t>D17, D18</t>
        </r>
      </text>
    </comment>
    <comment ref="B17" authorId="0" shapeId="0">
      <text>
        <r>
          <rPr>
            <b/>
            <sz val="8"/>
            <color indexed="81"/>
            <rFont val="Tahoma"/>
            <family val="2"/>
            <charset val="238"/>
          </rPr>
          <t xml:space="preserve">
Enter full date ONLY in this cell</t>
        </r>
      </text>
    </comment>
    <comment ref="B20" authorId="0" shapeId="0">
      <text>
        <r>
          <rPr>
            <b/>
            <sz val="8"/>
            <color indexed="81"/>
            <rFont val="Tahoma"/>
            <family val="2"/>
            <charset val="238"/>
          </rPr>
          <t xml:space="preserve">
Enter full date ONLY in this cell</t>
        </r>
      </text>
    </comment>
    <comment ref="F34" authorId="0" shapeId="0">
      <text>
        <r>
          <rPr>
            <b/>
            <sz val="8"/>
            <color indexed="81"/>
            <rFont val="Tahoma"/>
            <family val="2"/>
            <charset val="238"/>
          </rPr>
          <t>Autor:</t>
        </r>
        <r>
          <rPr>
            <sz val="8"/>
            <color indexed="81"/>
            <rFont val="Tahoma"/>
            <family val="2"/>
            <charset val="238"/>
          </rPr>
          <t xml:space="preserve">
date on which the FS are prepared </t>
        </r>
      </text>
    </comment>
    <comment ref="F36" authorId="0" shapeId="0">
      <text>
        <r>
          <rPr>
            <b/>
            <sz val="8"/>
            <color indexed="81"/>
            <rFont val="Tahoma"/>
            <family val="2"/>
            <charset val="238"/>
          </rPr>
          <t>Autor:</t>
        </r>
        <r>
          <rPr>
            <sz val="8"/>
            <color indexed="81"/>
            <rFont val="Tahoma"/>
            <family val="2"/>
            <charset val="238"/>
          </rPr>
          <t xml:space="preserve">
leave blank if not approved yet</t>
        </r>
      </text>
    </comment>
  </commentList>
</comments>
</file>

<file path=xl/comments2.xml><?xml version="1.0" encoding="utf-8"?>
<comments xmlns="http://schemas.openxmlformats.org/spreadsheetml/2006/main">
  <authors>
    <author>Autor</author>
  </authors>
  <commentList>
    <comment ref="O4" authorId="0" shapeId="0">
      <text>
        <r>
          <rPr>
            <b/>
            <sz val="8"/>
            <color indexed="81"/>
            <rFont val="Tahoma"/>
            <family val="2"/>
            <charset val="238"/>
          </rPr>
          <t>Autor:</t>
        </r>
        <r>
          <rPr>
            <sz val="8"/>
            <color indexed="81"/>
            <rFont val="Tahoma"/>
            <family val="2"/>
            <charset val="238"/>
          </rPr>
          <t xml:space="preserve">
nemusi sediet kvoli opravnej polozke; porovnava sa net value predosleho roka</t>
        </r>
      </text>
    </comment>
  </commentList>
</comments>
</file>

<file path=xl/comments3.xml><?xml version="1.0" encoding="utf-8"?>
<comments xmlns="http://schemas.openxmlformats.org/spreadsheetml/2006/main">
  <authors>
    <author>Autor</author>
  </authors>
  <commentList>
    <comment ref="AP694" authorId="0" shapeId="0">
      <text>
        <r>
          <rPr>
            <b/>
            <sz val="8"/>
            <color indexed="81"/>
            <rFont val="Tahoma"/>
            <family val="2"/>
            <charset val="238"/>
          </rPr>
          <t>Autor:</t>
        </r>
        <r>
          <rPr>
            <sz val="8"/>
            <color indexed="81"/>
            <rFont val="Tahoma"/>
            <family val="2"/>
            <charset val="238"/>
          </rPr>
          <t xml:space="preserve">
nemusi sediet kvoli opravnej polozke; porovnava sa net value predosleho roka</t>
        </r>
      </text>
    </comment>
  </commentList>
</comments>
</file>

<file path=xl/sharedStrings.xml><?xml version="1.0" encoding="utf-8"?>
<sst xmlns="http://schemas.openxmlformats.org/spreadsheetml/2006/main" count="9166" uniqueCount="3072">
  <si>
    <t>1.  Informácie k časti A. písm. c) prílohy č. 3 o počte zamestnancov</t>
  </si>
  <si>
    <t>Názov položky</t>
  </si>
  <si>
    <t>Bežné účtovné obdobie</t>
  </si>
  <si>
    <t>Bezprostredne predchádzajúce účtovné obdobie</t>
  </si>
  <si>
    <t>Priemerný prepočítaný počet zamestnancov</t>
  </si>
  <si>
    <t>Stav zamestnancov ku dňu, ku ktorému sa zostavuje účtovná závierka, z toho:</t>
  </si>
  <si>
    <t>počet vedúcich zamestnancov</t>
  </si>
  <si>
    <t>2. Informácie k časti B. písm. b) prílohy č. 3 o štruktúre spoločníkov, akcionárov ku dňu, ku ktorému sa zostavuje účtovná závierka a o štruktúre spoločníkov, akcionárov do dňa jej zmeny  vzniknutej v priebehu účtovného obdobia</t>
  </si>
  <si>
    <t>Tabuľka č. 1</t>
  </si>
  <si>
    <t>Spoločník, akcionár</t>
  </si>
  <si>
    <t>Výška podielu na základnom imaní</t>
  </si>
  <si>
    <t>Podiel na hlasovacích právach v %</t>
  </si>
  <si>
    <t>v %</t>
  </si>
  <si>
    <t>absolútne</t>
  </si>
  <si>
    <t>Spolu</t>
  </si>
  <si>
    <t>Tabuľka č. 2</t>
  </si>
  <si>
    <t>Spoločník, akcionár do dňa zmeny  v štruktúre spoločníkov, akcionárov</t>
  </si>
  <si>
    <t>Dátum zmeny</t>
  </si>
  <si>
    <t>x</t>
  </si>
  <si>
    <t>3. Informácie k časti F. písm. a) prílohy č. 3 o dlhodobom nehmotnom majetku</t>
  </si>
  <si>
    <t>Dlhodobý nehmotný majetok</t>
  </si>
  <si>
    <t>Softvér</t>
  </si>
  <si>
    <t>Goodwill</t>
  </si>
  <si>
    <t>Ostatný DNM</t>
  </si>
  <si>
    <t>Poskytnuté preddavky na DNM</t>
  </si>
  <si>
    <t>Prvotné ocenenie</t>
  </si>
  <si>
    <t>Stav na začiatku účtovného obdobia</t>
  </si>
  <si>
    <t>Prírastky</t>
  </si>
  <si>
    <t>Úbytky</t>
  </si>
  <si>
    <t>Presuny</t>
  </si>
  <si>
    <t>Stav na konci účtovného obdobia</t>
  </si>
  <si>
    <t>Oprávky</t>
  </si>
  <si>
    <t>Stav na začiatku účtovného obdobia</t>
  </si>
  <si>
    <t>Opravné položky</t>
  </si>
  <si>
    <t>Zostatková hodnota </t>
  </si>
  <si>
    <t>4. Informácie k časti F. písm. c) prílohy č. 3 o dlhodobom nehmotnom majetku</t>
  </si>
  <si>
    <t>Hodnota za bežné účtovné obdobie</t>
  </si>
  <si>
    <t>Dlhodobý nehmotný majetok, na ktorý je zriadené záložné právo</t>
  </si>
  <si>
    <t>Dlhodobý nehmotný majetok, pri ktorom má účtovná jednotka obmedzené právo s ním nakladať</t>
  </si>
  <si>
    <t>5.  Informácie k časti F. písm. a) prílohy č. 3 o dlhodobom hmotnom majetku</t>
  </si>
  <si>
    <t>Dlhodobý hmotný majetok</t>
  </si>
  <si>
    <t>Pozemky</t>
  </si>
  <si>
    <t>Stavby</t>
  </si>
  <si>
    <t>Samostatné hnuteľné veci a súbory hnuteľných vecí</t>
  </si>
  <si>
    <t>Základné stádo a ťažné zvieratá</t>
  </si>
  <si>
    <t>Ostatný DHM</t>
  </si>
  <si>
    <t>Poskytnuté preddavky na DHM</t>
  </si>
  <si>
    <t xml:space="preserve">6. Informácie k časti F. písm. c) prílohy č. 3 o dlhodobom hmotnom majetku </t>
  </si>
  <si>
    <t>Dlhodobý hmotný majetok, na ktorý je zriadené záložné právo</t>
  </si>
  <si>
    <t>Dlhodobý hmotný majetok, pri ktorom má účtovná jednotka obmedzené právo s ním nakladať</t>
  </si>
  <si>
    <t>7. Informácie k časti F. písm. j) prílohy č. 3 o  dlhodobom finančnom majetku</t>
  </si>
  <si>
    <t>Podielové CP a podiely v DÚJ</t>
  </si>
  <si>
    <t>Ostatné dlhodobé CP a podiely</t>
  </si>
  <si>
    <t>Ostatný DFM</t>
  </si>
  <si>
    <t>Pôžičky s dobou splatnosti najviac jeden rok</t>
  </si>
  <si>
    <t>Dlhodobý finančný majetok</t>
  </si>
  <si>
    <t xml:space="preserve">8. Informácie k časti F. písm. m) prílohy č. 3 o dlhodobom finančnom majetku </t>
  </si>
  <si>
    <t>Dlhodobý finančný majetok, na ktorý je zriadené záložné právo</t>
  </si>
  <si>
    <t>Dlhodobý finančný majetok, pri ktorom má účtovná jednotka obmedzené právo s ním nakladať</t>
  </si>
  <si>
    <t>9. Informácie k časti F. písm. i) prílohy č. 3 o štruktúre dlhodobého finančného majetku</t>
  </si>
  <si>
    <t>Obchodné meno a sídlo spoločnosti, v ktorej má ÚJ umiestnený DFM</t>
  </si>
  <si>
    <t>Podiel ÚJ na ZI v  %</t>
  </si>
  <si>
    <t>Podiel ÚJ na hlasovacích právach v %</t>
  </si>
  <si>
    <t>Hodnota</t>
  </si>
  <si>
    <t>Účtovná hodnota DFM</t>
  </si>
  <si>
    <t>Dcérske účtovné jednotky</t>
  </si>
  <si>
    <t>Účtovné jednotky s podstatným vplyvom</t>
  </si>
  <si>
    <t xml:space="preserve">Ostatné realizovateľné CP a podiely  </t>
  </si>
  <si>
    <t>Obstarávaný DFM na účely vykonania vplyvu v inej ÚJ</t>
  </si>
  <si>
    <t>Dlhodobý finančný majetok spolu</t>
  </si>
  <si>
    <t>10. Informácie k časti F. písm. j) a l) prílohy č. 3 o dlhových CP držaných do splatnosti</t>
  </si>
  <si>
    <t>Druh CP</t>
  </si>
  <si>
    <t>Zvýšenie hodnoty</t>
  </si>
  <si>
    <t>Zníženie hodnoty</t>
  </si>
  <si>
    <t>Do splatnosti viac ako päť rokov</t>
  </si>
  <si>
    <t>Do splatnosti  od troch rokov do piatich rokov vrátane</t>
  </si>
  <si>
    <t>Do splatnosti od jedného roka do troch rokov vrátane</t>
  </si>
  <si>
    <t>Do splatnosti do jedného roka vrátane</t>
  </si>
  <si>
    <t>Dlhové CP držané do splatnosti spolu</t>
  </si>
  <si>
    <t>Stav na konci účtovného obdobia</t>
  </si>
  <si>
    <t>11. Informácie k časti F. písm. j) a l) prílohy č. 3 o poskytnutých dlhodobých pôžičkách</t>
  </si>
  <si>
    <t>Dlhodobé pôžičky</t>
  </si>
  <si>
    <t>Do splatnosti od troch rokov do piatich rokov vrátane</t>
  </si>
  <si>
    <t>Do splatnosti  od jedného roka do troch rokov vrátane</t>
  </si>
  <si>
    <t>Dlhodobé pôžičky spolu</t>
  </si>
  <si>
    <t>12. Informácie k časti F. písm. o) prílohy č. 3 o opravných položkách k zásobám</t>
  </si>
  <si>
    <t>Zásoby</t>
  </si>
  <si>
    <t>Stav  OP na začiatku účtovného obdobia</t>
  </si>
  <si>
    <t>Zúčtovanie OP z dôvodu zániku opodstatnenosti</t>
  </si>
  <si>
    <t>Stav OP na konci účtovného obdobia</t>
  </si>
  <si>
    <t>Materiál</t>
  </si>
  <si>
    <t>Výrobky</t>
  </si>
  <si>
    <t xml:space="preserve">Zvieratá </t>
  </si>
  <si>
    <t>Tovar</t>
  </si>
  <si>
    <t>Nehnuteľnosť na predaj</t>
  </si>
  <si>
    <t>Zásoby spolu</t>
  </si>
  <si>
    <t>Náklady na obstarávanie nehnuteľnosti  na predaj za účtovné obdobie</t>
  </si>
  <si>
    <t>Náklady na obstaranie nehnuteľnosti na predaj od začiatku obstarávania</t>
  </si>
  <si>
    <t>Nedokončená výroba a polotovary vlastnej výroby</t>
  </si>
  <si>
    <t>13. Informácie k časti F. písm. p) prílohy č. 3 o zásobách, na ktoré je zriadené záložné právo a o zásobách, pri ktorých má účtovná jednotka obmedzené právo s nimi nakladať</t>
  </si>
  <si>
    <t>Zásoby, na ktoré je zriadené záložné právo</t>
  </si>
  <si>
    <t>Zásoby, pri ktorých má účtovná jednotka obmedzené právo s nimi nakladať</t>
  </si>
  <si>
    <t>14. Informácie k časti F. písm. q) prílohy č. 3 o zákazkovej výrobe a o zákazkovej výstavbe nehnuteľnosti určenej na predaj</t>
  </si>
  <si>
    <t>Za bežné účtovné obdobie</t>
  </si>
  <si>
    <t>Za bezprostredne predchádzajúce účtovné obdobie</t>
  </si>
  <si>
    <t>Sumár od začiatku zákazkovej výroby až do konca bežného účtovného obdobia</t>
  </si>
  <si>
    <t>Výnosy zo zákazkovej výroby</t>
  </si>
  <si>
    <t>Náklady na zákazkovú výrobu</t>
  </si>
  <si>
    <t>Hrubý zisk / hrubá strata</t>
  </si>
  <si>
    <t>Hodnota zákazkovej výroby</t>
  </si>
  <si>
    <t>Vyfakturované nároky za vykonanú prácu na zákazkovej výrobe</t>
  </si>
  <si>
    <t>Úprava nárokov podľa stupňa dokončenia alebo metódou nulového zisku</t>
  </si>
  <si>
    <t xml:space="preserve">Suma prijatých preddavkov </t>
  </si>
  <si>
    <t>Suma zadržanej platby</t>
  </si>
  <si>
    <t>Tabuľka č. 3</t>
  </si>
  <si>
    <t xml:space="preserve">Výnosy zo zákazkovej výstavby nehnuteľnosti určenej na predaj </t>
  </si>
  <si>
    <t>Náklady na zákazkovú výstavbu nehnuteľnosti určenej na predaj</t>
  </si>
  <si>
    <t>Tabuľka č. 4</t>
  </si>
  <si>
    <t>Hodnota zákazkovej výstavby nehnuteľnosti určenej na predaj</t>
  </si>
  <si>
    <t>Vyfakturované nároky za vykonanú prácu na zákazkovej výstavbe nehnuteľnosti určenej na predaj</t>
  </si>
  <si>
    <t>Suma prijatých preddavkov</t>
  </si>
  <si>
    <t>15. Informácie k časti F. písm. r) prílohy č. 3 o vývoji opravnej položky  k pohľadávkam</t>
  </si>
  <si>
    <t>Pohľadávky</t>
  </si>
  <si>
    <t>Stav OP na začiatku účtovného obdobia</t>
  </si>
  <si>
    <t>Tvorba</t>
  </si>
  <si>
    <t xml:space="preserve">Pohľadávky z obchodného styku </t>
  </si>
  <si>
    <t>Pohľadávky voči dcérskej účtovnej jednotke a materskej účtovnej jednotke</t>
  </si>
  <si>
    <t>Pohľadávky voči spoločníkom, členom a združeniu</t>
  </si>
  <si>
    <t>Iné pohľadávky</t>
  </si>
  <si>
    <t>Pohľadávky spolu</t>
  </si>
  <si>
    <t>16. Informácie k časti F. písm. s) prílohy č. 3 o  vekovej štruktúre pohľadávok</t>
  </si>
  <si>
    <t>Názov položky</t>
  </si>
  <si>
    <t>V lehote splatnosti</t>
  </si>
  <si>
    <t>Po lehote splatnosti</t>
  </si>
  <si>
    <t>Dlhodobé pohľadávky</t>
  </si>
  <si>
    <t>Pohľadávky  z obchodného styku</t>
  </si>
  <si>
    <t>Ostatné pohľadávky v rámci konsolidovaného celku</t>
  </si>
  <si>
    <t>Dlhodobé pohľadávky spolu</t>
  </si>
  <si>
    <t>Krátkodobé pohľadávky</t>
  </si>
  <si>
    <t>Pohľadávky z obchodného styku</t>
  </si>
  <si>
    <t>Sociálne poistenie</t>
  </si>
  <si>
    <t>Daňové pohľadávky a dotácie</t>
  </si>
  <si>
    <t>Krátkodobé pohľadávky spolu</t>
  </si>
  <si>
    <t>Pohľadávky po lehote splatnosti</t>
  </si>
  <si>
    <t>Pohľadávky so zostatkovou dobou splatnosti  jeden rok až päť rokov</t>
  </si>
  <si>
    <t>Pohľadávky so zostatkovou dobou splatnosti dlhšou ako päť rokov</t>
  </si>
  <si>
    <t xml:space="preserve">17. Informácie k časti F. písm. t) a u) prílohy č. 3  o pohľadávkach zabezpečených záložným právom alebo inou formou zabezpečenia   </t>
  </si>
  <si>
    <t>Opis predmetu záložného práva</t>
  </si>
  <si>
    <t>Hodnota predmetu</t>
  </si>
  <si>
    <t>Hodnota pohľadávky</t>
  </si>
  <si>
    <t>Pohľadávky kryté záložným právom alebo inou formou zabezpečenia</t>
  </si>
  <si>
    <t>Hodnota pohľadávok, na ktoré sa zriadilo záložné právo</t>
  </si>
  <si>
    <t>Hodnota pohľadávok, pri ktorých je obmedzené právo s nimi nakladať</t>
  </si>
  <si>
    <t>18. Informácie k časti F. písm. w)  prílohy č. 3 o krátkodobom finančnom majetku</t>
  </si>
  <si>
    <t xml:space="preserve">Tabuľka č. 1 </t>
  </si>
  <si>
    <t>Pokladnica, ceniny</t>
  </si>
  <si>
    <t>Bežné bankové účty</t>
  </si>
  <si>
    <t>Bankové účty termínované</t>
  </si>
  <si>
    <t>Peniaze na ceste</t>
  </si>
  <si>
    <t>Krátkodobý  finančný majetok</t>
  </si>
  <si>
    <t>Majetkové CP na obchodovanie</t>
  </si>
  <si>
    <t>Dlhové CP na obchodovanie</t>
  </si>
  <si>
    <t>Emisné kvóty</t>
  </si>
  <si>
    <t>Dlhové CP so splatnosťou do  jedného roka držané do splatnosti</t>
  </si>
  <si>
    <t>Ostatné realizovateľné CP</t>
  </si>
  <si>
    <t>Obstarávanie krátkodobého finančného majetku</t>
  </si>
  <si>
    <t>Krátkodobý finančný majetok spolu</t>
  </si>
  <si>
    <t>19. Informácie k časti  F. písm. x) prílohy č. 3 o vývoji opravnej položky ku krátkodobému finančnému majetku</t>
  </si>
  <si>
    <t>Krátkodobý finančný majetok</t>
  </si>
  <si>
    <t>Stav OP  na začiatku účtovného obdobia</t>
  </si>
  <si>
    <t>Tvorba OP</t>
  </si>
  <si>
    <t>Stav  OP na konci účtovného obdobia</t>
  </si>
  <si>
    <t>Krátkodobý  finančný majetok, na ktorý bolo zriadené záložné právo</t>
  </si>
  <si>
    <t>Krátkodobý  finančný majetok, pri ktorom je obmedzené právo s ním nakladať</t>
  </si>
  <si>
    <t>20. Informácie k časti F. písm. y) prílohy č. 3 o krátkodobom finančnom majetku, na ktorý bolo zriadené záložné právo a o krátkodobom finančnom majetku, pri ktorom má účtovná jednotka obmedzené právo s ním nakladať</t>
  </si>
  <si>
    <t>21. Informácie k časti F. písm.  za) prílohy č. 3 o ocenení krátkodobého finančného  majetku, ku dňu ku ktorému sa zostavuje účtovná závierka reálnou hodnotou</t>
  </si>
  <si>
    <t>Emisné kvóty (komodity)</t>
  </si>
  <si>
    <t>22. Informácie k časti F. písm.  zb) prílohy č. 3 o významných položkách časového rozlíšenia na strane aktív</t>
  </si>
  <si>
    <t>Opis položky časového rozlíšenia</t>
  </si>
  <si>
    <t xml:space="preserve">Náklady budúcich období dlhodobé,  z toho: </t>
  </si>
  <si>
    <t>Náklady budúcich období krátkodobé, z toho:</t>
  </si>
  <si>
    <t>Príjmy budúcich období dlhodobé, z toho:</t>
  </si>
  <si>
    <t>Príjmy budúcich období krátkodobé, z toho:</t>
  </si>
  <si>
    <t>23. Informácie k časti F. písm. zc) prílohy č. 3 o majetku prenajatom formou finančného prenájmu</t>
  </si>
  <si>
    <t>Splatnosť</t>
  </si>
  <si>
    <t>do jedného roka vrátane</t>
  </si>
  <si>
    <t>od jedného roka do piatich rokov vrátane</t>
  </si>
  <si>
    <t>viac ako päť rokov</t>
  </si>
  <si>
    <t>Istina</t>
  </si>
  <si>
    <t>Finančný výnos</t>
  </si>
  <si>
    <t xml:space="preserve">24. Informácie k časti G. písm. a) tretiemu bodu prílohy č. 3 o rozdelení účtovného zisku alebo o vysporiadaní účtovnej straty </t>
  </si>
  <si>
    <t xml:space="preserve">Účtovný zisk </t>
  </si>
  <si>
    <t>Rozdelenie účtovného zisku</t>
  </si>
  <si>
    <t>Prídel do zákonného rezervného fondu</t>
  </si>
  <si>
    <t>Prídel do štatutárnych a ostatných fondov</t>
  </si>
  <si>
    <t>Prídel do sociálneho fondu</t>
  </si>
  <si>
    <t>Prídel na zvýšenie základného imania</t>
  </si>
  <si>
    <t>Úhrada straty minulých období</t>
  </si>
  <si>
    <t>Prevod do nerozdeleného zisku minulých rokov</t>
  </si>
  <si>
    <t>Rozdelenie podielu na zisku spoločníkom, členom</t>
  </si>
  <si>
    <t xml:space="preserve">Iné </t>
  </si>
  <si>
    <t>Účtovná strata</t>
  </si>
  <si>
    <t>Vysporiadanie účtovnej straty</t>
  </si>
  <si>
    <t>Zo zákonného rezervného fondu</t>
  </si>
  <si>
    <t>Zo štatutárnych a ostatných fondov</t>
  </si>
  <si>
    <t>Z nerozdeleného zisku minulých rokov</t>
  </si>
  <si>
    <t>Úhrada straty spoločníkmi</t>
  </si>
  <si>
    <t>Prevod do neuhradenej straty minulých rokov</t>
  </si>
  <si>
    <t xml:space="preserve">Spolu </t>
  </si>
  <si>
    <t>25. Informácie k časti G. písm. b) prílohy č. 3 o rezervách</t>
  </si>
  <si>
    <t>Použitie</t>
  </si>
  <si>
    <t>Zrušenie</t>
  </si>
  <si>
    <t>Dlhodobé rezervy, z toho:</t>
  </si>
  <si>
    <t>Krátkodobé rezervy, z toho:</t>
  </si>
  <si>
    <t>26. Informácie k časti G. písm. c) a d) prílohy č. 3 o záväzkoch</t>
  </si>
  <si>
    <t>Záväzky po lehote splatnosti</t>
  </si>
  <si>
    <t>Krátkodobé záväzky spolu</t>
  </si>
  <si>
    <t>Záväzky so zostatkovou dobou splatnosti jeden rok až päť rokov</t>
  </si>
  <si>
    <t>Záväzky so zostatkovou dobou splatnosti nad päť rokov</t>
  </si>
  <si>
    <t>Dlhodobé záväzky spolu</t>
  </si>
  <si>
    <t>Dočasné rozdiely medzi účtovnou hodnotou majetku a daňovou základňou, z toho:</t>
  </si>
  <si>
    <t>odpočítateľné</t>
  </si>
  <si>
    <t>zdaniteľné</t>
  </si>
  <si>
    <t>Dočasné rozdiely medzi účtovnou hodnotou záväzkov a daňovou základňou, z toho:</t>
  </si>
  <si>
    <t>Možnosť umorovať daňovú stratu v budúcnosti</t>
  </si>
  <si>
    <t>Možnosť previesť nevyužité daňové odpočty</t>
  </si>
  <si>
    <t>Sadzba dane z príjmov ( v %)</t>
  </si>
  <si>
    <t>Odložená daňová pohľadávka</t>
  </si>
  <si>
    <t>Uplatnená daňová pohľadávka</t>
  </si>
  <si>
    <t>Zaúčtovaná  ako zníženie nákladov</t>
  </si>
  <si>
    <t>Zaúčtovaná do vlastného imania</t>
  </si>
  <si>
    <t>Odložený daňový záväzok</t>
  </si>
  <si>
    <t>Zmena odloženého daňového záväzku</t>
  </si>
  <si>
    <t>Zaúčtovaná ako náklad</t>
  </si>
  <si>
    <t>Začiatočný stav sociálneho fondu</t>
  </si>
  <si>
    <t>Tvorba sociálneho fondu na ťarchu nákladov</t>
  </si>
  <si>
    <t>Tvorba sociálneho fondu zo zisku</t>
  </si>
  <si>
    <t>Ostatná tvorba sociálneho fondu</t>
  </si>
  <si>
    <t>Tvorba sociálneho fondu spolu</t>
  </si>
  <si>
    <t xml:space="preserve">Čerpanie sociálneho fondu </t>
  </si>
  <si>
    <t>Konečný zostatok sociálneho fondu</t>
  </si>
  <si>
    <t>Názov vydaného dlhopisu</t>
  </si>
  <si>
    <t>Menovitá hodnota</t>
  </si>
  <si>
    <t>Počet</t>
  </si>
  <si>
    <t>Emisný kurz</t>
  </si>
  <si>
    <t>Úrok</t>
  </si>
  <si>
    <t>Mena</t>
  </si>
  <si>
    <t>Dátum splatnosti</t>
  </si>
  <si>
    <t>Suma istiny v príslušnej mene za bežné účtovné obdobie</t>
  </si>
  <si>
    <t>Suma istiny v príslušnej mene za bezprostredne predchádzajúce účtovné obdobie</t>
  </si>
  <si>
    <t>Dlhodobé bankové úvery</t>
  </si>
  <si>
    <t>Krátkodobé bankové úvery</t>
  </si>
  <si>
    <t>31. Informácie k časti G. písm. j) prílohy č. 3 o významných položkách časového rozlíšenia na strane pasív</t>
  </si>
  <si>
    <t>Výdavky budúcich období dlhodobé, z toho:</t>
  </si>
  <si>
    <t>Výdavky budúcich období krátkodobé, z toho:</t>
  </si>
  <si>
    <t>32. Informácie k časti  G. písm. k) prílohy č. 3 o významných položkách derivátov za bežné účtovné obdobie</t>
  </si>
  <si>
    <t>Účtovná hodnota</t>
  </si>
  <si>
    <t>Dohodnutá cena  podkladového nástroja</t>
  </si>
  <si>
    <t>pohľadávky</t>
  </si>
  <si>
    <t>záväzku</t>
  </si>
  <si>
    <t>Deriváty určené na obchodovanie, z toho: </t>
  </si>
  <si>
    <t>Zabezpečovacie deriváty, z toho:</t>
  </si>
  <si>
    <t>Zmena reálnej hodnoty (+/-) s vplyvom na</t>
  </si>
  <si>
    <t>výsledok hospodárenia</t>
  </si>
  <si>
    <t>vlastné imanie</t>
  </si>
  <si>
    <t>33. Informácie k časti G. písm. l) prílohy č. 3 o položkách zabezpečených derivátmi</t>
  </si>
  <si>
    <t>Zabezpečovaná položka</t>
  </si>
  <si>
    <t>Reálna hodnota</t>
  </si>
  <si>
    <t>Majetok vykázaný v súvahe</t>
  </si>
  <si>
    <t>Záväzok vykázaný v súvahe</t>
  </si>
  <si>
    <t>Zmluvy, ktoré sa neúčtujú na súvahových účtoch</t>
  </si>
  <si>
    <t>Očakávané budúce obchody dosiaľ zmluvne nezabezpečené</t>
  </si>
  <si>
    <t>34. Informácie k časti G. písm. m) prílohy č. 3 o majetku prenajatom formou finančného prenájmu</t>
  </si>
  <si>
    <t>Finančný náklad</t>
  </si>
  <si>
    <t>35. Informácie k časti H. písm. a) prílohy č. 3 o tržbách</t>
  </si>
  <si>
    <t>Oblasť odbytu</t>
  </si>
  <si>
    <t>Typ výrobkov, tovarov, služieb  (napríklad A)</t>
  </si>
  <si>
    <t>Typ výrobkov, tovarov, služieb  (napríklad B)</t>
  </si>
  <si>
    <t>Typ výrobkov, tovarov, služieb  (napríklad C)</t>
  </si>
  <si>
    <t>36. Informácie k časti H. písm. b) prílohy č. 3 o zmene stavu vnútroorganizačných zásob</t>
  </si>
  <si>
    <t>Zmena stavu vnútroorganizačných zásob</t>
  </si>
  <si>
    <t>Konečný zostatok</t>
  </si>
  <si>
    <t>Začiatočný stav</t>
  </si>
  <si>
    <t>Zvieratá</t>
  </si>
  <si>
    <t>Manká a škody</t>
  </si>
  <si>
    <t>Reprezentačné</t>
  </si>
  <si>
    <t>Dary</t>
  </si>
  <si>
    <t>Iné</t>
  </si>
  <si>
    <t>Zmena stavu vnútroorga-nizačných zásob vo výkaze ziskov a strát</t>
  </si>
  <si>
    <t>37.  Informácie k časti H. písm. c) až f)  prílohy č. 3 o výnosoch pri aktivácii nákladov a o výnosoch z hospodárskej činnosti, finančnej činnosti a mimoriadnej činnosti</t>
  </si>
  <si>
    <t>Ostatné významné položky výnosov z hospodárskej činnosti, z toho:</t>
  </si>
  <si>
    <t>Finančné výnosy, z toho:</t>
  </si>
  <si>
    <t>Kurzové zisky, z toho:</t>
  </si>
  <si>
    <t>kurzové zisky ku dňu, ku ktorému sa zostavuje účtovná závierka</t>
  </si>
  <si>
    <t>Ostatné významné položky finančných výnosov, z toho:</t>
  </si>
  <si>
    <t>Mimoriadne výnosy, z toho:</t>
  </si>
  <si>
    <t>38. Informácie k časti H. písm. g)  prílohy č. 3 o čistom obrate</t>
  </si>
  <si>
    <t>Tržby za vlastné výrobky</t>
  </si>
  <si>
    <t>Tržby z predaja služieb</t>
  </si>
  <si>
    <t>Tržby za tovar</t>
  </si>
  <si>
    <t>Výnosy zo zákazky</t>
  </si>
  <si>
    <t>Výnosy z nehnuteľnosti na predaj</t>
  </si>
  <si>
    <t>Iné výnosy súvisiace s bežnou činnosťou</t>
  </si>
  <si>
    <t>Čistý obrat celkom</t>
  </si>
  <si>
    <t>39. Informácie k časti I. prílohy č. 3 o nákladoch</t>
  </si>
  <si>
    <t>Náklady za poskytnuté služby, z toho:</t>
  </si>
  <si>
    <t>Náklady voči audítorovi, audítorskej spoločnosti, z toho:</t>
  </si>
  <si>
    <t>náklady za overenie individuálnej účtovnej závierky</t>
  </si>
  <si>
    <t>iné uisťovacie audítorské služby</t>
  </si>
  <si>
    <t>súvisiace audítorské služby</t>
  </si>
  <si>
    <t>daňové poradenstvo</t>
  </si>
  <si>
    <t>ostatné neaudítorské služby</t>
  </si>
  <si>
    <t>Ostatné významné položky nákladov za poskytnuté služby, z toho:</t>
  </si>
  <si>
    <t>Ostatné významné položky nákladov z hospodárskej činnosti, z toho:</t>
  </si>
  <si>
    <t>Finančné náklady, z toho:</t>
  </si>
  <si>
    <t>Kurzové straty, z toho:</t>
  </si>
  <si>
    <t>kurzové straty ku dňu, ku ktorému sa zostavuje účtovná závierka</t>
  </si>
  <si>
    <t>Ostatné významné položky finančných nákladov, z toho:</t>
  </si>
  <si>
    <t>Mimoriadne náklady, z toho:</t>
  </si>
  <si>
    <t>40. Informácie k časti J. písm. a) až e) prílohy č. 3 o daniach z príjmov</t>
  </si>
  <si>
    <t>Suma odloženej daňovej pohľadávky účtovanej ako náklad alebo výnos vyplývajúca zo zmeny sadzby dane z príjmov</t>
  </si>
  <si>
    <t>Suma odloženého daňového záväzku účtovaného ako náklad alebo výnos vyplývajúci zo zmeny sadzby dane z príjmov</t>
  </si>
  <si>
    <t>Suma odloženej daňovej pohľadávky týkajúca sa umorenia daňovej straty, nevyužitých daňových odpočtov a iných nárokov, ako aj dočasných rozdielov predchádzajúcich účtovných období, ku ktorým sa v predchádzajúcich účtovných obdobiach odložená daňová pohľadávka neúčtovala</t>
  </si>
  <si>
    <t>Suma odloženého daňového záväzku, ktorý vznikol z dôvodu neúčtovania tej časti odloženej daňovej  pohľadávky v bežnom účtovnom období, o ktorej sa účtovalo v predchádzajúcich účtovných obdobiach</t>
  </si>
  <si>
    <t>Suma neuplatneného umorenia daňovej straty, nevyužitých daňových odpočtov a iných nárokov a odpočítateľných dočasných rozdielov, ku ktorým nebola účtovaná odložená daňová pohľadávka</t>
  </si>
  <si>
    <t>Suma odloženej dani z príjmov, ktorá sa vzťahuje na položky účtované priamo na účty vlastného imania bez účtovania na účty nákladov a výnosov</t>
  </si>
  <si>
    <t>41. Informácie k časti J.  písm. f) a g) prílohy č. 3 o daniach z príjmov</t>
  </si>
  <si>
    <t>Základ dane</t>
  </si>
  <si>
    <t>Daň</t>
  </si>
  <si>
    <t>Daň v %</t>
  </si>
  <si>
    <t>Výsledok hospodárenia pred  zdanením, z toho:</t>
  </si>
  <si>
    <t xml:space="preserve">teoretická daň </t>
  </si>
  <si>
    <t>Daňovo neuznané náklady</t>
  </si>
  <si>
    <t>Výnosy nepodliehajúce dani</t>
  </si>
  <si>
    <t>Umorenie daňovej straty</t>
  </si>
  <si>
    <t>Splatná daň z príjmov</t>
  </si>
  <si>
    <t>Odložená daň z príjmov</t>
  </si>
  <si>
    <t xml:space="preserve">Celková daň z príjmov </t>
  </si>
  <si>
    <t>42. Informácie k  časť K. prílohy č. 3 o podsúvahových položkách</t>
  </si>
  <si>
    <t>Prenajatý majetok</t>
  </si>
  <si>
    <t>Majetok v nájme (operatívny prenájom)</t>
  </si>
  <si>
    <t>Majetok prijatý do úschovy</t>
  </si>
  <si>
    <t>Pohľadávky z derivátov</t>
  </si>
  <si>
    <t>Záväzky z opcií derivátov</t>
  </si>
  <si>
    <t>Odpísané pohľadávky</t>
  </si>
  <si>
    <t>Pohľadávky z leasingu</t>
  </si>
  <si>
    <t>Záväzky z leasingu</t>
  </si>
  <si>
    <t>Iné položky</t>
  </si>
  <si>
    <t>43. Informácie k časti L. písm. a) prílohy č. 3 o podmienených záväzkoch</t>
  </si>
  <si>
    <t>Druh podmieneného záväzku</t>
  </si>
  <si>
    <t xml:space="preserve">Bežné účtovné obdobie                      </t>
  </si>
  <si>
    <t>Hodnota celkom</t>
  </si>
  <si>
    <t>Hodnota voči spriazneným osobám</t>
  </si>
  <si>
    <t>Zo súdnych rozhodnutí</t>
  </si>
  <si>
    <t>Z poskytnutých záruk</t>
  </si>
  <si>
    <t>Zo všeobecne záväzných právnych predpisov</t>
  </si>
  <si>
    <t>Zo zmluvy o podriadenom záväzku</t>
  </si>
  <si>
    <t>Z ručenia</t>
  </si>
  <si>
    <t>Iné podmienené záväzky</t>
  </si>
  <si>
    <t xml:space="preserve">Bezprostredne predchádzajúce účtovné obdobie                      </t>
  </si>
  <si>
    <t>44. Informácie k časti L. písm. c) prílohy č. 3 o podmienenom majetku</t>
  </si>
  <si>
    <t>Druh podmieneného majetku</t>
  </si>
  <si>
    <t xml:space="preserve">Bežné účtovné obdobie                               </t>
  </si>
  <si>
    <t xml:space="preserve">Bezprostredne predchádzajúce účtovné obdobie                                                                            </t>
  </si>
  <si>
    <t>Práva zo servisných zmlúv</t>
  </si>
  <si>
    <t>Práva z poistných zmlúv</t>
  </si>
  <si>
    <t>Práva z koncesionárskych zmlúv</t>
  </si>
  <si>
    <t>Práva z licenčných zmlúv</t>
  </si>
  <si>
    <t>Práva z privatizácie</t>
  </si>
  <si>
    <t>Práva zo súdnych sporov</t>
  </si>
  <si>
    <t>Iné práva</t>
  </si>
  <si>
    <t>45. Informácie k časti M. prílohy č. 3 o príjmoch a výhodách členov štatutárnych orgánov, dozorných orgánov a iných orgánov</t>
  </si>
  <si>
    <t>Druh príjmu, výhody</t>
  </si>
  <si>
    <t>Hodnota  príjmu, výhody súčasných členov orgánov</t>
  </si>
  <si>
    <t xml:space="preserve">Hodnota príjmu, výhody bývalých členov orgánov                                                        </t>
  </si>
  <si>
    <t>štatutárnych</t>
  </si>
  <si>
    <t>dozorných</t>
  </si>
  <si>
    <t>iných</t>
  </si>
  <si>
    <t>Časť 1 - Bežné účtovné obdobie</t>
  </si>
  <si>
    <t>Časť 2 - Bezprostredne predchádzajúce účtovné obdobie</t>
  </si>
  <si>
    <t>Peňažné príjmy</t>
  </si>
  <si>
    <t>Nepeňažné príjmy</t>
  </si>
  <si>
    <t>Peňažné  preddavky</t>
  </si>
  <si>
    <t>Nepeňažné preddavky</t>
  </si>
  <si>
    <t>Poskytnuté úvery</t>
  </si>
  <si>
    <t>Poskytnuté záruky</t>
  </si>
  <si>
    <t>46. Informácie k časti N. prílohy č. 3 o ekonomických vzťahoch medzi účtovnou jednotkou a spriaznenými osobami</t>
  </si>
  <si>
    <t>Spriaznená osoba </t>
  </si>
  <si>
    <t>Kód druhu obchodu</t>
  </si>
  <si>
    <t>Hodnotové vyjadrenie obchodu</t>
  </si>
  <si>
    <t xml:space="preserve">Bezprostredne predchádzajúce účtovné obdobie                                             </t>
  </si>
  <si>
    <t xml:space="preserve">Tabuľka č. 2 </t>
  </si>
  <si>
    <t>Stav na konci účtovného obdobia</t>
  </si>
  <si>
    <t>Základné imanie</t>
  </si>
  <si>
    <t>Vlastné akcie a vlastné obchodné podiely</t>
  </si>
  <si>
    <t>Emisné ážio</t>
  </si>
  <si>
    <t>Ostatné kapitálové fondy</t>
  </si>
  <si>
    <t>Zákonný rezervný fond (nedeliteľný fond) z kapitálových vkladov</t>
  </si>
  <si>
    <t>Oceňovacie rozdiely z kapitálových účastín</t>
  </si>
  <si>
    <t>Zákonný rezervný fond</t>
  </si>
  <si>
    <t>Nedeliteľný fond</t>
  </si>
  <si>
    <t>Štatutárne fondy a ostatné fondy</t>
  </si>
  <si>
    <t>Nerozdelený zisk minulých rokov</t>
  </si>
  <si>
    <t>Vyplatené dividendy</t>
  </si>
  <si>
    <t>Ostatné položky vlastného imania</t>
  </si>
  <si>
    <t>Vysvetlivky:</t>
  </si>
  <si>
    <t>(1) Identifikačné číslo organizácie (IČO) sa vyplňuje podľa Registra organizácií vedeného Štatistickým</t>
  </si>
  <si>
    <t>úradom Slovenskej republiky.</t>
  </si>
  <si>
    <t>(2) Daňové identifikačné číslo (DIČ) sa vyplňuje, ak ho má účtovná jednotka pridelené.</t>
  </si>
  <si>
    <t>(3) Kód SK NACE sa vypĺňa podľa vyhlášky Štatistického úradu Slovenskej republiky č. 306/2007</t>
  </si>
  <si>
    <t>Z. z., ktorou sa vydáva Štatistická klasifikácia ekonomických činností.</t>
  </si>
  <si>
    <t>(4) V bodoch č. 3, 5 a 7 sa prvotným ocenením majetku rozumie jeho ocenenie podľa § 25 zákona.</t>
  </si>
  <si>
    <t>(5) V bodoch č. 2, 9, 22, 25, 29, 30, 31, 32, 35, 37, 39, 46, 48 a 49 sa obsahová náplň tabuliek</t>
  </si>
  <si>
    <t>a počet riadkov v nich uvádzajú podľa potrieb účtovnej jednotky.</t>
  </si>
  <si>
    <t>(6) V bode č. 46 sa kód druhu obchodu vyplňuje takto:</t>
  </si>
  <si>
    <t>Druh obchodu</t>
  </si>
  <si>
    <t>kúpa</t>
  </si>
  <si>
    <t>predaj</t>
  </si>
  <si>
    <t>poskytnutie služby</t>
  </si>
  <si>
    <t>obchodné zastúpenie</t>
  </si>
  <si>
    <t>licencia</t>
  </si>
  <si>
    <t>transfer</t>
  </si>
  <si>
    <t>know-how</t>
  </si>
  <si>
    <t>úver, pôžička</t>
  </si>
  <si>
    <t>výpomoc</t>
  </si>
  <si>
    <t>záruka</t>
  </si>
  <si>
    <t>iný obchod</t>
  </si>
  <si>
    <t>Použité skratky:</t>
  </si>
  <si>
    <t>kons. – konsolidovaný</t>
  </si>
  <si>
    <t>CP – cenný papier</t>
  </si>
  <si>
    <t>DFM – dlhodobý finančný majetok</t>
  </si>
  <si>
    <t>DHM – dlhodobý hmotný majetok</t>
  </si>
  <si>
    <t>DIČ – daňové identifikačné číslo</t>
  </si>
  <si>
    <t>DNM – dlhodobý nehmotný majetok</t>
  </si>
  <si>
    <t>DÚJ – dcérska účtovná jednotka</t>
  </si>
  <si>
    <t>IČO – identifikačné číslo organizácie</t>
  </si>
  <si>
    <t>OP – opravná položka</t>
  </si>
  <si>
    <t>PSČ – poštové smerovacie číslo</t>
  </si>
  <si>
    <t>ÚJ – účtovná jednotka</t>
  </si>
  <si>
    <t>VI – vlastné imanie</t>
  </si>
  <si>
    <t>ZI – základné imanie</t>
  </si>
  <si>
    <t>Aktivované náklady na vývoj</t>
  </si>
  <si>
    <t>Oceniteľné práva</t>
  </si>
  <si>
    <t>Obstarávaný DNM</t>
  </si>
  <si>
    <t>Pestovateľské celky 
trvalých porastov</t>
  </si>
  <si>
    <t>Obstarávaný DHM</t>
  </si>
  <si>
    <t>Obstarávaný  DFM</t>
  </si>
  <si>
    <t>Poskytnuté preddavky na DFM</t>
  </si>
  <si>
    <t>Hodnota vlastného imania ÚJ, v ktorej má ÚJ umiestnený DFM</t>
  </si>
  <si>
    <t>Výsledok hospodárenia ÚJ, v ktorej má ÚJ umiestnený DFM</t>
  </si>
  <si>
    <t>Stav na začiatku účtovného obdobia</t>
  </si>
  <si>
    <t>Vyradenie dlhového CP z účtovníctva v účtovnom období</t>
  </si>
  <si>
    <t>Dlhové CP držané 
do splatnosti</t>
  </si>
  <si>
    <t>Vyradenie pôžičky z účtovníctva 
v účtovnom období</t>
  </si>
  <si>
    <t>Iný podiel na ostatných položkách VI ako na ZI v %</t>
  </si>
  <si>
    <t>Tvorba OP</t>
  </si>
  <si>
    <t>Tvorba 
OP</t>
  </si>
  <si>
    <t>Zúčtovanie OP z dôvodu vyradenia majetku 
z účtovníctva</t>
  </si>
  <si>
    <t>Poskytnuté preddavky 
na zásoby</t>
  </si>
  <si>
    <t>Zúčtovanie OP z dôvodu zániku opodstat-
nenosti</t>
  </si>
  <si>
    <t>Pohľadávky podľa zostatkovej doby splatnosti</t>
  </si>
  <si>
    <t>Pohľadávky so zostatkovou dobou splatnosti 
do jedného roka</t>
  </si>
  <si>
    <t>Zvýšenie/ zníženie hodnoty (+/-)</t>
  </si>
  <si>
    <t>Vplyv ocenenia na výsledok hospodárenia bežného účtovného obdobia</t>
  </si>
  <si>
    <t>Vplyv ocenenia na vlastné imanie</t>
  </si>
  <si>
    <t>Položka vlastného imania</t>
  </si>
  <si>
    <t>Zmena základného imania</t>
  </si>
  <si>
    <t>Pohľadávky za upísané vlastné imanie</t>
  </si>
  <si>
    <t>Oceňovacie rozdiely z precenenia pri zlúčení, splynutí a rozdelení</t>
  </si>
  <si>
    <t>Neuhradená strata minulých rokov</t>
  </si>
  <si>
    <t>Výsledok hospodárenia bežného účtovného obdobia</t>
  </si>
  <si>
    <t>Účet 491 – Vlastné imanie fyzickej osoby – podnikateľa</t>
  </si>
  <si>
    <t>Stav 
na začiatku účtovného obdobia</t>
  </si>
  <si>
    <t>Záväzky so zostatkovou dobou splatnosti 
do jedného roka vrátane</t>
  </si>
  <si>
    <r>
      <t>Dlhodobé pôžičky</t>
    </r>
    <r>
      <rPr>
        <sz val="8"/>
        <color theme="1"/>
        <rFont val="Arial"/>
        <family val="2"/>
        <charset val="238"/>
      </rPr>
      <t> </t>
    </r>
  </si>
  <si>
    <r>
      <t>Krátkodobé pôžičky</t>
    </r>
    <r>
      <rPr>
        <sz val="8"/>
        <color theme="1"/>
        <rFont val="Arial"/>
        <family val="2"/>
        <charset val="238"/>
      </rPr>
      <t> </t>
    </r>
  </si>
  <si>
    <r>
      <t>Krátkodobé finančné výpomoci</t>
    </r>
    <r>
      <rPr>
        <sz val="8"/>
        <color theme="1"/>
        <rFont val="Arial"/>
        <family val="2"/>
        <charset val="238"/>
      </rPr>
      <t> </t>
    </r>
  </si>
  <si>
    <t>Úrok p. a. v %</t>
  </si>
  <si>
    <t>27. Informácie k časti G. písm. g) prílohy č. 3 o záväzkoch zo sociálneho fondu</t>
  </si>
  <si>
    <t>28. Informácie k časti G. písm. h) prílohy č. 3 o vydaných dlhopisoch</t>
  </si>
  <si>
    <t>29. Informácie k časti G. písm. i)  prílohy č. 3 o bankových úveroch, pôžičkách a krátkodobých finančných výpomociach</t>
  </si>
  <si>
    <t>30. Informácie k časti F. písm. v) a časti G. písm. f) prílohy č. 3 o odloženej daňovej pohľadávke alebo o odloženom daňovom záväzku</t>
  </si>
  <si>
    <t>Výnosy budúcich období dlhodobé, 
z toho:</t>
  </si>
  <si>
    <t>Výnosy budúcich období krátkodobé, 
z toho:</t>
  </si>
  <si>
    <t>Bezprostred- 
ne predchádza- 
júce účtovné obdobie</t>
  </si>
  <si>
    <t>Nedokončená výroba a polotovary vlastnej výroby</t>
  </si>
  <si>
    <t>Bezprostred- 
ne predchádza-
júce účtovné obdobie</t>
  </si>
  <si>
    <r>
      <t>Významné položky pri aktivácii nákladov, z toho:</t>
    </r>
    <r>
      <rPr>
        <sz val="8"/>
        <color theme="1"/>
        <rFont val="Arial"/>
        <family val="2"/>
        <charset val="238"/>
      </rPr>
      <t> </t>
    </r>
  </si>
  <si>
    <t>Dcérska účtovná jednotka/
Materská účtovná jednotka</t>
  </si>
  <si>
    <t>Za bežné 
účtovné obdobie</t>
  </si>
  <si>
    <t>Sumár od začiatku zákazkovej výstavby nehnuteľnosti určenej 
na predaj až do konca bežného účtovného obdobia</t>
  </si>
  <si>
    <t>Sumár od začiatku zákazkovej výroby až 
do konca bežného účtovného obdobia</t>
  </si>
  <si>
    <t>Bezprostredne predchádzajúce 
účtovné obdobie</t>
  </si>
  <si>
    <t>Práva z investovania prostriedkov 
získaných oslobodením od dane z príjmov</t>
  </si>
  <si>
    <t>Pôžičky ÚJ 
v kons. celku</t>
  </si>
  <si>
    <t>Podielové CP a podiely 
v spoločnosti
s podstatným
vplyvom</t>
  </si>
  <si>
    <t>50% of PM</t>
  </si>
  <si>
    <t>Client:</t>
  </si>
  <si>
    <t>Pre-tax income</t>
  </si>
  <si>
    <t>75% of PM</t>
  </si>
  <si>
    <t>Subject:</t>
  </si>
  <si>
    <t>Balance sheet</t>
  </si>
  <si>
    <t>Select value</t>
  </si>
  <si>
    <t>Sales revenue</t>
  </si>
  <si>
    <t>Equity</t>
  </si>
  <si>
    <t>Total assets</t>
  </si>
  <si>
    <t>RANGE</t>
  </si>
  <si>
    <t>in EUR</t>
  </si>
  <si>
    <t>Descrip-</t>
  </si>
  <si>
    <t>ASSETS</t>
  </si>
  <si>
    <t>Line</t>
  </si>
  <si>
    <t>Current accountig period</t>
  </si>
  <si>
    <t>Previous acc. period</t>
  </si>
  <si>
    <t>tion</t>
  </si>
  <si>
    <t>No.</t>
  </si>
  <si>
    <t>Brutto</t>
  </si>
  <si>
    <t>Correction</t>
  </si>
  <si>
    <t>Net</t>
  </si>
  <si>
    <t>a</t>
  </si>
  <si>
    <t>b</t>
  </si>
  <si>
    <t>c</t>
  </si>
  <si>
    <t>TOTAL ASSETS l. 002 + l. 030
+ l. 061</t>
  </si>
  <si>
    <t>001</t>
  </si>
  <si>
    <t>A.</t>
  </si>
  <si>
    <t>Non-current assets l. 003 + l. 011
+ l. 021</t>
  </si>
  <si>
    <t>002</t>
  </si>
  <si>
    <t>A.I.</t>
  </si>
  <si>
    <t>Non-current intangible assets  total (l. 004 to 010)</t>
  </si>
  <si>
    <t>003</t>
  </si>
  <si>
    <t>A.I.1.</t>
  </si>
  <si>
    <t>Capitalized development cost (012) - /072, 091A/</t>
  </si>
  <si>
    <t>004</t>
  </si>
  <si>
    <t>2.</t>
  </si>
  <si>
    <t>Software (013) - /073, 091A/</t>
  </si>
  <si>
    <t>005</t>
  </si>
  <si>
    <t>3.</t>
  </si>
  <si>
    <t>Valuable rights (014) - /074, 091A/</t>
  </si>
  <si>
    <t>006</t>
  </si>
  <si>
    <t>4.</t>
  </si>
  <si>
    <t>Goodwill (015)-/075,091A/</t>
  </si>
  <si>
    <t>007</t>
  </si>
  <si>
    <t>5.</t>
  </si>
  <si>
    <t>Other non-current intangible assets (019, 01X) - /079,
07X, 091A/</t>
  </si>
  <si>
    <t>008</t>
  </si>
  <si>
    <t>6.</t>
  </si>
  <si>
    <t>Non-current intangible assets under construction (041) - 093</t>
  </si>
  <si>
    <t>009</t>
  </si>
  <si>
    <t>7.</t>
  </si>
  <si>
    <t>Advance payments for non-current intangible assets (051) - 095A</t>
  </si>
  <si>
    <t>010</t>
  </si>
  <si>
    <t>A.II.</t>
  </si>
  <si>
    <t>Non-current tangible assets  total (l. 012 to 020)</t>
  </si>
  <si>
    <t>011</t>
  </si>
  <si>
    <t>A.II.1.</t>
  </si>
  <si>
    <t>Land (031)-092A</t>
  </si>
  <si>
    <t>012</t>
  </si>
  <si>
    <t>Buildings (021) - /081,092A/</t>
  </si>
  <si>
    <t>013</t>
  </si>
  <si>
    <t>Plant and equipment (022) - /082, 092A/</t>
  </si>
  <si>
    <t>014</t>
  </si>
  <si>
    <t>Perennial crops (025) - /085, 092A/</t>
  </si>
  <si>
    <t>015</t>
  </si>
  <si>
    <t>Livestock and draught animals (026) - /086, 092A/</t>
  </si>
  <si>
    <t>016</t>
  </si>
  <si>
    <t>Other non-current tangible assets (029, 02X, 032) -
/089, 08X, 092A/</t>
  </si>
  <si>
    <t>017</t>
  </si>
  <si>
    <t>Non-current tangible assets under construction (042) - 094</t>
  </si>
  <si>
    <t>018</t>
  </si>
  <si>
    <t>8.</t>
  </si>
  <si>
    <t>Advance payments for non-current tangible assets (052) - 095A</t>
  </si>
  <si>
    <t>019</t>
  </si>
  <si>
    <t>9.</t>
  </si>
  <si>
    <t>Adjustments for assets acquired (+/- 097) +/- 098</t>
  </si>
  <si>
    <t>020</t>
  </si>
  <si>
    <t>A.III.</t>
  </si>
  <si>
    <t xml:space="preserve">Non-current financial assets  total (l. 022 to 029) </t>
  </si>
  <si>
    <t>021</t>
  </si>
  <si>
    <t>A.III.1.</t>
  </si>
  <si>
    <t>Investment in subsidiaries (061) - 096A</t>
  </si>
  <si>
    <t>022</t>
  </si>
  <si>
    <t>Investment in  interest in associates (062) - 096A</t>
  </si>
  <si>
    <t>023</t>
  </si>
  <si>
    <t>Other non-current investments (063, 065) - 096A</t>
  </si>
  <si>
    <t>024</t>
  </si>
  <si>
    <t>Loans to entities in consolidated group (066A) - 096A</t>
  </si>
  <si>
    <t>025</t>
  </si>
  <si>
    <t>Other non-current financial assets (067A, 069, 06XA)
- 096A</t>
  </si>
  <si>
    <t>026</t>
  </si>
  <si>
    <t>Loans with maturity up to one year (066A, 067A, 06XA)
- 096A</t>
  </si>
  <si>
    <t>027</t>
  </si>
  <si>
    <t>Non-current financial assets under construction (043) - 096A</t>
  </si>
  <si>
    <t>028</t>
  </si>
  <si>
    <t>Advance payments for non-current financial assets (053) - 095A</t>
  </si>
  <si>
    <t>029</t>
  </si>
  <si>
    <t>B.</t>
  </si>
  <si>
    <t>Current assets l. 031 + l. 038
+ l. 046 + l. 055</t>
  </si>
  <si>
    <t>030</t>
  </si>
  <si>
    <t>B.I.</t>
  </si>
  <si>
    <t>Inventory total (l. 032 to 037)</t>
  </si>
  <si>
    <t>031</t>
  </si>
  <si>
    <t>B.I.1.</t>
  </si>
  <si>
    <t>Raw material (112, 119, 11X) - /191,19X/</t>
  </si>
  <si>
    <t>032</t>
  </si>
  <si>
    <t>Work in progress and semi-finished goods (121, 122, 12X) -
/192, 193, 19X/</t>
  </si>
  <si>
    <t>033</t>
  </si>
  <si>
    <t>Finished goods (123) - 194</t>
  </si>
  <si>
    <t>034</t>
  </si>
  <si>
    <t>Livestock (124) - 195</t>
  </si>
  <si>
    <t>035</t>
  </si>
  <si>
    <t>Merchandise (132,13,13X,139) -/196,19X/
- /196, 19X/</t>
  </si>
  <si>
    <t>036</t>
  </si>
  <si>
    <t>Advance payments for inventories (314A) - 391A</t>
  </si>
  <si>
    <t>037</t>
  </si>
  <si>
    <t>B.II.</t>
  </si>
  <si>
    <t>Long-term receivables total (l. 039 to 045)</t>
  </si>
  <si>
    <t>038</t>
  </si>
  <si>
    <t>B.II.1.</t>
  </si>
  <si>
    <t>Trade receivables (311A, 312A, 313A, 314A, 315A, 31XA)
- 391A</t>
  </si>
  <si>
    <t>039</t>
  </si>
  <si>
    <t>Net value of construction contracts (316A)</t>
  </si>
  <si>
    <t>040</t>
  </si>
  <si>
    <t>Receivables from subsidiary and controlling entity (351A) - 391A</t>
  </si>
  <si>
    <t>041</t>
  </si>
  <si>
    <t>Other receivables within consolidated group (351A) - 391A</t>
  </si>
  <si>
    <t>042</t>
  </si>
  <si>
    <t>Receivables from partners and consortium members (354A, 355A, 358A,
35XA) - 391A</t>
  </si>
  <si>
    <t>043</t>
  </si>
  <si>
    <t>Other receivables (335A, 33XA, 371A,373A, 374A, 375A,376A, 378A) - 391A</t>
  </si>
  <si>
    <t>044</t>
  </si>
  <si>
    <t>Deferred tax asset (481A)</t>
  </si>
  <si>
    <t>045</t>
  </si>
  <si>
    <t>B.III.</t>
  </si>
  <si>
    <t>Short-term receivables  total (l. 047 to 054)</t>
  </si>
  <si>
    <t>046</t>
  </si>
  <si>
    <t>B.III.1.</t>
  </si>
  <si>
    <t>Trade receivables (311A, 312A, 313A, 314A, 315A, 31XA) - 391A</t>
  </si>
  <si>
    <t>047</t>
  </si>
  <si>
    <t>048</t>
  </si>
  <si>
    <t>Receivables from subsidiary and controlling enterprise (351A) - 391A</t>
  </si>
  <si>
    <t>049</t>
  </si>
  <si>
    <t>050</t>
  </si>
  <si>
    <t>Receivables from partners and consortium members (354A, 355A, 358A,35XA, 398A) - 391A</t>
  </si>
  <si>
    <t>051</t>
  </si>
  <si>
    <t>Social security receivables (336) - 391A</t>
  </si>
  <si>
    <t>052</t>
  </si>
  <si>
    <t>Tax receivables (341, 342, 343, 345, 346, 347) - 391A</t>
  </si>
  <si>
    <t>053</t>
  </si>
  <si>
    <t>Other receivables (335A, 33XA, 371A, 373A, 374A, 375A, 376A, 378A) - 391A</t>
  </si>
  <si>
    <t>054</t>
  </si>
  <si>
    <t>B.IV.</t>
  </si>
  <si>
    <t>Financial assets total (l. 056 to 060)</t>
  </si>
  <si>
    <t>055</t>
  </si>
  <si>
    <t>B.IV.1.</t>
  </si>
  <si>
    <t>Cash (211, 213, 21X)</t>
  </si>
  <si>
    <t>056</t>
  </si>
  <si>
    <t>Bank accounts (221A, 22X +/- 261)</t>
  </si>
  <si>
    <t>057</t>
  </si>
  <si>
    <t>Term deposits exceeding one year 22XA</t>
  </si>
  <si>
    <t>058</t>
  </si>
  <si>
    <t>Short-term financial assets (251, 253, 256, 257, 25X) - /291, 29X/</t>
  </si>
  <si>
    <t>059</t>
  </si>
  <si>
    <t>Short-term financial assets under construction (259, 314A) - 291</t>
  </si>
  <si>
    <t>060</t>
  </si>
  <si>
    <t>C.</t>
  </si>
  <si>
    <t>Accruals and prepayments  total l. 062 and 065</t>
  </si>
  <si>
    <t>061</t>
  </si>
  <si>
    <t>C.1.</t>
  </si>
  <si>
    <t xml:space="preserve">Prepaid expenses long-term (381A, 382A) </t>
  </si>
  <si>
    <t>062</t>
  </si>
  <si>
    <t>Prepaid expenses short-term (381A, 382A)</t>
  </si>
  <si>
    <t>063</t>
  </si>
  <si>
    <t>Accrued revenues  long-term (385A)</t>
  </si>
  <si>
    <t>064</t>
  </si>
  <si>
    <t>Accrued revenues short-term (385A)</t>
  </si>
  <si>
    <t>065</t>
  </si>
  <si>
    <t>Control number  (lines 001-064)</t>
  </si>
  <si>
    <t>LIABILITIES</t>
  </si>
  <si>
    <t>Current accountig</t>
  </si>
  <si>
    <t>Previous accouting</t>
  </si>
  <si>
    <t>period</t>
  </si>
  <si>
    <t>SHAREHOLDERS' EQUITY AND LIABILITIES TOTAL l. 067 + 088 + 121</t>
  </si>
  <si>
    <t>066</t>
  </si>
  <si>
    <t>Shareholders' equity l. 068+ 073+ 080 + 084+ 087</t>
  </si>
  <si>
    <t>067</t>
  </si>
  <si>
    <t>Registered capital total (l. 069 to 072)</t>
  </si>
  <si>
    <t>068</t>
  </si>
  <si>
    <t>Share capital (411 alebo +/- 491)</t>
  </si>
  <si>
    <t>069</t>
  </si>
  <si>
    <t>Own shares and interests (/-/252)</t>
  </si>
  <si>
    <t>070</t>
  </si>
  <si>
    <t>Change in share capital +/- 419</t>
  </si>
  <si>
    <t>071</t>
  </si>
  <si>
    <t>Receivables for subscribed share capital (/-/353)</t>
  </si>
  <si>
    <t>072</t>
  </si>
  <si>
    <t>Capital funds total (l. 074 to 079)</t>
  </si>
  <si>
    <t>073</t>
  </si>
  <si>
    <t>Share premium (412)</t>
  </si>
  <si>
    <t>074</t>
  </si>
  <si>
    <t>Other capital funds (413)</t>
  </si>
  <si>
    <t>075</t>
  </si>
  <si>
    <t>Legal reserve fund (non-distributable fund) from capital contributions (417, 418)</t>
  </si>
  <si>
    <t>076</t>
  </si>
  <si>
    <t>Asset and liabilities revaluation reserve (+/- 414)</t>
  </si>
  <si>
    <t>077</t>
  </si>
  <si>
    <t>Investments revaluation reserve  (+/- 415)</t>
  </si>
  <si>
    <t>078</t>
  </si>
  <si>
    <t>Revaluation reserve for mergers and demergers (+/-416)</t>
  </si>
  <si>
    <t>079</t>
  </si>
  <si>
    <t>Funds created from profit total (l. 081 to 083)</t>
  </si>
  <si>
    <t>080</t>
  </si>
  <si>
    <t>Legal reserve fund (421)</t>
  </si>
  <si>
    <t>081</t>
  </si>
  <si>
    <t>Non-distributable fund  (422)</t>
  </si>
  <si>
    <t>082</t>
  </si>
  <si>
    <t>Statutory and other funds (423, 427, 42X)</t>
  </si>
  <si>
    <t>083</t>
  </si>
  <si>
    <t>A.IV.</t>
  </si>
  <si>
    <t>Retained earnings l. 085 + 086</t>
  </si>
  <si>
    <t>084</t>
  </si>
  <si>
    <t>A.IV.1.</t>
  </si>
  <si>
    <t>Retained profits from previous years (428)</t>
  </si>
  <si>
    <t>085</t>
  </si>
  <si>
    <t>Accumulated loss carried forward (/-/429)</t>
  </si>
  <si>
    <t>086</t>
  </si>
  <si>
    <t>A.V.</t>
  </si>
  <si>
    <t>Profit or loss from current period /+-/ l. 001 - (068 + 073 + 080 + 084 + 088 + 121)</t>
  </si>
  <si>
    <t>087</t>
  </si>
  <si>
    <t>Liabilities l. 89 + 94 + 106 + 117+ 118</t>
  </si>
  <si>
    <t>088</t>
  </si>
  <si>
    <t>Provisions total (l. 090 to 093)</t>
  </si>
  <si>
    <t>089</t>
  </si>
  <si>
    <t>Legal provisions long term (451A)</t>
  </si>
  <si>
    <t>090</t>
  </si>
  <si>
    <t>Legal provisions short term (323A, 451A)</t>
  </si>
  <si>
    <t>091</t>
  </si>
  <si>
    <t>Other long-term provisions (459A, 45XA)</t>
  </si>
  <si>
    <t>092</t>
  </si>
  <si>
    <t>Other short term provisions (323, 32X, 451A, 459A, 45XA)</t>
  </si>
  <si>
    <t>093</t>
  </si>
  <si>
    <t>Non-current liabilities total (l. 095 to 105)</t>
  </si>
  <si>
    <t>094</t>
  </si>
  <si>
    <t>Long-term trade payables (479A)</t>
  </si>
  <si>
    <t>095</t>
  </si>
  <si>
    <t>096</t>
  </si>
  <si>
    <t>Long-term uninvoiced supplies (476A)</t>
  </si>
  <si>
    <t>097</t>
  </si>
  <si>
    <t>Long-term payables to subsidiary and controling enterprise (471A)</t>
  </si>
  <si>
    <t>098</t>
  </si>
  <si>
    <t>Other long-term liabilities within consolidated group (471A)</t>
  </si>
  <si>
    <t>099</t>
  </si>
  <si>
    <t>Long-term advance payaments received (475A)</t>
  </si>
  <si>
    <t>100</t>
  </si>
  <si>
    <t>Long-term bills of exchange payable (478A)</t>
  </si>
  <si>
    <t>101</t>
  </si>
  <si>
    <t>Bonds and debentures issued (473A/-/255A)</t>
  </si>
  <si>
    <t>102</t>
  </si>
  <si>
    <t>Social fund payable (472)</t>
  </si>
  <si>
    <t>103</t>
  </si>
  <si>
    <t>10.</t>
  </si>
  <si>
    <t>Other non-current liabilities (474A, 479A, 47XA, 372A, 373A, 377A)</t>
  </si>
  <si>
    <t>104</t>
  </si>
  <si>
    <t>11.</t>
  </si>
  <si>
    <t>Deferred tax liability (481A)</t>
  </si>
  <si>
    <t>105</t>
  </si>
  <si>
    <t>Current liabilities  total (l. 107 to 116)</t>
  </si>
  <si>
    <t>106</t>
  </si>
  <si>
    <t>Trade payables (321, 322, 324, 325, 32X, 475A, 478A, 479A, 47XA)</t>
  </si>
  <si>
    <t>107</t>
  </si>
  <si>
    <t>108</t>
  </si>
  <si>
    <t>Uninvoiced supplies (326, 476A)</t>
  </si>
  <si>
    <t>109</t>
  </si>
  <si>
    <t>Payables to subsidiary and controlling enterprise (361A, 471A)</t>
  </si>
  <si>
    <t>110</t>
  </si>
  <si>
    <t>Other liabilities within consolidated group (361A, 36XA, 471A, 47XA)</t>
  </si>
  <si>
    <t>111</t>
  </si>
  <si>
    <t>Payables to partners and consortium members (364, 365, 366, 367, 368, 398A, 478A, 479A)</t>
  </si>
  <si>
    <t>112</t>
  </si>
  <si>
    <t>Payables to employees (331, 333, 33X, 479A)</t>
  </si>
  <si>
    <t>113</t>
  </si>
  <si>
    <t>Social security payables (336, 479A)</t>
  </si>
  <si>
    <t>114</t>
  </si>
  <si>
    <t>Tax liabilities and subsidies (341, 342, 343, 345, 346, 347, 34X)</t>
  </si>
  <si>
    <t>115</t>
  </si>
  <si>
    <t>Other short-term liabilities (372A, 373A, 377A, 379A, 474A, 479A, 47X)</t>
  </si>
  <si>
    <t>116</t>
  </si>
  <si>
    <t>Short term financial borrowings (241, 249, 24x, 473A, /-/255A)</t>
  </si>
  <si>
    <t>117</t>
  </si>
  <si>
    <t>B.V.</t>
  </si>
  <si>
    <t>Bank loans (l. 119 to 120)</t>
  </si>
  <si>
    <t>118</t>
  </si>
  <si>
    <t>B.V.1.</t>
  </si>
  <si>
    <t>Long-term bank loans (461A, 46XA)</t>
  </si>
  <si>
    <t>119</t>
  </si>
  <si>
    <t>Current bank loans (221A, 231, 232, 23X, 461A, 46XA)</t>
  </si>
  <si>
    <t>120</t>
  </si>
  <si>
    <t>Accruals and deferred income - total (l. 122 to 125)</t>
  </si>
  <si>
    <t>121</t>
  </si>
  <si>
    <t>Accruals long term (383A)</t>
  </si>
  <si>
    <t>122</t>
  </si>
  <si>
    <t>Accruals short term (383A)</t>
  </si>
  <si>
    <t>123</t>
  </si>
  <si>
    <t>Deferred income long term (384A)</t>
  </si>
  <si>
    <t>124</t>
  </si>
  <si>
    <t>Deferred income short term (384A)</t>
  </si>
  <si>
    <t>125</t>
  </si>
  <si>
    <t>Control number  (lines 061-110)</t>
  </si>
  <si>
    <t>888</t>
  </si>
  <si>
    <t>Profit and loss statement</t>
  </si>
  <si>
    <t xml:space="preserve"> in EUR </t>
  </si>
  <si>
    <t>TEXT</t>
  </si>
  <si>
    <t>Accountig period</t>
  </si>
  <si>
    <t>Current</t>
  </si>
  <si>
    <t>Previous</t>
  </si>
  <si>
    <t xml:space="preserve">     I.</t>
  </si>
  <si>
    <t>01</t>
  </si>
  <si>
    <t>A .</t>
  </si>
  <si>
    <t>Costs of merchandise sold (504, 505A,507)</t>
  </si>
  <si>
    <t>02</t>
  </si>
  <si>
    <t>+</t>
  </si>
  <si>
    <t>Gross margin l. 01 - r. 02</t>
  </si>
  <si>
    <t>03</t>
  </si>
  <si>
    <t xml:space="preserve">     II.</t>
  </si>
  <si>
    <t>Production l. 05 + r. 06 + r. 07</t>
  </si>
  <si>
    <t>04</t>
  </si>
  <si>
    <t>II.1.</t>
  </si>
  <si>
    <t>Revenues from own products and services (601, 602,606)</t>
  </si>
  <si>
    <t>05</t>
  </si>
  <si>
    <t>Change in stock of finished goods and work in progress  (+/- acc. group 61)</t>
  </si>
  <si>
    <t>06</t>
  </si>
  <si>
    <t xml:space="preserve">Own work capitalised (acc. group 62)     </t>
  </si>
  <si>
    <t>07</t>
  </si>
  <si>
    <t>Production costs l. 09 + r. 10</t>
  </si>
  <si>
    <t>08</t>
  </si>
  <si>
    <t>B.1.</t>
  </si>
  <si>
    <t>Material and energy consumption and other unstorable supplies (501, 502, 503, 505A)</t>
  </si>
  <si>
    <t>09</t>
  </si>
  <si>
    <t xml:space="preserve">   2.</t>
  </si>
  <si>
    <t>Services (acc. group 51)</t>
  </si>
  <si>
    <t>10</t>
  </si>
  <si>
    <t>Added value l. 03 + r. 04 - r. 08</t>
  </si>
  <si>
    <t>11</t>
  </si>
  <si>
    <t>Personnel expenses  total (l. 13 až 16)</t>
  </si>
  <si>
    <t>12</t>
  </si>
  <si>
    <t>Wages and salaries (521, 522)</t>
  </si>
  <si>
    <t>13</t>
  </si>
  <si>
    <t>Remuneration of members of the board of companies and co-operatives (523)</t>
  </si>
  <si>
    <t>14</t>
  </si>
  <si>
    <t xml:space="preserve">   3.</t>
  </si>
  <si>
    <t>Social insurance costs (524, 525, 526)</t>
  </si>
  <si>
    <t>15</t>
  </si>
  <si>
    <t xml:space="preserve">   4.</t>
  </si>
  <si>
    <t>Social security costs (527, 528)</t>
  </si>
  <si>
    <t>16</t>
  </si>
  <si>
    <t>D.</t>
  </si>
  <si>
    <t>Indirect taxes and charges (acc. group 53)</t>
  </si>
  <si>
    <t>17</t>
  </si>
  <si>
    <t>E.</t>
  </si>
  <si>
    <t>Depreciation of and provisions to non-current tangible and intangible assets (551, 553)</t>
  </si>
  <si>
    <t>18</t>
  </si>
  <si>
    <t xml:space="preserve">    III.</t>
  </si>
  <si>
    <t>Revenue from sale of non-current assets and material (641, 642)</t>
  </si>
  <si>
    <t>19</t>
  </si>
  <si>
    <t>F.</t>
  </si>
  <si>
    <t>Net book value of non-current assets and material sold (541, 542)</t>
  </si>
  <si>
    <t>20</t>
  </si>
  <si>
    <t>G.</t>
  </si>
  <si>
    <t>Creation and release of provisions to receivables (+/-547)</t>
  </si>
  <si>
    <t>21</t>
  </si>
  <si>
    <t xml:space="preserve">   IV.</t>
  </si>
  <si>
    <t>Other operating revenues (644, 645, 646, 648, 655, 657)</t>
  </si>
  <si>
    <t>22</t>
  </si>
  <si>
    <t>H.</t>
  </si>
  <si>
    <t>Other operating expenses (543, 544, 545, 546, 548, 549, 555, 557)</t>
  </si>
  <si>
    <t>23</t>
  </si>
  <si>
    <t xml:space="preserve">    V.</t>
  </si>
  <si>
    <t>Reclassification of operating revenues (-)(697)</t>
  </si>
  <si>
    <t>24</t>
  </si>
  <si>
    <t>I.</t>
  </si>
  <si>
    <t>Reclassification of operating expenses (-)(597)</t>
  </si>
  <si>
    <t>25</t>
  </si>
  <si>
    <t>*</t>
  </si>
  <si>
    <t>Profit or loss from operating activities
l.11 - 12 - 17- 18 + 19- 20 - 21 + 22 -23
+ (-24) - (-25)</t>
  </si>
  <si>
    <t>26</t>
  </si>
  <si>
    <t xml:space="preserve">    VI.</t>
  </si>
  <si>
    <t>Revenues from sale of securities and ownership interests (661)</t>
  </si>
  <si>
    <t>27</t>
  </si>
  <si>
    <t>J.</t>
  </si>
  <si>
    <t>Book value of securities and ownership interest sold (561)</t>
  </si>
  <si>
    <t>28</t>
  </si>
  <si>
    <t xml:space="preserve"> VII.</t>
  </si>
  <si>
    <t>Income from long-term financial assets l.30 + 31 + 32</t>
  </si>
  <si>
    <t>29</t>
  </si>
  <si>
    <t xml:space="preserve"> VII.1.</t>
  </si>
  <si>
    <t>Income from investments in subsidiaries and associates (665A)</t>
  </si>
  <si>
    <t>30</t>
  </si>
  <si>
    <t xml:space="preserve">      2.</t>
  </si>
  <si>
    <t>Income from other long-term securities and ownership interest (665A)</t>
  </si>
  <si>
    <t>31</t>
  </si>
  <si>
    <t xml:space="preserve">      3.</t>
  </si>
  <si>
    <t>Income from other long-term financial assets (665A)</t>
  </si>
  <si>
    <t>32</t>
  </si>
  <si>
    <t xml:space="preserve"> VIII.</t>
  </si>
  <si>
    <t>Income from short-term financial assets (666)</t>
  </si>
  <si>
    <t>33</t>
  </si>
  <si>
    <t>K.</t>
  </si>
  <si>
    <t>Costs of short-term financial assets (566)</t>
  </si>
  <si>
    <t>34</t>
  </si>
  <si>
    <t xml:space="preserve">  IX .</t>
  </si>
  <si>
    <t>Income from revaluation of securities and income from transactions with derivatives  (664, 667)</t>
  </si>
  <si>
    <t>35</t>
  </si>
  <si>
    <t>L.</t>
  </si>
  <si>
    <t>Expenses for revaluation of securities and expenses for transactions with derivatives  (564, 567)</t>
  </si>
  <si>
    <t>36</t>
  </si>
  <si>
    <t>M.</t>
  </si>
  <si>
    <t>Creation and release of provisions to financial assets              +/- 565</t>
  </si>
  <si>
    <t>37</t>
  </si>
  <si>
    <t xml:space="preserve">   X.</t>
  </si>
  <si>
    <t>Interest income (662)</t>
  </si>
  <si>
    <t>38</t>
  </si>
  <si>
    <t>N.</t>
  </si>
  <si>
    <t>Interest expense (562)</t>
  </si>
  <si>
    <t>39</t>
  </si>
  <si>
    <t xml:space="preserve">   XI.</t>
  </si>
  <si>
    <t>Foreign exchange gains (663)</t>
  </si>
  <si>
    <t>40</t>
  </si>
  <si>
    <t>O.</t>
  </si>
  <si>
    <t>Foreign exchange losses (563)</t>
  </si>
  <si>
    <t>41</t>
  </si>
  <si>
    <t xml:space="preserve">  XII.</t>
  </si>
  <si>
    <t>Other financial revenue (668)</t>
  </si>
  <si>
    <t>42</t>
  </si>
  <si>
    <t>P.</t>
  </si>
  <si>
    <t>Other financial expenses (568, 569)</t>
  </si>
  <si>
    <t>43</t>
  </si>
  <si>
    <t xml:space="preserve"> XIII.</t>
  </si>
  <si>
    <t>Reclassification of financial revenues (-) (698)</t>
  </si>
  <si>
    <t>44</t>
  </si>
  <si>
    <t>R.</t>
  </si>
  <si>
    <t>Reclassification of financial expenses (-) (598)</t>
  </si>
  <si>
    <t>45</t>
  </si>
  <si>
    <t>Profit/(loss) from financial activities l. 27 - 28 + 29 + 33 - 34 + 35 - 36 - 37 + 38 - 39
+ 40 - 41 + 42 -43 + (-44) - (-45)</t>
  </si>
  <si>
    <t>46</t>
  </si>
  <si>
    <t>**</t>
  </si>
  <si>
    <t>Net profit from ordinary activities before tax l.26+l.46</t>
  </si>
  <si>
    <t>47</t>
  </si>
  <si>
    <t>S.</t>
  </si>
  <si>
    <t>Tax on income from ordinary activities l. 49 + l. 50</t>
  </si>
  <si>
    <t>48</t>
  </si>
  <si>
    <t>S.1.</t>
  </si>
  <si>
    <t>- due  (591, 595)</t>
  </si>
  <si>
    <t>49</t>
  </si>
  <si>
    <t>- deferred  (592)</t>
  </si>
  <si>
    <t>50</t>
  </si>
  <si>
    <t>Net profit/(loss) from ordinary activities after tax l. 47 - l. 48</t>
  </si>
  <si>
    <t>51</t>
  </si>
  <si>
    <t xml:space="preserve"> XIV.</t>
  </si>
  <si>
    <t>Extraordinary revenues (acc. group 68)</t>
  </si>
  <si>
    <t>52</t>
  </si>
  <si>
    <t>T.</t>
  </si>
  <si>
    <t>Extraordinary expenses (acc. group 58)</t>
  </si>
  <si>
    <t>53</t>
  </si>
  <si>
    <t>Extraordinary profit/(loss) before tax  l.52 - I.53</t>
  </si>
  <si>
    <t>54</t>
  </si>
  <si>
    <t>U.</t>
  </si>
  <si>
    <t>Tax on income from extraordinary activities l. 56 + l. 57</t>
  </si>
  <si>
    <t>55</t>
  </si>
  <si>
    <t>U.1.</t>
  </si>
  <si>
    <t>- due  (593)</t>
  </si>
  <si>
    <t>56</t>
  </si>
  <si>
    <t>- deferred  (594)</t>
  </si>
  <si>
    <t>57</t>
  </si>
  <si>
    <t>Extraordinary profit/(loss) after tax  l.54-l.55</t>
  </si>
  <si>
    <t>58</t>
  </si>
  <si>
    <t>***</t>
  </si>
  <si>
    <t xml:space="preserve">Net profit/(loss) for the period before tax  (+/-) 1.47+l.54         </t>
  </si>
  <si>
    <t>59</t>
  </si>
  <si>
    <t>V.</t>
  </si>
  <si>
    <t>Profit/(loss) share transferred to owners' account (+/-596)</t>
  </si>
  <si>
    <t>60</t>
  </si>
  <si>
    <t xml:space="preserve">'Net profit/(loss) for the period after tax  (+/-) l.51+l.58-l.60           </t>
  </si>
  <si>
    <t>61</t>
  </si>
  <si>
    <t>Prehľad o peňažných tokoch</t>
  </si>
  <si>
    <t>(v EUR)</t>
  </si>
  <si>
    <t>predchádzajúce</t>
  </si>
  <si>
    <t>Z/S</t>
  </si>
  <si>
    <t>A.1.</t>
  </si>
  <si>
    <t>A.1.1.</t>
  </si>
  <si>
    <t>A.1.2.</t>
  </si>
  <si>
    <t>A.1.3.</t>
  </si>
  <si>
    <t>A.1.4.</t>
  </si>
  <si>
    <t>A.1.5.</t>
  </si>
  <si>
    <t>A.1.6.</t>
  </si>
  <si>
    <t>A.1.7.</t>
  </si>
  <si>
    <t>A.1.8.</t>
  </si>
  <si>
    <t>A.1.9.</t>
  </si>
  <si>
    <t>A.1.10.</t>
  </si>
  <si>
    <t>A.1.11.</t>
  </si>
  <si>
    <t>A.1.12.</t>
  </si>
  <si>
    <t>A.1.13.</t>
  </si>
  <si>
    <t>A.2.</t>
  </si>
  <si>
    <t>A.2.1.</t>
  </si>
  <si>
    <t>A.2.2.</t>
  </si>
  <si>
    <t>A.2.3.</t>
  </si>
  <si>
    <t>A.2.4.</t>
  </si>
  <si>
    <t>A.3.</t>
  </si>
  <si>
    <t>A.4.</t>
  </si>
  <si>
    <t>A.5.</t>
  </si>
  <si>
    <t>A.6.</t>
  </si>
  <si>
    <t>A.7.</t>
  </si>
  <si>
    <t>A.8.</t>
  </si>
  <si>
    <t>A.9.</t>
  </si>
  <si>
    <t>B.2.</t>
  </si>
  <si>
    <t>B.3.</t>
  </si>
  <si>
    <t>B.4.</t>
  </si>
  <si>
    <t>B.5.</t>
  </si>
  <si>
    <t>B.6.</t>
  </si>
  <si>
    <t>B.7.</t>
  </si>
  <si>
    <t xml:space="preserve">B.8. </t>
  </si>
  <si>
    <t>B.9.</t>
  </si>
  <si>
    <t>B.10.</t>
  </si>
  <si>
    <t>B.11</t>
  </si>
  <si>
    <t>B.12.</t>
  </si>
  <si>
    <t>B.13.</t>
  </si>
  <si>
    <t>B.14.</t>
  </si>
  <si>
    <t>B.15.</t>
  </si>
  <si>
    <t>B.16.</t>
  </si>
  <si>
    <t>B.17.</t>
  </si>
  <si>
    <t>B.18.</t>
  </si>
  <si>
    <t>B.19.</t>
  </si>
  <si>
    <t>C.1.1.</t>
  </si>
  <si>
    <t>C.1.2.</t>
  </si>
  <si>
    <t>C.1.3.</t>
  </si>
  <si>
    <t>C.1.4.</t>
  </si>
  <si>
    <t>C.1.5</t>
  </si>
  <si>
    <t>C.1.6.</t>
  </si>
  <si>
    <t>C.1.7.</t>
  </si>
  <si>
    <t>C.1.8.</t>
  </si>
  <si>
    <t>C.2.</t>
  </si>
  <si>
    <t>C.2.1.</t>
  </si>
  <si>
    <t>C.2.2.</t>
  </si>
  <si>
    <t>C.2.3.</t>
  </si>
  <si>
    <t>C.2.4.</t>
  </si>
  <si>
    <t>C.2.5.</t>
  </si>
  <si>
    <t>C.2.6.</t>
  </si>
  <si>
    <t>C.2.7.</t>
  </si>
  <si>
    <t>C.2.8.</t>
  </si>
  <si>
    <t>C.2.9.</t>
  </si>
  <si>
    <t>C.3.</t>
  </si>
  <si>
    <t>C.4.</t>
  </si>
  <si>
    <t>C.5.</t>
  </si>
  <si>
    <t>C.6.</t>
  </si>
  <si>
    <t>C.7.</t>
  </si>
  <si>
    <t>C.8.</t>
  </si>
  <si>
    <t>C.9.</t>
  </si>
  <si>
    <t>Čisté peňažné toky z finančnej činnosti</t>
  </si>
  <si>
    <t>Musi byt NULA</t>
  </si>
  <si>
    <t>KONTROLA SUCTOV</t>
  </si>
  <si>
    <t>KONTROLA Opening balances</t>
  </si>
  <si>
    <t>KONTROLA na vykazy</t>
  </si>
  <si>
    <t>OPRAVKY + OPRAVNE POLOZKY - KOREKCIA Z BS</t>
  </si>
  <si>
    <t>KONTROLA opening balances</t>
  </si>
  <si>
    <t>UVPOD1v11_1</t>
  </si>
  <si>
    <t>k</t>
  </si>
  <si>
    <t>.</t>
  </si>
  <si>
    <t>(v celých eurách)</t>
  </si>
  <si>
    <t>Číselné údaje sa zarovnávajú vpravo, ostatné údaje sa píšu zľava. Nevyplnené riadky sa ponechávajú prázdne.</t>
  </si>
  <si>
    <t>Údaje sa vypĺňajú paličkovým písmom (podľa tohto vzoru), písacím strojom alebo tlačiarňou, a to čiernou alebo tmavomodrou farbou.</t>
  </si>
  <si>
    <t>Á  Ä  B  Č  D  É  F  G  H  Í  J  K  L  M  N  O  P  Q  R  Š  T  Ú  V  X  Ý  Ž      0  1  2  3  4  5  6  7  8  9</t>
  </si>
  <si>
    <t>Daňové identifikačné číslo</t>
  </si>
  <si>
    <t>Účtovná závierka</t>
  </si>
  <si>
    <t>Mesiac</t>
  </si>
  <si>
    <t>Rok</t>
  </si>
  <si>
    <t>Za obdobie</t>
  </si>
  <si>
    <t>od</t>
  </si>
  <si>
    <t>IČO</t>
  </si>
  <si>
    <t>riadna</t>
  </si>
  <si>
    <t>zostavená</t>
  </si>
  <si>
    <t>do</t>
  </si>
  <si>
    <t>mimoriadna</t>
  </si>
  <si>
    <t>schválená</t>
  </si>
  <si>
    <t>Bezprostredne</t>
  </si>
  <si>
    <t>SK NACE</t>
  </si>
  <si>
    <t>(vyznačí sa x)</t>
  </si>
  <si>
    <t>obdobie</t>
  </si>
  <si>
    <t>Obchodné meno (názov) účtovnej jednotky</t>
  </si>
  <si>
    <t>Sídlo účtovnej jednotky</t>
  </si>
  <si>
    <t>Ulica</t>
  </si>
  <si>
    <t>Číslo</t>
  </si>
  <si>
    <t>PSČ</t>
  </si>
  <si>
    <t>Obec</t>
  </si>
  <si>
    <t>Číslo telefónu</t>
  </si>
  <si>
    <t>Číslo Faxu</t>
  </si>
  <si>
    <t>/</t>
  </si>
  <si>
    <t xml:space="preserve"> </t>
  </si>
  <si>
    <t>E-mailová adresa</t>
  </si>
  <si>
    <t>Zostavená dňa:</t>
  </si>
  <si>
    <t>Podpisový záznam člena štatutárneho orgánu účtovnej jednotky alebo fyzickej osoby, ktorá je účtovnou jednotkou:</t>
  </si>
  <si>
    <t>Podpisový záznam osoby zodpovednej za zostavenie účtovnej závierky:</t>
  </si>
  <si>
    <t>Podpisový záznam osoby zodpovednej za vedenie účtovníctva:</t>
  </si>
  <si>
    <t>Schválená dňa:</t>
  </si>
  <si>
    <t>Záznamy daňového úradu</t>
  </si>
  <si>
    <t>Miesto pre evidenčné číslo</t>
  </si>
  <si>
    <t>Odtlačok prezentačnej pečiatky daňového úradu</t>
  </si>
  <si>
    <t>Výnosy budúcich období krátkodobé (384A)</t>
  </si>
  <si>
    <t>Výnosy budúcich období dlhodobé (384A)</t>
  </si>
  <si>
    <t>Výdavky budúcich období krátkodobé (383A)</t>
  </si>
  <si>
    <t>Výdavky budúcich období dlhodobé (383A)</t>
  </si>
  <si>
    <t>Časové rozlíšenie súčet (r. 122 až r. 125)</t>
  </si>
  <si>
    <t>Bežné bankové úvery
(221A, 231, 232, 23X, 461A, 46XA)</t>
  </si>
  <si>
    <t>Bankové úvery dlhodobé (461A, 46XA)</t>
  </si>
  <si>
    <t>Bankové úvery   r. 119 + r. 120</t>
  </si>
  <si>
    <t>Krátkodobé finančné výpomoci (241, 249, 24X, 473A, /-/255A)</t>
  </si>
  <si>
    <t>Ostatné záväzky
(372A, 373A, 377A, 379A, 474A, 479A, 47X)</t>
  </si>
  <si>
    <t>Daňové záväzky a dotácie
(341, 342, 343, 345, 346, 347, 34X)</t>
  </si>
  <si>
    <t>Záväzky zo sociálneho poistenia (336, 479A)</t>
  </si>
  <si>
    <t>Záväzky voči zamestnancom (331, 333, 33X, 479A)</t>
  </si>
  <si>
    <t>Záväzky voči spoločníkom a združeniu
(364, 365, 366, 367, 368, 398A, 478A, 479A)</t>
  </si>
  <si>
    <t>Ostatné záväzky v rámci konsolidovaného celku
(361A, 36XA, 471A, 47XA)</t>
  </si>
  <si>
    <t>Záväzky voči dcérskej účtovnej jednotke a materskej účtovnej jednotke (361A, 471A)</t>
  </si>
  <si>
    <t>Nevyfakturované dodávky (326, 476A)</t>
  </si>
  <si>
    <t>Čistá hodnota zákazky (316A)</t>
  </si>
  <si>
    <t>Záväzky z obchodného styku
(321, 322, 324, 325, 32X, 475A, 478A, 479A, 47XA)</t>
  </si>
  <si>
    <t>Krátkodobé záväzky súčet (r. 107 až r. 116)</t>
  </si>
  <si>
    <t>Odložený daňový záväzok (481A)</t>
  </si>
  <si>
    <t>Ostatné dlhodobé záväzky
(474A, 479A, 47XA, 372A, 373A, 377A)</t>
  </si>
  <si>
    <t>Záväzky zo sociálneho fondu (472)</t>
  </si>
  <si>
    <t>Vydané dlhopisy(473A/-/255A)</t>
  </si>
  <si>
    <t>Dlhodobé zmenky na úhradu (478A)</t>
  </si>
  <si>
    <t>Dlhodobé prijaté preddavky (475A)</t>
  </si>
  <si>
    <t>Ostatné dlhodobé záväzky v rámci konsolidovaného celku (471A)</t>
  </si>
  <si>
    <t>Dlhodobé záväzky voči dcérskej účtovnej jednotke a materskej účtovnej jednotke (471A)</t>
  </si>
  <si>
    <t>Dlhodobé nevyfakturované dodávky (476A)</t>
  </si>
  <si>
    <t>Dlhodobé záväzky z obchodného styku (479A)</t>
  </si>
  <si>
    <t>Bezprostredne predchádzajúce
účtovné obdobie
5</t>
  </si>
  <si>
    <t>Bežné účtovné obdobie
4</t>
  </si>
  <si>
    <t>Číslo
riadku
c</t>
  </si>
  <si>
    <t>STRANA PASÍV
b</t>
  </si>
  <si>
    <t>Ozna-
čenie
a</t>
  </si>
  <si>
    <t>Dlhodobé záväzky súčet (r. 095 až r.105)</t>
  </si>
  <si>
    <t>Ostatne krátkodobé rezervy (323A, 32X,)</t>
  </si>
  <si>
    <t>Ostatne dlhodobé rezervy (459A, 45XA)</t>
  </si>
  <si>
    <t>Rezervy zákonné krátkodobé (323A)</t>
  </si>
  <si>
    <t>Rezervy zákonné dlhodobé (451A)</t>
  </si>
  <si>
    <t>Rezervy súčet (r. 090 až r. 093)</t>
  </si>
  <si>
    <t>Záväzky
r. 89 + r. 94 + r. 106 + r. 117 + r. 118</t>
  </si>
  <si>
    <t>Výsledok hospodárenia za účtovné obdobie po zdanení /+-/ r. 001 - (r. 068 + r. 073 + r. 080 + r. 084 + r. 088 + r. 121)</t>
  </si>
  <si>
    <t>Neuhradená strata minulých rokov (/-/429)</t>
  </si>
  <si>
    <t>Nerozdelený zisk minulých rokov (428)</t>
  </si>
  <si>
    <t>Výsledok hospodárenia minulých rokov r. 085 + r. 086</t>
  </si>
  <si>
    <t>Štatutárne fondy a ostatné fondy (423, 427, 42X)</t>
  </si>
  <si>
    <t>Nedeliteľný fond (422)</t>
  </si>
  <si>
    <t>Zákonný rezervný fond (421)</t>
  </si>
  <si>
    <t>Fondy zo zisku súčet (r. 081 až r. 083)</t>
  </si>
  <si>
    <t>Oceňovacie rozdiely z precenenia pri zlúčení, splynutí a rozdelení (+/-416)</t>
  </si>
  <si>
    <t>Oceňovacie rozdiely z kapitálových účastín (+/- 415)</t>
  </si>
  <si>
    <t>Oceňovacie rozdiely z precenenia majetku a záväzkov
(+/- 414)</t>
  </si>
  <si>
    <t>Zákonný rezervný fond (Nedeliteľný fond) z kapitálových vkladov (417, 418)</t>
  </si>
  <si>
    <t>Ostatné kapitálové fondy (413)</t>
  </si>
  <si>
    <t>Emisné ážio (412)</t>
  </si>
  <si>
    <t>Kapitálové fondy súčet (r. 074 až 079)</t>
  </si>
  <si>
    <t>Pohľadávky za upísané vlastné imanie (/-/353)</t>
  </si>
  <si>
    <t>Zmena základného imania +/- 419</t>
  </si>
  <si>
    <t>Vlastné akcie a vlastné obchodné podiely (/-/252)</t>
  </si>
  <si>
    <t>Základné imanie (411 alebo +/- 491)</t>
  </si>
  <si>
    <t>Základné imanie súčet (r. 069 až 072)</t>
  </si>
  <si>
    <t>Vlastné imanie r. 068+r. 073+r. 080+r. 084+r. 087</t>
  </si>
  <si>
    <t>SPOLU VLASTNÉ IMANIE A ZÁVÄZKY
r. 067 + r. 088 + r. 121</t>
  </si>
  <si>
    <t>Príjmy budúcich
období krátkodobé
(385A)</t>
  </si>
  <si>
    <t>Príjmy budúcich
období dlhodobé
(385A)</t>
  </si>
  <si>
    <t>Náklady budúcich
období krátkodobé
(381A, 382A)</t>
  </si>
  <si>
    <t>Náklady budúcich
období dlhodobé
(381A, 382A)</t>
  </si>
  <si>
    <t>Časové rozlíšenie
(r. 062 až r. 065)</t>
  </si>
  <si>
    <t>Obstarávaný
krátkodobý finančný
majetok
(259, 314A) - 291</t>
  </si>
  <si>
    <t>Krátkodobý finančný
majetok
(251, 253, 256, 257,
25X) - /291, 29X/</t>
  </si>
  <si>
    <t>Účty v bankách
s dobou viazanosti
dlhšou ako jeden rok
22XA</t>
  </si>
  <si>
    <t>Účty v bankách
(221A, 22X +/- 261)</t>
  </si>
  <si>
    <t>Netto    3</t>
  </si>
  <si>
    <r>
      <t xml:space="preserve">Korekcia - </t>
    </r>
    <r>
      <rPr>
        <sz val="7.5"/>
        <rFont val="Arial"/>
        <family val="2"/>
        <charset val="238"/>
      </rPr>
      <t>časť 2</t>
    </r>
  </si>
  <si>
    <t>Netto    2</t>
  </si>
  <si>
    <r>
      <t xml:space="preserve">Brutto - </t>
    </r>
    <r>
      <rPr>
        <sz val="7.5"/>
        <rFont val="Arial"/>
        <family val="2"/>
        <charset val="238"/>
      </rPr>
      <t>časť 1</t>
    </r>
  </si>
  <si>
    <t>Bezprostredne predchádzajúce
účtovné obdobie</t>
  </si>
  <si>
    <t>STRANA AKTÍV
b</t>
  </si>
  <si>
    <t>Peniaze
(211, 213, 21X)</t>
  </si>
  <si>
    <t>Finančné účty
súčet (r. 056až
r. 060)</t>
  </si>
  <si>
    <t>Iné pohľadávky
(335A, 33XA, 371A,
373A, 374A, 375A,
376A, 378A) - 391A</t>
  </si>
  <si>
    <t>Daňové pohľadávky a dotácie
(341, 342, 343, 345,
346, 347) - 391A</t>
  </si>
  <si>
    <t>Sociálne poistenie
(336) - 391A</t>
  </si>
  <si>
    <t>Pohľadávky voči
spoločníkom,
členom a združeniu
(354A, 355A, 358A,
35XA, 398A) - 391A</t>
  </si>
  <si>
    <t>Ostatné pohľadávky
v rámci
konsolidovaného
celku
(351A) - 391A</t>
  </si>
  <si>
    <t>Pohľadávky voči
dcérskej účtovnej
jednotke a materskej
účtovnej jednotke
(351A) - 391A</t>
  </si>
  <si>
    <t>Čistá hodnota
zákazky
(316A)</t>
  </si>
  <si>
    <t>Pohľadávky
z obchodného styku
(311A, 312A, 313A,
314A, 315A, 31XA) -
391A</t>
  </si>
  <si>
    <t>Krátkodobé
pohľadávky
súčet (r. 047 až
054)</t>
  </si>
  <si>
    <t>Odložená daňová
pohľadávka
(481A)</t>
  </si>
  <si>
    <t>Pohľadávky voči
spoločníkom,
členom a združeniu
(354A, 355A, 358A,
35XA) - 391A</t>
  </si>
  <si>
    <t>Pohľadávky z
obchodného styku
(311A, 312A, 313A,
314A, 315A, 31XA)
- 391A</t>
  </si>
  <si>
    <t>Dlhodobé
pohľadávky
súčet (r. 039 až
045)</t>
  </si>
  <si>
    <t>Poskytnuté
preddavky
na zásoby
(314A) - 391A</t>
  </si>
  <si>
    <t>Tovar
(132, 13X, 139)
- /196, 19X/</t>
  </si>
  <si>
    <t>Zvieratá
(124) - 195</t>
  </si>
  <si>
    <t>Výrobky
(123) - 194</t>
  </si>
  <si>
    <t>Nedokončená
výroba a polotovary vlastnej výrovy
(121, 122, 12X) -
/192, 193, 19X/</t>
  </si>
  <si>
    <t>Materiál
(112, 119, 11X)
-/191,19X/</t>
  </si>
  <si>
    <t>Zásoby
súčet (r. 032 až
037)</t>
  </si>
  <si>
    <t>Obežný majetok
r. 031 + r. 038
+ r. 046 + r. 055</t>
  </si>
  <si>
    <t>Poskytnuté
preddavky
na dlhodobý
finančný majetok
(053) - 095A</t>
  </si>
  <si>
    <t>Obstarávaný
dlhodobý finančný
majetok
(043) - 096A</t>
  </si>
  <si>
    <t>Pôžičky s dobou
splatnosti najviac
jeden rok
(066A, 067A, 06XA)
- 096A</t>
  </si>
  <si>
    <t>Ostatný dlhodobý
finančný majetok
(067A, 069, 06XA)
- 096A</t>
  </si>
  <si>
    <t>Pôžičky účtovnej
jednotke
v konsolidovanom
celku
(066A) - 096A</t>
  </si>
  <si>
    <t>Ostatné dlhodobé
cenné papiere a
podiely
(063, 065) - 096A</t>
  </si>
  <si>
    <t>Podielové cenné
papiere a podiely
v spoločnosti s
podstatným vplyvom
(062) - 096A</t>
  </si>
  <si>
    <t>Podielové cenné
papiere a podiely v
dcérskej účtovnej
jednotke
(061) - 096A</t>
  </si>
  <si>
    <t>Dlhodobý finančný
majetok
súčet (r. 022 až
029)</t>
  </si>
  <si>
    <t>Opravná položka
k nadobudnutému
majetku
(+/- 097) +/- 098</t>
  </si>
  <si>
    <t>Poskytnuté
preddavky na
dlhodobý hmotný
majetok
(052) - 095A</t>
  </si>
  <si>
    <t>Obstarávaný
dlhodobý hmotný
majetok
(042) - 094</t>
  </si>
  <si>
    <t>Ostatný dlhodobý
hmotný majetok
(029, 02X, 032) -
/089, 08X, 092A/</t>
  </si>
  <si>
    <t>Základné stádo a
ťažné zvieratá
(026) - /086, 092A/</t>
  </si>
  <si>
    <t>Pestovateľské celky
trvalých porastov
(025) - /085, 092A/</t>
  </si>
  <si>
    <t>Samostatné
hnuteľné veci a
súbory hnuteľných
vecí
(022) - /082, 092A/</t>
  </si>
  <si>
    <t>Stavby
(021) - /081,092A/</t>
  </si>
  <si>
    <t>Pozemky
(031) - 092A</t>
  </si>
  <si>
    <t>Dlhodobý hmotný
majetok
súčet (r. 012 až 020)</t>
  </si>
  <si>
    <t>Poskytnuté
preddavky
na dlhodobý
nehmotný majetok
(051) - 095A</t>
  </si>
  <si>
    <t>Obstarávaný
dlhodobý nehmotný
majetok
(041) - 093</t>
  </si>
  <si>
    <t>Ostatný dlhodobý
nehmotný majetok
(019, 01X) - /079,
07X, 091A/</t>
  </si>
  <si>
    <t>Goodwill
(015) - /075, 091A/</t>
  </si>
  <si>
    <t>Oceniteľné práva
(014) - /074, 091A/</t>
  </si>
  <si>
    <t>Softvér
(013) - /073, 091A/</t>
  </si>
  <si>
    <t>Aktivované náklady
na vývoj
(012) - /072, 091A/</t>
  </si>
  <si>
    <t>DIČ</t>
  </si>
  <si>
    <t>Výkaz ziskov a strát Úč POD 2 - 01</t>
  </si>
  <si>
    <t>VÝKAZ                ZISKOV A STRÁT</t>
  </si>
  <si>
    <r>
      <t>UVPOD2v09_1</t>
    </r>
    <r>
      <rPr>
        <sz val="5"/>
        <rFont val="Arial"/>
        <family val="2"/>
        <charset val="238"/>
      </rPr>
      <t/>
    </r>
  </si>
  <si>
    <t>Výsledok hospodárenia za účtovné obdobie po zdanení   (+/-) [r. 51 + r. 58 - r. 60]</t>
  </si>
  <si>
    <t>Prevod podielov na výsledku hospodárenia spoločníkom (+/-596)</t>
  </si>
  <si>
    <t>Výsledok hospodárenia za účtovné obdobie pred zdanením (+/-) [r. 47 + r. 54]</t>
  </si>
  <si>
    <t>Výsledok hospodárenia z mimoriadnej činnosti po zdanení    r. 54 - r. 55</t>
  </si>
  <si>
    <t xml:space="preserve"> - odložená (+/ 594)</t>
  </si>
  <si>
    <t xml:space="preserve"> - splatná (593)</t>
  </si>
  <si>
    <t>Daň z príjmov z mimoriadnej činnosti r. 56 + r. 57</t>
  </si>
  <si>
    <t>Výsledok hospodárenia z mimoriadnej činnosti pred zdanením r. 52 - r. 53</t>
  </si>
  <si>
    <t>Mimoriadne náklady (účtová skupina 58)</t>
  </si>
  <si>
    <t>Mimoriadne výnosy (účtová skupina 68)</t>
  </si>
  <si>
    <t>Výsledok hospodárenia z bežnej činnosti po zdanení
r. 47 - r. 48</t>
  </si>
  <si>
    <t>- odložená (+/- 592)</t>
  </si>
  <si>
    <t>- splatná (591, 595)</t>
  </si>
  <si>
    <t>Daň z príjmov z bežnej činnosti r. 49 + r. 50</t>
  </si>
  <si>
    <t>Výsledok hospodárenia z bežnej činnosti pred zdanením r. 26 + r. 46</t>
  </si>
  <si>
    <t>Výsledok hospodárenia z finančnej činnosti
r. 27 - r. 28 + r. 29 + r. 33 - r. 34 + r. 35 - r. 36 - r. 37 + r. 38 - r. 39 + r. 40 - r. 41 + r. 42 - r. 43 + (- r. 44) - (- r. 45)</t>
  </si>
  <si>
    <t>Prevod finančných nákladov (-) (598)</t>
  </si>
  <si>
    <t>Prevod finančných výnosov (-) (698)</t>
  </si>
  <si>
    <t>Ostatné náklady na finančnú činnosť (568, 569)</t>
  </si>
  <si>
    <t>Ostatné výnosy z finančnej činnosti (668)</t>
  </si>
  <si>
    <t>Kurzové straty (563)</t>
  </si>
  <si>
    <t>Kurzové zisky (663)</t>
  </si>
  <si>
    <t>Nákladové úroky (562)</t>
  </si>
  <si>
    <t>Výnosové úroky (662)</t>
  </si>
  <si>
    <t>Tvorba a zúčtovanie opravných položiek k finančnému majetku +/- 565</t>
  </si>
  <si>
    <t>Náklady na precenenie cenných papierov a náklady na derivátové operácie (564, 567)</t>
  </si>
  <si>
    <t>Výnosy z precenenia cenných papierov a výnosy z
derivátových operácií (664, 667)</t>
  </si>
  <si>
    <t>Náklady na krátkodobý finančný majetok (566)</t>
  </si>
  <si>
    <t>Výnosy z krátkodobého finančného majetku (666)</t>
  </si>
  <si>
    <t>Výnosy z ostatného dlhodobého finančného majetku (665A)</t>
  </si>
  <si>
    <t>Výnosy z ostatných dlhodobých cenných papierov a
podielov (665A)</t>
  </si>
  <si>
    <t>Výnosy z cenných papierov a podielov v dcérskej účtovnej jednotke a v spoločnosti s podstatným vplyvom (665A)</t>
  </si>
  <si>
    <t>Výnosy z dlhodobého finančného majetku
r. 30 + r. 31 + r. 32</t>
  </si>
  <si>
    <t>Predané cenné papiere a podiely (561)</t>
  </si>
  <si>
    <t>Tržby z predaja cenných papierov a podielov (661)</t>
  </si>
  <si>
    <t>Výsledok hospodárenia z hospodárskej činnosti
r. 11 - r. 12 - r. 17- r. 18 + r. 19- r. 20 - r. 21 + r. 22 -r. 23 + (- r. 24) - (- r. 25)</t>
  </si>
  <si>
    <t>Prevod nákladov na hospodársku činnosť (-)(597)</t>
  </si>
  <si>
    <t>Prevod výnosov z hospodárskej činnosti (-)(697)</t>
  </si>
  <si>
    <t>Ostatné náklady na hospodársku činnosť
(543, 544, 545, 546, 548, 549,555, 557)</t>
  </si>
  <si>
    <t>Ostatné výnosy z hospodárskej činnosti
(644, 645, 646, 648,655, 657)</t>
  </si>
  <si>
    <t>Tvorba a zúčtovanie opravných položiek  k pohľadávkam (+/-547)</t>
  </si>
  <si>
    <t>Zostatková cena predaného dlhodobého majetku a
predaného materiálu (541, 542)</t>
  </si>
  <si>
    <t>Tržby z predaja dlhodobého majetku a materiálu (641, 642)</t>
  </si>
  <si>
    <t>Odpisy a opravné položky k dlhodobému nehmotnému majetku a dlhodobému hmotnému majetku (551, 553)</t>
  </si>
  <si>
    <t>Dane a poplatky (účtová skupina 53)</t>
  </si>
  <si>
    <t>Sociálne náklady (527, 528)</t>
  </si>
  <si>
    <t>Náklady na sociálne poistenie (524, 525, 526)</t>
  </si>
  <si>
    <t>Odmeny členom orgánov spoločnosti a družstva (523)</t>
  </si>
  <si>
    <t>Mzdové náklady (521, 522)</t>
  </si>
  <si>
    <t>Osobné náklady súčet (r. 13 až 16)</t>
  </si>
  <si>
    <t>Pridaná hodnota r. 03 + r. 04 - r. 08</t>
  </si>
  <si>
    <t>Služby (účtová skupina 51)</t>
  </si>
  <si>
    <t>Spotreba materiálu, energie a ostatných
neskladovateľných dodávok (501, 502, 503, 505A)</t>
  </si>
  <si>
    <t>Výrobná spotreba r. 09 + r. 10</t>
  </si>
  <si>
    <t>Aktivácia (účtovná skupina 62)</t>
  </si>
  <si>
    <t>Zmeny stavu vnútroorganizačných zásob
(+/- účtová skupina 61)</t>
  </si>
  <si>
    <t>Tržby z predaja vlastných výrobkov a služieb (601, 602,606)</t>
  </si>
  <si>
    <t>Výroba r. 05 + r. 06 + r. 07</t>
  </si>
  <si>
    <t>Obchodná marža r. 01 - r. 02</t>
  </si>
  <si>
    <t>Náklady vynaložené na obstaranie predaného tovaru
(504, 505A)</t>
  </si>
  <si>
    <t>Tržby z predaja tovaru (604)</t>
  </si>
  <si>
    <t>bezprostredne predchádzajúce
účtovné obdobie
2</t>
  </si>
  <si>
    <t>bežné účtovné obdobie
1</t>
  </si>
  <si>
    <t>Text
b</t>
  </si>
  <si>
    <t>Skutočnosť</t>
  </si>
  <si>
    <t>e-mail :</t>
  </si>
  <si>
    <t>Fax number :</t>
  </si>
  <si>
    <t>Name :</t>
  </si>
  <si>
    <t>Phone number :</t>
  </si>
  <si>
    <t>Phone area code :</t>
  </si>
  <si>
    <t>City</t>
  </si>
  <si>
    <t>ZIP</t>
  </si>
  <si>
    <t>Street No.</t>
  </si>
  <si>
    <t>Entity address:</t>
  </si>
  <si>
    <t>Approved on:</t>
  </si>
  <si>
    <t>INO ("IČO") :</t>
  </si>
  <si>
    <t>Prepared on:</t>
  </si>
  <si>
    <t>DIČ :</t>
  </si>
  <si>
    <t>Year:</t>
  </si>
  <si>
    <t>Month :</t>
  </si>
  <si>
    <t>Report :</t>
  </si>
  <si>
    <t>End of period</t>
  </si>
  <si>
    <t>approved</t>
  </si>
  <si>
    <t>Start of period</t>
  </si>
  <si>
    <t>prepared</t>
  </si>
  <si>
    <t>Previous period :</t>
  </si>
  <si>
    <t>Type of delivery :</t>
  </si>
  <si>
    <t>End - year</t>
  </si>
  <si>
    <t>End - date</t>
  </si>
  <si>
    <t>Year :</t>
  </si>
  <si>
    <t>extraordinary</t>
  </si>
  <si>
    <t>ordinary</t>
  </si>
  <si>
    <t>Curent period :</t>
  </si>
  <si>
    <t>CLIENT</t>
  </si>
  <si>
    <t>Input data for statutory reports</t>
  </si>
  <si>
    <t>Hlavným predmetom činnosti je:</t>
  </si>
  <si>
    <t>1.</t>
  </si>
  <si>
    <r>
      <t>2.</t>
    </r>
    <r>
      <rPr>
        <b/>
        <sz val="7"/>
        <color theme="1"/>
        <rFont val="Times New Roman"/>
        <family val="1"/>
        <charset val="238"/>
      </rPr>
      <t xml:space="preserve">       </t>
    </r>
    <r>
      <rPr>
        <b/>
        <u/>
        <sz val="10"/>
        <color theme="1"/>
        <rFont val="Arial"/>
        <family val="2"/>
        <charset val="238"/>
      </rPr>
      <t>ZÁKLADNÉ VÝCHODISKÁ PRE ZOSTAVENIE ÚČTOVNEJ ZÁVIERKY</t>
    </r>
  </si>
  <si>
    <r>
      <t>1.      </t>
    </r>
    <r>
      <rPr>
        <b/>
        <u/>
        <sz val="10"/>
        <color theme="1"/>
        <rFont val="Arial"/>
        <family val="2"/>
        <charset val="238"/>
      </rPr>
      <t>POPIS SPOLOČNOSTI</t>
    </r>
  </si>
  <si>
    <t>a)    Dlhodobý nehmotný majetok</t>
  </si>
  <si>
    <t>Nakupovaný dlhodobý nehmotný majetok sa oceňuje v obstarávacích cenách, ktoré obsahujú cenu obstarania a náklady súvisiace s jeho obstaraním.</t>
  </si>
  <si>
    <t>Dlhodobý nehmotný majetok vytvorený vlastnou činnosťou sa oceňuje vlastnými nákladmi, ktoré zahrňujú priame materiálové a mzdové náklady a výrobné režijné náklady (prípadne časť správnych nákladov).</t>
  </si>
  <si>
    <t>Odpisovanie</t>
  </si>
  <si>
    <t>Predpokladaná doba používania</t>
  </si>
  <si>
    <t>-</t>
  </si>
  <si>
    <t>V prípade prechodného zníženia úžitkovej hodnoty dlhodobého nehmotného majetku sa tvorí opravná položka vo výške rozdielu jeho zistenej úžitkovej hodnoty a zostatkovej hodnoty.</t>
  </si>
  <si>
    <t>b)    Dlhodobý hmotný majetok</t>
  </si>
  <si>
    <t>Nakupovaný dlhodobý hmotný majetok sa oceňuje v obstarávacích cenách, ktoré zahŕňajú cenu obstarania, náklady na dopravu, clo a ďalšie náklady súvisiace s obstaraním.</t>
  </si>
  <si>
    <t xml:space="preserve">Dlhodobý hmotný majetok vytvorený vlastnou činnosťou sa oceňuje vlastnými nákladmi, ktoré zahrňujú priame materiálové a mzdové náklady a výrobné režijné náklady (prípadne časť správnych nákladov). </t>
  </si>
  <si>
    <t>Náklady na technické zhodnotenie dlhodobého hmotného majetku zvyšujú jeho obstarávaciu cenu. Opravy a údržba sa účtujú do nákladov.</t>
  </si>
  <si>
    <t>Stroje, prístroje a zariadenia</t>
  </si>
  <si>
    <t>Dopravné prostriedky</t>
  </si>
  <si>
    <t>Inventár</t>
  </si>
  <si>
    <t>Iný dlhodobý hmotný majetok</t>
  </si>
  <si>
    <t>Dlhodobý hmotný majetok sa odpisuje do nákladov počas predpokladanej doby životnosti príslušného majetku. Predpokladaná doba používania, metóda odpisovania a odpisová sadzba sú stanovené pre jednotlivé skupiny dlhodobého hmotného majetku  nasledovne:</t>
  </si>
  <si>
    <t>V prípade prechodného zníženia úžitkovej hodnoty dlhodobého hmotného majetku sa tvorí opravná položka vo výške rozdielu jeho zistenej úžitkovej hodnoty a zostatkovej hodnoty.</t>
  </si>
  <si>
    <t>d)    Zásoby</t>
  </si>
  <si>
    <t>c)    Finančný majetok</t>
  </si>
  <si>
    <t>Náklady budúcich období a príjmy budúcich období sa oceňujú ich menovitou hodnotou, pričom sa vykazujú vo výške, ktorá je potrebná na dodržanie zásady vecnej a časovej súvislosti s účtovným obdobím.</t>
  </si>
  <si>
    <t>Dlhodobé, krátkodobé úvery sa vykazujú v menovitej hodnote. Za krátkodobý úver sa považuje aj časť dlhodobých úverov, ktorá je splatná do jedného roka od súvahového dňa.</t>
  </si>
  <si>
    <t>Výdavky budúcich období a výnosy budúcich období sa oceňujú ich menovitou hodnotou, pričom sa vykazujú vo výške, ktorá je potrebná na dodržanie zásady vecnej a časovej súvislosti s účtovným obdobím.</t>
  </si>
  <si>
    <t>Transakcie v cudzej mene sa prepočítavajú na eurá referenčným výmenným kurzom určeným a vyhláseným Európskou centrálnou bankou alebo Národnou bankou Slovenska v deň predchádzajúci dňu uskutočnenia účtovného prípadu.</t>
  </si>
  <si>
    <t>Peňažné aktíva a pasíva vyjadrené v cudzej mene sa prepočítavajú kurzom platným ku dňu zostavenia účtovnej závierky. Vzniknuté kurzové rozdiely sa vykazujú vo výkaze ziskov a strát.</t>
  </si>
  <si>
    <t xml:space="preserve">Kúpa a predaj cudzej meny sa prepočítava na euro kurzom, za ktorý boli tieto hodnoty nakúpené alebo predané.  </t>
  </si>
  <si>
    <t xml:space="preserve">Tržby za vlastné výkony a tovar neobsahujú daň z pridanej hodnoty. Sú tiež znížené o zľavy a zrážky (rabaty, bonusy, skontá, dobropisy a pod.). Tržby sú účtované ku dňu splnenia dodávky alebo služby. </t>
  </si>
  <si>
    <t>Náklad na daň z príjmov sa počíta pomocou platnej daňovej sadzby z účtovného zisku upraveného o trvalé alebo dočasne daňovo neuznateľné náklady a nezdaňované výnosy. Odložené dane (odložená daňová pohľadávka a odložený daňový záväzok)  sa vzťahujú na:</t>
  </si>
  <si>
    <t>možnosti umorovať daňovú stratu v budúcnosti, pod ktorou sa rozumie možnosť odpočítať daňovú stratu od základu dane v budúcnosti,</t>
  </si>
  <si>
    <t>dočasné rozdiely medzi účtovnou hodnotou majetku a účtovnou hodnotou záväzkov vykázanou v súvahe a ich daňovou základňou,</t>
  </si>
  <si>
    <t>možnosť previesť nevyužité daňové odpočty a iné daňové nároky do budúcich období.</t>
  </si>
  <si>
    <t>Poistenie majetku</t>
  </si>
  <si>
    <t>Informácie o opravných položkách k zásobám</t>
  </si>
  <si>
    <t xml:space="preserve">Zúčtovanie OP z dôvodu zániku opodstat-
nenosti
</t>
  </si>
  <si>
    <t>Informácie o zásobách, na ktoré je zriadené záložné právo a o zásobách, pri ktorých má účtovná jednotka obmedzené právo s nimi nakladať</t>
  </si>
  <si>
    <t>Informácie o vývoji opravnej položky k pohľadávkam</t>
  </si>
  <si>
    <t>Informácie o krátkodobom finančnom majetku</t>
  </si>
  <si>
    <t>Informácie o významných položkách časového rozlíšenia</t>
  </si>
  <si>
    <t>24.1</t>
  </si>
  <si>
    <t>Informácie o rezervách</t>
  </si>
  <si>
    <t>25.1</t>
  </si>
  <si>
    <t>25.2</t>
  </si>
  <si>
    <t>Informácie o záväzkoch</t>
  </si>
  <si>
    <t>Informácie o bankových úveroch, pôžičkách a krátkodobých finančných výpomociach</t>
  </si>
  <si>
    <t>29.1</t>
  </si>
  <si>
    <t>Informácie o významných položkách časového rozlíšenia na strane pasív</t>
  </si>
  <si>
    <t>Výdavky budúcich období dlhodobé, z toho:</t>
  </si>
  <si>
    <t>Výdavky budúcich období krátkodobé, z toho:</t>
  </si>
  <si>
    <t>Revenues from merchandise (604,607)</t>
  </si>
  <si>
    <t>Tržby</t>
  </si>
  <si>
    <t>Informácie o tržbách</t>
  </si>
  <si>
    <t xml:space="preserve">Údaje o zmene stavu vnútropodnikových zásob </t>
  </si>
  <si>
    <t>Informácie o zmene stavu vnútroorganizačných zásob</t>
  </si>
  <si>
    <t>Zmena stavu vnútroorganizačných zásob vo výkaze ziskov a strát</t>
  </si>
  <si>
    <t>Informácie o čistom obrate</t>
  </si>
  <si>
    <t>Náklady</t>
  </si>
  <si>
    <t>Informácie o nákladoch</t>
  </si>
  <si>
    <t>Dane z príjmov</t>
  </si>
  <si>
    <t>Daň v %</t>
  </si>
  <si>
    <t>Údaje o príjmoch a výhodách členov štatutárnych, dozorných a iných orgánov</t>
  </si>
  <si>
    <t>46.1</t>
  </si>
  <si>
    <t>strana</t>
  </si>
  <si>
    <r>
      <t xml:space="preserve">Please </t>
    </r>
    <r>
      <rPr>
        <b/>
        <i/>
        <sz val="8"/>
        <color indexed="10"/>
        <rFont val="Arial"/>
        <family val="2"/>
      </rPr>
      <t>read</t>
    </r>
    <r>
      <rPr>
        <i/>
        <sz val="8"/>
        <color indexed="10"/>
        <rFont val="Arial"/>
        <family val="2"/>
      </rPr>
      <t xml:space="preserve"> carefully comments for writing data in </t>
    </r>
    <r>
      <rPr>
        <b/>
        <i/>
        <sz val="8"/>
        <color indexed="10"/>
        <rFont val="Arial"/>
        <family val="2"/>
      </rPr>
      <t>correct</t>
    </r>
    <r>
      <rPr>
        <i/>
        <sz val="8"/>
        <color indexed="10"/>
        <rFont val="Arial"/>
        <family val="2"/>
      </rPr>
      <t xml:space="preserve"> format</t>
    </r>
  </si>
  <si>
    <r>
      <t xml:space="preserve">Name of entity </t>
    </r>
    <r>
      <rPr>
        <b/>
        <sz val="8"/>
        <rFont val="Arial"/>
        <family val="2"/>
        <charset val="238"/>
      </rPr>
      <t>(including legal form)</t>
    </r>
    <r>
      <rPr>
        <b/>
        <sz val="8"/>
        <rFont val="Arial"/>
        <family val="2"/>
      </rPr>
      <t xml:space="preserve"> :</t>
    </r>
  </si>
  <si>
    <t>Metóda odpisovania</t>
  </si>
  <si>
    <t>#</t>
  </si>
  <si>
    <t>3.1</t>
  </si>
  <si>
    <t>a)   Dlhodobý nehmotný majetok</t>
  </si>
  <si>
    <t>Informácie o dlhodobom nehmotnom majetku</t>
  </si>
  <si>
    <r>
      <t>KONTROLA SUC</t>
    </r>
    <r>
      <rPr>
        <sz val="8"/>
        <color theme="1"/>
        <rFont val="Arial"/>
        <family val="2"/>
        <charset val="238"/>
      </rPr>
      <t>T</t>
    </r>
    <r>
      <rPr>
        <b/>
        <sz val="8"/>
        <color theme="1"/>
        <rFont val="Arial"/>
        <family val="2"/>
        <charset val="238"/>
      </rPr>
      <t>OV</t>
    </r>
  </si>
  <si>
    <t>3.2</t>
  </si>
  <si>
    <t>b)   Dlhodobý hmotný majetok</t>
  </si>
  <si>
    <t>Informácie o dlhodobom hmotnom majetku</t>
  </si>
  <si>
    <t>5.1</t>
  </si>
  <si>
    <t>Pestovateľ-  ské celky 
trvalých porastov</t>
  </si>
  <si>
    <t>5.2</t>
  </si>
  <si>
    <t>c)   Dlhodobý finančný majetok</t>
  </si>
  <si>
    <t>POZNÁMKY</t>
  </si>
  <si>
    <t>priebežná</t>
  </si>
  <si>
    <t>BALANCE SHEET</t>
  </si>
  <si>
    <t>Balance sheet Úč POD 1 - 01</t>
  </si>
  <si>
    <t>as of</t>
  </si>
  <si>
    <t>in full EUR</t>
  </si>
  <si>
    <t>Á  Ä  B  Č  D  É  F  G  H  Í  J  K  L  M  N  O  P  Q  R  Š  T  Ú  V  X  Ý  Ž  0  1  2  3  4  5  6  7  8  9</t>
  </si>
  <si>
    <t>Tax identification number</t>
  </si>
  <si>
    <t>Financial statements</t>
  </si>
  <si>
    <t>Month</t>
  </si>
  <si>
    <t>Year</t>
  </si>
  <si>
    <t>For period</t>
  </si>
  <si>
    <t>from</t>
  </si>
  <si>
    <t>Identification number</t>
  </si>
  <si>
    <t>Ordinary</t>
  </si>
  <si>
    <t>Prepared</t>
  </si>
  <si>
    <t>to</t>
  </si>
  <si>
    <t>Extraordinary</t>
  </si>
  <si>
    <t>Approved</t>
  </si>
  <si>
    <t xml:space="preserve">Directly preceding 
period
</t>
  </si>
  <si>
    <t>(marked with x)</t>
  </si>
  <si>
    <t>Business name of entity</t>
  </si>
  <si>
    <t>Registered seat of entity</t>
  </si>
  <si>
    <t>Street</t>
  </si>
  <si>
    <t>Number</t>
  </si>
  <si>
    <t>ZIP Code</t>
  </si>
  <si>
    <t>Town</t>
  </si>
  <si>
    <t>Phone number</t>
  </si>
  <si>
    <t>Fax number</t>
  </si>
  <si>
    <t>E-mail</t>
  </si>
  <si>
    <t>Signature of the person responsible for maintaining the accounting:</t>
  </si>
  <si>
    <t>Signature of the person responsible for the preparation of the financial statements:</t>
  </si>
  <si>
    <t>Signature of the member of the statutory body of the entity or physical person who is the entity:</t>
  </si>
  <si>
    <t>Tax Office records</t>
  </si>
  <si>
    <t>Place for the reference number</t>
  </si>
  <si>
    <t>Stamp of the Tax Office</t>
  </si>
  <si>
    <t>Tax ID</t>
  </si>
  <si>
    <t>Line
a</t>
  </si>
  <si>
    <t>ASSETS
b</t>
  </si>
  <si>
    <t>Line no.
c</t>
  </si>
  <si>
    <t>Current period</t>
  </si>
  <si>
    <t>Prior period</t>
  </si>
  <si>
    <r>
      <t xml:space="preserve">Gross value - </t>
    </r>
    <r>
      <rPr>
        <sz val="7.5"/>
        <rFont val="Arial"/>
        <family val="2"/>
        <charset val="238"/>
      </rPr>
      <t>part 1</t>
    </r>
  </si>
  <si>
    <t>Net value    2</t>
  </si>
  <si>
    <r>
      <t xml:space="preserve">Adjustment - </t>
    </r>
    <r>
      <rPr>
        <sz val="7.5"/>
        <rFont val="Arial"/>
        <family val="2"/>
        <charset val="238"/>
      </rPr>
      <t>part 2</t>
    </r>
  </si>
  <si>
    <t>Net value    3</t>
  </si>
  <si>
    <t>TOTAL ASSETS
l. 002 + l. 030
+ l. 061</t>
  </si>
  <si>
    <t>Non-current assets
l. 003 + l. 011
+ l. 021</t>
  </si>
  <si>
    <t>Non-current intangible assets  total (l. 004 to
010)</t>
  </si>
  <si>
    <t>Capitalized development cost
(012) - /072, 091A/</t>
  </si>
  <si>
    <t>Software
(013) - /073, 091A/</t>
  </si>
  <si>
    <t>Valuable rights
(014) - /074, 091A/</t>
  </si>
  <si>
    <t>Other non-current intangible assets
(019, 01X) - /079,
07X, 091A/</t>
  </si>
  <si>
    <t>Non-current intangible assets under construction
(041) - 093</t>
  </si>
  <si>
    <t>Advance payments for non-current intangible assets
(051) - 095A</t>
  </si>
  <si>
    <t>Land
(031) - 092A</t>
  </si>
  <si>
    <t>Buildings
(021) - /081,092A/</t>
  </si>
  <si>
    <t>Plant and equipment
(022) - /082, 092A/</t>
  </si>
  <si>
    <t>Perennial crops
(025) - /085, 092A/</t>
  </si>
  <si>
    <t>Livestock and draught animals
(026) - /086, 092A/</t>
  </si>
  <si>
    <t>Other non-current tangible assets
(029, 02X, 032) -
/089, 08X, 092A/</t>
  </si>
  <si>
    <t>Non-current tangible assets under construction
(042) - 094</t>
  </si>
  <si>
    <t>Advance payments for non-current tangible assets
(052) - 095A</t>
  </si>
  <si>
    <t>Adjustments for assets acquired
(+/- 097) +/- 098</t>
  </si>
  <si>
    <t>Non-current financial assets  total (l. 022 to 029)</t>
  </si>
  <si>
    <t>Investment in subsidiaries
(061) - 096A</t>
  </si>
  <si>
    <t>Investment in  interest in associates
(062) - 096A</t>
  </si>
  <si>
    <t>Other non-current investments
(063, 065) - 096A</t>
  </si>
  <si>
    <t>Loans to entities in consolidated group
(066A) - 096A</t>
  </si>
  <si>
    <t>Other non-current financial assets
(067A, 069, 06XA)
- 096A</t>
  </si>
  <si>
    <t>Loans with maturity up to one year
(066A, 067A, 06XA)
- 096A</t>
  </si>
  <si>
    <t>Non-current financial assets under construction
(043) - 096A</t>
  </si>
  <si>
    <t>Advance payments for non-current financial assets
(053) - 095A</t>
  </si>
  <si>
    <t>Current assets
l. 031 + l. 038
+ l. 046 + l. 055</t>
  </si>
  <si>
    <t>Raw material
(112, 119, 11X) - /191,19X/</t>
  </si>
  <si>
    <t>Work in progress and semi-finished goods
(121, 122, 12X) -
/192, 193, 19X/</t>
  </si>
  <si>
    <t>Finished goods
(123) - 194</t>
  </si>
  <si>
    <t>Livestock
(124) - 195</t>
  </si>
  <si>
    <t>Merchandise
(132, 13X, 139)
- /196, 19X/</t>
  </si>
  <si>
    <t>Advance payments for inventories
(314A) - 391A</t>
  </si>
  <si>
    <t>Trade receivables
(311A, 312A, 313A,
314A, 315A, 31XA)
- 391A</t>
  </si>
  <si>
    <t>Receivables from subsidiary and controlling entity
(351A) - 391A</t>
  </si>
  <si>
    <t>Other receivables within consolidated group
(351A) - 391A</t>
  </si>
  <si>
    <t>Receivables from partners and consortium members
(354A, 355A, 358A,
35XA) - 391A</t>
  </si>
  <si>
    <t>Other receivables
(335A, 33XA, 371A,
373A, 374A, 375A,
376A, 378A) - 391A</t>
  </si>
  <si>
    <t>Deferred tax asset
(481A)</t>
  </si>
  <si>
    <t>Trade receivables
(311A, 312A, 313A,
314A, 315A, 31XA) -
391A</t>
  </si>
  <si>
    <t>Receivables from subsidiary and controlling enterprise
(351A) - 391A</t>
  </si>
  <si>
    <t>Receivables from partners and consortium members
(354A, 355A, 358A,
35XA, 398A) - 391A</t>
  </si>
  <si>
    <t>Social security receivables
(336) - 391A</t>
  </si>
  <si>
    <t>Tax receivables
(341, 342, 343, 345,
346, 347) - 391A</t>
  </si>
  <si>
    <t>Cash
(211, 213, 21X)</t>
  </si>
  <si>
    <t>Bank accounts
(221A, 22X +/- 261)</t>
  </si>
  <si>
    <t>Term deposits exceeding one year 
22XA</t>
  </si>
  <si>
    <t>Short-term financial assets
(251, 253, 256, 257,
25X) - /291, 29X/</t>
  </si>
  <si>
    <t>Short-term financial assets under construction
(259, 314A) - 291</t>
  </si>
  <si>
    <t>Accruals and prepayments  total
l. 062 and 065</t>
  </si>
  <si>
    <t>Prepaid expenses 
long-term
(381A, 382A)</t>
  </si>
  <si>
    <t>Prepaid expenses 
short-term
(381A, 382A)</t>
  </si>
  <si>
    <t>Accrued revenues 
long-term
(385A)</t>
  </si>
  <si>
    <t>Accrued revenues 
short-term
(385A)</t>
  </si>
  <si>
    <t>LIABILITIES AND EQUITY
b</t>
  </si>
  <si>
    <t>Current period
4</t>
  </si>
  <si>
    <t>Prior period
5</t>
  </si>
  <si>
    <t>SHAREHOLDERS' EQUITY AND LIABILITIES TOTAL
l. 067 + 088 + 121</t>
  </si>
  <si>
    <t>Shareholders' equity 
l. 068+ 073+ 080 + 084+ 087</t>
  </si>
  <si>
    <t>Asset and liabilities revaluation reserve
(+/- 414)</t>
  </si>
  <si>
    <t>Other non-current liabilities
(474A, 479A, 47XA, 372A, 373A, 377A)</t>
  </si>
  <si>
    <t>Trade payables
(321, 322, 324, 325, 32X, 475A, 478A, 479A, 47XA)</t>
  </si>
  <si>
    <t>Other liabilities within consolidated group
(361A, 36XA, 471A, 47XA)</t>
  </si>
  <si>
    <t>Tax liabilities and subsidies
(341, 342, 343, 345, 346, 347, 34X)</t>
  </si>
  <si>
    <t>Other short-term liabilities
(372A, 373A, 377A, 379A, 474A, 479A, 47X)</t>
  </si>
  <si>
    <t>INCOME STATEMENT</t>
  </si>
  <si>
    <t>Income Statement Úč POD 2-01</t>
  </si>
  <si>
    <t>at</t>
  </si>
  <si>
    <t>The information should be written in block letters (see this example), using a typewriter or printer with black or dark blue ink.</t>
  </si>
  <si>
    <t>(marked with X)</t>
  </si>
  <si>
    <t>Actual result in</t>
  </si>
  <si>
    <t>Line no
c</t>
  </si>
  <si>
    <t>current period
1</t>
  </si>
  <si>
    <t>prior period
2</t>
  </si>
  <si>
    <t>Costs of merchandise sold
(504, 505A)</t>
  </si>
  <si>
    <t>Other operating revenues
(644, 645, 646, 648, 655, 657)</t>
  </si>
  <si>
    <t>Other operating expenses
(543, 544, 545, 546, 548, 549, 555, 557)</t>
  </si>
  <si>
    <t>Income from long-term financial assets
l.30 + 31 + 32</t>
  </si>
  <si>
    <t>Profit/(loss) from financial activities
l. 27 - 28 + 29 + 33 - 34 + 35 - 36 - 37 + 38 - 39
+ 40 - 41 + 42 -43 + (-44) - (-45)</t>
  </si>
  <si>
    <t xml:space="preserve"> - payable (591, 595)</t>
  </si>
  <si>
    <t xml:space="preserve"> - deferred (+/- 592)</t>
  </si>
  <si>
    <t>Net profit/(loss) from ordinary activities after tax
l. 47 - l. 48</t>
  </si>
  <si>
    <t xml:space="preserve"> - payable (593)</t>
  </si>
  <si>
    <t xml:space="preserve"> - deferred (+/ 594)</t>
  </si>
  <si>
    <t>Profit/(loss) share transferred to owners' account
(+/-596)</t>
  </si>
  <si>
    <t>Bilanz Úč POD 1 - 01</t>
  </si>
  <si>
    <t>BILANZ</t>
  </si>
  <si>
    <t>zum</t>
  </si>
  <si>
    <t>in Euro</t>
  </si>
  <si>
    <t xml:space="preserve">Numerische Angaben werden nach rechts ausgerichtet, sonstige Angaben sind von links zu schreiben. </t>
  </si>
  <si>
    <t>Nicht ausgefüllte Zeilen sollen leer gelassen werden.</t>
  </si>
  <si>
    <t>Die Angaben sind mit Blockschrift  (nach diesem Muster), Schreibmaschine oder Drucker in schwarzer oder dunkelblauer Farbe auszufüllen.</t>
  </si>
  <si>
    <t>Á  Ä  B  Č  D  É  F  G  H  Í  J  K  L  M  N  O  P  Q  R  Š  T  Ú  V  X  Ý  Ž   0  1  2  3  4  5  6  7  8  9</t>
  </si>
  <si>
    <t>Umsatzsteuer-ID</t>
  </si>
  <si>
    <t>Jahresabschluss</t>
  </si>
  <si>
    <t>Monat</t>
  </si>
  <si>
    <t>Jahr</t>
  </si>
  <si>
    <t>Geschäftsjahr</t>
  </si>
  <si>
    <t>von</t>
  </si>
  <si>
    <t>INO</t>
  </si>
  <si>
    <t>Ordnungsmässiger</t>
  </si>
  <si>
    <t>Erstellt</t>
  </si>
  <si>
    <t>bis</t>
  </si>
  <si>
    <t>Ausserordentlicher</t>
  </si>
  <si>
    <t>Genehmigt</t>
  </si>
  <si>
    <t>(bitte ankreuzen)</t>
  </si>
  <si>
    <t>Vorjahr</t>
  </si>
  <si>
    <t>Name des Buchführungspflichtigen</t>
  </si>
  <si>
    <t>Sitz des Buchführungspflichtigen</t>
  </si>
  <si>
    <t>Strasse</t>
  </si>
  <si>
    <t>Nummer</t>
  </si>
  <si>
    <t>Postleitzahl</t>
  </si>
  <si>
    <t>Ort</t>
  </si>
  <si>
    <t>Telefonnummer</t>
  </si>
  <si>
    <t>Fax</t>
  </si>
  <si>
    <t>Email</t>
  </si>
  <si>
    <t>Erstellt am :</t>
  </si>
  <si>
    <t>Verantwortlich für den Jahresabshluss (Name und Unterschrift):</t>
  </si>
  <si>
    <t>Verantwortlich für die Buchführung (Name und Unterschrift)</t>
  </si>
  <si>
    <t>Vertreter des statutarischen Organs oder der buchungspflichtigen natürlichen Person</t>
  </si>
  <si>
    <t>Genehmigt am:</t>
  </si>
  <si>
    <t>Eintragungen des Finanzamtes</t>
  </si>
  <si>
    <t>Platz für die Referenznummer</t>
  </si>
  <si>
    <t>Stempel des Finanzamtes</t>
  </si>
  <si>
    <t>USt-ID</t>
  </si>
  <si>
    <t>Bezei-chnung
a</t>
  </si>
  <si>
    <t>AKTIVA
b</t>
  </si>
  <si>
    <t>Zeile
c</t>
  </si>
  <si>
    <t>Laufendes Jahr</t>
  </si>
  <si>
    <t>Brutto - Teil 1</t>
  </si>
  <si>
    <t>Korrektur - Teil 2</t>
  </si>
  <si>
    <t>Aktiva Gesamt Z. 002+030+061</t>
  </si>
  <si>
    <t>Anlagevermögen Z. 003+011+021</t>
  </si>
  <si>
    <t>Immaterielle Vermögensgegenstände (Z. 004 bis 010)</t>
  </si>
  <si>
    <t>Aktivierte Entwicklungskosten (012) -/072, 091A/</t>
  </si>
  <si>
    <t>Software (013) -/073, 091A/</t>
  </si>
  <si>
    <t>Bewertbare Rechte (014) -/074, 091A/</t>
  </si>
  <si>
    <t>Goodwill (015) -/075, 091A/</t>
  </si>
  <si>
    <t>Sonstige immaterielle Vermögensgegenstände (019, 01x) -/079, 07x, 091A/</t>
  </si>
  <si>
    <t>Im Anschaffungsprozess befindliche immaterielle Vermögensgegenstände (041) - 093</t>
  </si>
  <si>
    <t>Geleistete Anzahlungen auf immaterielle Vermögensgegenstände (051) -095A</t>
  </si>
  <si>
    <t>Sachanlagen (Z. 012 bis 020)</t>
  </si>
  <si>
    <t>Grundstücke (031) -092A</t>
  </si>
  <si>
    <t>Bauten (021) -/081, 092A/</t>
  </si>
  <si>
    <t>Eigenständige bewegliche Sachen und Gesamtheiten von beweglichen Sachen (022) -/082, 092A/</t>
  </si>
  <si>
    <t>Dauerhaft bepflanzte Anbauflächen (025) -/085, 092A/</t>
  </si>
  <si>
    <t>Grundherde und Zugtiere  (026) -/086, 092A/</t>
  </si>
  <si>
    <t>Sonstige Sachanlagen (029, 02x, 032) -/089, 08x, 092A/</t>
  </si>
  <si>
    <t>Sachanlagen im Bau (042) -094</t>
  </si>
  <si>
    <t>Geleistete Anzahlungen auf Sachanlagen (052) -095A</t>
  </si>
  <si>
    <t>Wertberichtigung auf erworbenes Vermögen (+/-097) +/-098</t>
  </si>
  <si>
    <t>Finanzanlagen (Z. 022 bis 029)</t>
  </si>
  <si>
    <t>Anteile an verbundenen Unternehmen (061) –096A</t>
  </si>
  <si>
    <t>Beteiligungen (062) –096A</t>
  </si>
  <si>
    <t>Sonstige Wertpapiere des Anlagevermögens (063, 065) -096A</t>
  </si>
  <si>
    <t>Ausleihungen an verbundene Unternehmen (066) -096A</t>
  </si>
  <si>
    <t>Sonstige Finanzanlagen (067, 069, 06XA) -096A</t>
  </si>
  <si>
    <t>Ausleihungen mit der Restlaufzeit bis zu einem Jahr (066A, 067A, 06XA) - 096A</t>
  </si>
  <si>
    <t>Finanzanlagen im Prozess der Anschaffung (043) - 096A</t>
  </si>
  <si>
    <t>Geleistete Anzahlungen auf Finanzanlagen (053) -095A</t>
  </si>
  <si>
    <t>Umlaufvermögen  Z. 031+038+046+055</t>
  </si>
  <si>
    <t>Vorräte (Z. 032 bis 037)</t>
  </si>
  <si>
    <t>Roh-, Hilfs- und Betriebsstoffe (112,119,11x) -/191,19x/</t>
  </si>
  <si>
    <t>Unfertige Erzeugnisse und Halbfabrikate (121,122,12x) -/192, 193, 19x/</t>
  </si>
  <si>
    <t>Fertige Erzeugnisse (123) –194</t>
  </si>
  <si>
    <t>Tiere (124) –195</t>
  </si>
  <si>
    <t>Waren (132,13x,139) –/196,19x/</t>
  </si>
  <si>
    <t>Geleistete Anzahlungen auf Vorräte (314A) -391A</t>
  </si>
  <si>
    <t>Langfristige Forderungen (Z. 039 bis 045)</t>
  </si>
  <si>
    <t>Forderungen aus Lieferungen und Leistungen  (311A, 312A, 313A, 314A, 315A, 31XA) –391A</t>
  </si>
  <si>
    <t>Nettowert des Fertigungsauftrags
(316A)</t>
  </si>
  <si>
    <t>Forderungen gegen verbundene Unternehmen (351A) -391A</t>
  </si>
  <si>
    <t>Sonstige Forderungen innerhalb des Konsolidierungskreises (351A) -391A</t>
  </si>
  <si>
    <t>Forderungen gegen Gesellschafter, Mitglieder und der Vereinigung (354A, 355A, 358A, 35XA) –391A</t>
  </si>
  <si>
    <t>Sonstige Forderungen (335A, 33XA, 371A, 373A, 374A, 375A, 376A, 378A) -391A</t>
  </si>
  <si>
    <t>Latente Steuerforderung  (481A)</t>
  </si>
  <si>
    <t>Kurzfristige Forderungen (Z. 047 bis 054)</t>
  </si>
  <si>
    <t>Forderungen aus Lieferungen und Leistungen (311A, 312A, 313A, 314A, 315A, 31XA) -391A</t>
  </si>
  <si>
    <t>Forderungen gegen Gesellschafter, Mitglieder und der Vereinigung (354A, 355A, 358A, 35XA, 398A) –391A</t>
  </si>
  <si>
    <t>Forderungen aus der Sozialversicherung (336A) -391A</t>
  </si>
  <si>
    <t>Steuerforderung (341,342,343,345,346,347) -391A</t>
  </si>
  <si>
    <t>Finanzkonten (Z. 056 bis 060)</t>
  </si>
  <si>
    <t>Kassenbestand (211, 213, 21X)</t>
  </si>
  <si>
    <t>Bankguthaben (221A, 22X,+/-261)</t>
  </si>
  <si>
    <t>Bankguthaben mit einer Bindungsfrist von mehr als einem Jahr (22XA)</t>
  </si>
  <si>
    <t>Finanzumlaufvermögen (251, 253,256,257,25X) -/291, 29X/</t>
  </si>
  <si>
    <t>Finanzumlaufvermögen im Prozess der Anschaffung (259, 314A) - 291</t>
  </si>
  <si>
    <t>Rechnungsabgrenzung  (Z. 062 und 065)</t>
  </si>
  <si>
    <t>Langfristige Aufwendungen künftiger Perioden
(381A, 382A)</t>
  </si>
  <si>
    <t>Kurzfristige Aufwendungen künftiger Perioden
(381A, 382A)</t>
  </si>
  <si>
    <t>Langfristige Einnahmen künftiger Perioden
(385A)</t>
  </si>
  <si>
    <t>Kurzfristige Einnahmen künftiger Perioden
(385A)</t>
  </si>
  <si>
    <t>PASSIVA
b</t>
  </si>
  <si>
    <t>Laufendes Jahr
4</t>
  </si>
  <si>
    <t>Vorjahr
5</t>
  </si>
  <si>
    <t>Summe Passiva Z. 067 + 088 + 121</t>
  </si>
  <si>
    <t>Eigenkapital Z. 068+ 073+ 080 + 084 + 087</t>
  </si>
  <si>
    <t>Grund-/Stammkapital (Z. 069 bis 072)</t>
  </si>
  <si>
    <t>Grund-/Stammkapital (411 bzw. +/-491)</t>
  </si>
  <si>
    <t>Eigene Aktien sowie eigene Geschäftsanteile (/-/252)</t>
  </si>
  <si>
    <t>Änderung des Grund-/Stammkapitals +/- 419</t>
  </si>
  <si>
    <t>Kapitalrücklagen (Z. 074 bis 079)</t>
  </si>
  <si>
    <t>Emmissionsagio (412)</t>
  </si>
  <si>
    <t>Sonstige Kapitalrücklagen (413)</t>
  </si>
  <si>
    <t>Gesetzliche Rücklage ("Unteilbarer Fonds") aus Kapitaleinlagen (417, 418)</t>
  </si>
  <si>
    <t>Bewertungsdifferenzen aus der Neubewertung von Vermögensgegenstände und Verbindlichkeiten  (+/-414)</t>
  </si>
  <si>
    <t>Bewertungsdifferenzen aus der Neubewertung von Kapitalbeteiligungen (+/-415)</t>
  </si>
  <si>
    <t>Bewertungsdifferenzen aus der Neubewertung bei Verschmelzungen und Spaltungen (+/- 416)</t>
  </si>
  <si>
    <t>Gewinnrücklagen (Z. 081 bis 083)</t>
  </si>
  <si>
    <t>Gesetzliche Rücklage (421)</t>
  </si>
  <si>
    <t>Unteilbarer Fonds (422)</t>
  </si>
  <si>
    <t>Satzungsmässige und sonstige Rücklagen (423, 427,42X)</t>
  </si>
  <si>
    <t>Ergebnisvortrag  (Z. 085 und 086)</t>
  </si>
  <si>
    <t>Gewinnvortrag (428)</t>
  </si>
  <si>
    <t>Verlustvortrag (/-/429)</t>
  </si>
  <si>
    <t>Ergebnis der laufenden Berichtsperiode 
/+ -/ Z. 001 -(068+ 073+ 080 + 084 + 088 + 121)</t>
  </si>
  <si>
    <t>Verbindlichkeiten Z. 089+094+106+117 + 118</t>
  </si>
  <si>
    <t>Rückstellungen (Z.090 bis 093)</t>
  </si>
  <si>
    <t>Langfristige gesetzliche Rückstellungen (451A)</t>
  </si>
  <si>
    <t>Kurzfristige gesetzliche Rückstellungen (323A, 451A)</t>
  </si>
  <si>
    <t>Sonstige langfristige Rückstellungen (459A, 45XA)</t>
  </si>
  <si>
    <t>Sonstige kurzfristige Rückstellungen (323, 32X, 451A, 459A, 45XA)</t>
  </si>
  <si>
    <t>Langfristige Verbindlichkeiten (Z. 095 bis 104)</t>
  </si>
  <si>
    <t>Langfristige Verbindlichkeiten aus Lieferungen und Leistungen  (479A)</t>
  </si>
  <si>
    <t>Nicht in Rechnung gestellte Lieferungen (476A)</t>
  </si>
  <si>
    <t>Langfristige Verbindlichkeiten gegenüber verbundenen Unternehmen (471A)</t>
  </si>
  <si>
    <t>Sonstige langfristige Verbindlichkeiten innerhalb des Konsolidierungskreises (471A)</t>
  </si>
  <si>
    <t>Langfristige erhaltene Anzahlungen (475A)</t>
  </si>
  <si>
    <t>Langfristige Wechsel zur Einlösung (478A)</t>
  </si>
  <si>
    <t>Emmitierte Schuldverschreibungen (473A, /-/255A)</t>
  </si>
  <si>
    <t>Verbindlichkeiten aus dem Sozialfonds (472)</t>
  </si>
  <si>
    <t>Sonstige langfristige Verbindlichkeiten 
(474A ,479A, 47XA, 372A, 373A, 377A)</t>
  </si>
  <si>
    <t>Latente Steuerverbindlichkeit (481A)</t>
  </si>
  <si>
    <t>Kurzfristige Verbindlichkeiten (Z. 107 bis 116)</t>
  </si>
  <si>
    <t>Kurzfristige Verbindlichkeiten aus Lieferungen und Leistungen  (321, 322, 324, 325, 32X, 475A, 478A, 479A, 47XA)</t>
  </si>
  <si>
    <t>Nicht in Rechnung gestellte Lieferungen (326, 476A)</t>
  </si>
  <si>
    <t>Verbindlichkeiten gegenüber verbundenen Unternehmen (361, 471A)</t>
  </si>
  <si>
    <t>Sonstige Verbindlichkeiten innerhalb des Konsolidierungskreises (361A, 36XA, 471A, 47XA)</t>
  </si>
  <si>
    <t>Verbindlichkeiten gegenüber Gesellschaftern, Mitgliedern und der Vereinigung (364, 365, 366, 367, 368, 398A, 478A, 479A)</t>
  </si>
  <si>
    <t>Verbindlichkeiten gegenüber Arbeitnehmern (331, 333, 33X, 479A)</t>
  </si>
  <si>
    <t>Verbindlichkeiten aus der Sozialversicherung (336, 479A)</t>
  </si>
  <si>
    <t>Steuerverbindlichkeiten und Zuwendungen (341, 342, 343, 345, 346, 347, 34X)</t>
  </si>
  <si>
    <t>Sonstige Verbindlichkeiten (372A, 373A, 377A, 379A, 474A, 479A, 47X)</t>
  </si>
  <si>
    <t>Kurzfristige finanzielle Ausleihungen (241, 249, 24x, 473A, /-/255A)</t>
  </si>
  <si>
    <t>Summe Bankdarlehen (Z. 119 und 120)</t>
  </si>
  <si>
    <t>Langfristige Bankdarlehen (461A, 46XA)</t>
  </si>
  <si>
    <t>Kurzfristige Bankdarlehen (221A, 231, 232, 23X, 461A, 46XA)</t>
  </si>
  <si>
    <t>Rechnungsabgrenzung (Z.122 bis 125)</t>
  </si>
  <si>
    <t>Langfristige Ausgaben künftiger Perioden (383A)</t>
  </si>
  <si>
    <t>Kurzfristige Ausgaben künftiger Perioden (383A)</t>
  </si>
  <si>
    <t>Langfristige Erträge künftiger Perioden (384A)</t>
  </si>
  <si>
    <t>Kurzfristige Erträge künftiger Perioden (384A)</t>
  </si>
  <si>
    <t xml:space="preserve">GEWINN- </t>
  </si>
  <si>
    <t>G. und V. Rechnung Úč POD 2 - 01</t>
  </si>
  <si>
    <t>UND VERLUSTRECHNUNG</t>
  </si>
  <si>
    <t>Stand</t>
  </si>
  <si>
    <t>Laufendes Jahr
1</t>
  </si>
  <si>
    <t>Vorjahr
2</t>
  </si>
  <si>
    <t>individuálnej účtovnej závierky</t>
  </si>
  <si>
    <t>zostavenej k</t>
  </si>
  <si>
    <t>UVPOD3_1</t>
  </si>
  <si>
    <t>Poznámky Úč POD 3 - 04</t>
  </si>
  <si>
    <t>v eurocentoch</t>
  </si>
  <si>
    <t>v celých eurách</t>
  </si>
  <si>
    <t>Podpisový záznam člena
štatutárneho orgánu účtovnej
jednotky alebo fyzickej osoby,
ktorá je účtovnou jednotkou:</t>
  </si>
  <si>
    <t>Podpisový záznam osoby
zodpovednej za vedenie
účtovníctva:</t>
  </si>
  <si>
    <t>Pohľadávky voči DÚJ a MÚJ</t>
  </si>
  <si>
    <t>Ostatné pohľadávky v rámci kons. celku</t>
  </si>
  <si>
    <t>Pohľadávky voči voči DÚJ a MÚJ</t>
  </si>
  <si>
    <t>Pohľadávky voči DÚJ a MÚJ</t>
  </si>
  <si>
    <t>Bežné účty v banke alebo v pobočke zahraničnej banky</t>
  </si>
  <si>
    <t>Vkladové účty v banke alebo v pobočke zahraničnej banky termínované</t>
  </si>
  <si>
    <t>Suma istiny v eurách za bežné účtovné obdobie</t>
  </si>
  <si>
    <t>Vplyv nevykázanej odloženej daňovej pohľadávky</t>
  </si>
  <si>
    <t>Zmena sadzby dane</t>
  </si>
  <si>
    <t>2.1</t>
  </si>
  <si>
    <t>Náklady voči audítorovi, audítorskej spoločnosti, z toho:</t>
  </si>
  <si>
    <t>Náklady voči audítorovi, audítorskej spoločnosti</t>
  </si>
  <si>
    <t>Informácie o ekonomických vzťahoch  medzi účtovnou jednotkou a spriaznenými osobami</t>
  </si>
  <si>
    <t>page</t>
  </si>
  <si>
    <r>
      <t>1.      </t>
    </r>
    <r>
      <rPr>
        <b/>
        <u/>
        <sz val="10"/>
        <color theme="1"/>
        <rFont val="Arial"/>
        <family val="2"/>
        <charset val="238"/>
      </rPr>
      <t>DESCRIPTION OF THE COMPANY</t>
    </r>
  </si>
  <si>
    <t>Its main activities are as follows:</t>
  </si>
  <si>
    <t>Information on the number of employees:</t>
  </si>
  <si>
    <t>Item</t>
  </si>
  <si>
    <t>Current accounting period</t>
  </si>
  <si>
    <t>Average number of employees</t>
  </si>
  <si>
    <t>Number of employees as at the balance sheet date, of whom:</t>
  </si>
  <si>
    <t>Managers</t>
  </si>
  <si>
    <t>Information on the structure of owners/shareholders as at the balance sheet date and on the structure of owners /shareholders up to its change during the accounting period:</t>
  </si>
  <si>
    <t>Owner/Shareholder</t>
  </si>
  <si>
    <t>Share in registered capital</t>
  </si>
  <si>
    <t>In absolute terms</t>
  </si>
  <si>
    <t>%</t>
  </si>
  <si>
    <t>Share in voting rights    %</t>
  </si>
  <si>
    <t>Other share in remaining items of equity and RC %</t>
  </si>
  <si>
    <t>Total</t>
  </si>
  <si>
    <r>
      <t>2.</t>
    </r>
    <r>
      <rPr>
        <b/>
        <sz val="7"/>
        <color theme="1"/>
        <rFont val="Times New Roman"/>
        <family val="1"/>
        <charset val="238"/>
      </rPr>
      <t xml:space="preserve">       </t>
    </r>
    <r>
      <rPr>
        <b/>
        <u/>
        <sz val="10"/>
        <color theme="1"/>
        <rFont val="Arial"/>
        <family val="2"/>
        <charset val="238"/>
      </rPr>
      <t>BASIS FOR PREPARATION OF THE FINANCIAL STATEMENTS</t>
    </r>
  </si>
  <si>
    <t xml:space="preserve">The financial statements were prepared in accordance with Act No. 431/2002 Coll. on Accounting as amended, on a going-concern basis and are presented as ordinary/extraordinary financial statements. </t>
  </si>
  <si>
    <t>a)    Non-Current Intangible assets</t>
  </si>
  <si>
    <t>Acquired, non-current intangible assets are stated at their acquisition cost, consisting of the purchase price and costs directly attributable to acquisition.</t>
  </si>
  <si>
    <t xml:space="preserve">Internally generated, non-current intangible assets are stated at their own costs, which include direct material and labour costs and production overheads (and/or a portion of administrative costs). </t>
  </si>
  <si>
    <t>Depreciation</t>
  </si>
  <si>
    <t>Estimated useful life</t>
  </si>
  <si>
    <t>Depreciation method</t>
  </si>
  <si>
    <t>Software</t>
  </si>
  <si>
    <t>Valuable rights</t>
  </si>
  <si>
    <t>In the event of a temporary diminution in the value in use of a non-current intangible asset, an impairment provision equal to the difference between their value in use and net book value is recognised.</t>
  </si>
  <si>
    <t>b)    Non-Current Tangible Assets</t>
  </si>
  <si>
    <t xml:space="preserve">Acquired, non-current tangible fixed assets are stated at their acquisition cost, which consists of purchase price, freight, customs duty and other costs directly attributable to acquisition. </t>
  </si>
  <si>
    <t xml:space="preserve">Internally generated, non-current tangible assets are stated at own costs, which include direct material and labour costs and production overheads (and/or a proportion of administrative costs). </t>
  </si>
  <si>
    <t>The costs of technical improvements to non-current tangible assets are capitalized. Repairs and maintenance costs are expensed as incurred.</t>
  </si>
  <si>
    <t>Non-current tangible assets are depreciated over their estimated useful life. The estimated useful life, depreciation method and depreciation rate for individual non-current tangible assets are as follows:</t>
  </si>
  <si>
    <t>Buildings</t>
  </si>
  <si>
    <t>Machines, tools and equipment</t>
  </si>
  <si>
    <t>Vehicles</t>
  </si>
  <si>
    <t>Other non-current tangible assets</t>
  </si>
  <si>
    <t>c)    Financial Assets</t>
  </si>
  <si>
    <t>d)    Inventory</t>
  </si>
  <si>
    <t xml:space="preserve">Receivables are stated at their nominal value. Receivables relinquished and receivables acquired through a contribution to registered capital are stated at acquisition cost. The carrying amount of doubtful receivables is reduced to their realizable value. </t>
  </si>
  <si>
    <t>Deferred expenses and accrued revenues are stated at their nominal amount and recognized on an accrual basis.</t>
  </si>
  <si>
    <t>Long-term and short-term liabilities are stated at their nominal value. Other liabilities also include the amounts identified in the valuation of financial derivatives at fair value.</t>
  </si>
  <si>
    <t>Long-term and short-term loans are stated at their nominal value. The portion of a long-term loan that is due within one year from the balance sheet date is stated as a short-term loan.</t>
  </si>
  <si>
    <t>Deferred revenues and accrued expenses are stated at their nominal value and recognized on an accrual basis.</t>
  </si>
  <si>
    <t xml:space="preserve">Equity consists of share capital, share premium, capital funds, revaluation reserve, legal reserve fund and profit/loss to be approved. </t>
  </si>
  <si>
    <t xml:space="preserve">Foreign currency transactions are translated into EUR using the reference foreign exchange rate pertaining on the date preceding the transaction, as determined and published by the European Central bank or the National Bank of Slovakia. </t>
  </si>
  <si>
    <t xml:space="preserve">Monetary assets and liabilities denominated in foreign currency are translated using the foreign exchange rate ruling at the balance sheet date. The foreign exchange gains and losses are recognized in the profit and loss account. </t>
  </si>
  <si>
    <t xml:space="preserve">Purchases and sales of foreign currency are translated into EUR using the foreign exchange rate pertaining when these amounts were purchased or sold.  </t>
  </si>
  <si>
    <t>Income tax expense is computed, using the valid tax rate, from accounting profit adjusted for permanent or temporary non-deductible expenses and income. Deferred taxes (deferred tax asset and deferred tax liability) relate to:</t>
  </si>
  <si>
    <t>Temporary differences between the carrying amount of assets and the carrying amount of liabilities shown on the balance sheet and their tax base,</t>
  </si>
  <si>
    <t>Tax losses available for carry-forwards, which can be offset against taxable profits in future periods,</t>
  </si>
  <si>
    <t>a)   Non-current intangible assets</t>
  </si>
  <si>
    <t>Non-current intangible assets</t>
  </si>
  <si>
    <t>Capitalized 
R &amp; D costs</t>
  </si>
  <si>
    <t>Other NIA</t>
  </si>
  <si>
    <t>NIA under construction</t>
  </si>
  <si>
    <t>Advance payments
for NIA</t>
  </si>
  <si>
    <t>Acquisition cost</t>
  </si>
  <si>
    <t>Opening balance</t>
  </si>
  <si>
    <t>Additions</t>
  </si>
  <si>
    <t>Disposals</t>
  </si>
  <si>
    <t>Transfers</t>
  </si>
  <si>
    <t>Closing balance</t>
  </si>
  <si>
    <t>Accumulated depreciation</t>
  </si>
  <si>
    <t>Provisions</t>
  </si>
  <si>
    <t>Net book value</t>
  </si>
  <si>
    <t>Immediately preceding accounting period</t>
  </si>
  <si>
    <t>Value for current accounting period</t>
  </si>
  <si>
    <t xml:space="preserve">Pledged non-current intangible assets </t>
  </si>
  <si>
    <t>Non-current intangible assets that are not at the accounting entity’s full disposal</t>
  </si>
  <si>
    <t>Land</t>
  </si>
  <si>
    <t>Plant and equipment</t>
  </si>
  <si>
    <t>Perennial crops</t>
  </si>
  <si>
    <t>Live-stock and draught animals</t>
  </si>
  <si>
    <t>Other NTA</t>
  </si>
  <si>
    <t>NTA under construction</t>
  </si>
  <si>
    <t>Advance payments for NTA</t>
  </si>
  <si>
    <t>Non-current tangible assets</t>
  </si>
  <si>
    <t>Non-current tangible assets that are not at the accounting entity's full disposal</t>
  </si>
  <si>
    <t>c)   Non-current financial assets</t>
  </si>
  <si>
    <t>Surplus, obsolete and slow-moving inventory is written down to its estimated net realizable value through provisions. Management determines a provision according to (description).</t>
  </si>
  <si>
    <t>Information on provisions for inventory:</t>
  </si>
  <si>
    <t>Inventory</t>
  </si>
  <si>
    <t>Opening balance 
of provisions</t>
  </si>
  <si>
    <t>Creation 
of provisions</t>
  </si>
  <si>
    <t>Release 
of provisions due to cease 
of justification</t>
  </si>
  <si>
    <t>Release 
of provisions due to disposal of asset from accounting books</t>
  </si>
  <si>
    <t>Closing balance 
of provisions</t>
  </si>
  <si>
    <t>Materials</t>
  </si>
  <si>
    <t>Work in progress and semi-finished products</t>
  </si>
  <si>
    <t>Finished goods</t>
  </si>
  <si>
    <t>Animals</t>
  </si>
  <si>
    <t>Merchandise</t>
  </si>
  <si>
    <t>Real estate held for sale</t>
  </si>
  <si>
    <t>Advance payments made for inventory</t>
  </si>
  <si>
    <t>Total inventory</t>
  </si>
  <si>
    <t>Inventory with established lien</t>
  </si>
  <si>
    <t>Inventory that are not at the accounting entity’s full disposal</t>
  </si>
  <si>
    <t>Information on provisions for receivables:</t>
  </si>
  <si>
    <t>Receivables</t>
  </si>
  <si>
    <t xml:space="preserve">Opening balance 
of provisions </t>
  </si>
  <si>
    <t>Release of provisions due to disposal of asset 
from accounting books</t>
  </si>
  <si>
    <t xml:space="preserve">Closing balance 
of provisions </t>
  </si>
  <si>
    <t>Trade receivables</t>
  </si>
  <si>
    <t>Receivables from subsidiary and parent company</t>
  </si>
  <si>
    <t>Other receivables within consolidated group</t>
  </si>
  <si>
    <t>Receivables from partners and consortium members</t>
  </si>
  <si>
    <t>Other receivables</t>
  </si>
  <si>
    <t xml:space="preserve">Total receivables </t>
  </si>
  <si>
    <t>Due</t>
  </si>
  <si>
    <t>Overdue</t>
  </si>
  <si>
    <t>Total receivables</t>
  </si>
  <si>
    <t>Long-term receivables</t>
  </si>
  <si>
    <t>Receivables from subsidiary 
and parent company</t>
  </si>
  <si>
    <t>Receivables from partners 
and consortium members</t>
  </si>
  <si>
    <t>Total long-term receivables</t>
  </si>
  <si>
    <t>Short-term receivables</t>
  </si>
  <si>
    <t>Social security receivables</t>
  </si>
  <si>
    <t>Tax receivables</t>
  </si>
  <si>
    <t xml:space="preserve">Total short-term receivables </t>
  </si>
  <si>
    <t>Information on receivables pledged by a lien or other form of security:</t>
  </si>
  <si>
    <t>Description of object of pledge</t>
  </si>
  <si>
    <t>Value of receivable</t>
  </si>
  <si>
    <t>Receivables pledged by lien or other form 
of security</t>
  </si>
  <si>
    <t>Value of pledged receivables</t>
  </si>
  <si>
    <t>Value of receivables that are not at full disposal</t>
  </si>
  <si>
    <t>Information on current financial assets:</t>
  </si>
  <si>
    <t>Immediately preceding 
accounting period</t>
  </si>
  <si>
    <t>Cash in hand, stamps and vouchers</t>
  </si>
  <si>
    <t>Current bank accounts</t>
  </si>
  <si>
    <t>Term deposits</t>
  </si>
  <si>
    <t>Cash in transit</t>
  </si>
  <si>
    <t>Information on significant items of accruals and prepayments:</t>
  </si>
  <si>
    <t>Deferred expenses – long-term, of which:</t>
  </si>
  <si>
    <t>Deferred expenses – short-term, of which:</t>
  </si>
  <si>
    <t>Accrued income – long-term, of which:</t>
  </si>
  <si>
    <t>Accrued income – short-term, of which:</t>
  </si>
  <si>
    <t>Accounting profit</t>
  </si>
  <si>
    <t>Distribution of accounting profit</t>
  </si>
  <si>
    <t>Contribution to legal reserve fund</t>
  </si>
  <si>
    <t>Contribution to statutory and other funds</t>
  </si>
  <si>
    <t>Contribution to social fund</t>
  </si>
  <si>
    <t>Contribution to share capital</t>
  </si>
  <si>
    <t>Settlement of losses from previous periods</t>
  </si>
  <si>
    <t>Transfer to retained earnings from previous years</t>
  </si>
  <si>
    <t xml:space="preserve">Payment of dividends </t>
  </si>
  <si>
    <t>Other</t>
  </si>
  <si>
    <t>Information on provisions:</t>
  </si>
  <si>
    <t>Long-term provisions, 
of which:</t>
  </si>
  <si>
    <t>Short-term provisions, 
of which:</t>
  </si>
  <si>
    <t>Creation</t>
  </si>
  <si>
    <t>Use</t>
  </si>
  <si>
    <t>Release</t>
  </si>
  <si>
    <t>Information on liabilities:</t>
  </si>
  <si>
    <t>Liabilities due within 1 year incl.</t>
  </si>
  <si>
    <t xml:space="preserve">Total current liabilities </t>
  </si>
  <si>
    <t>Liabilities due in 1 – 5 years</t>
  </si>
  <si>
    <t>Liabilities due over 5 years</t>
  </si>
  <si>
    <t xml:space="preserve">Total non-current liabilities </t>
  </si>
  <si>
    <t>Temporary differences between carrying amount of assets and their tax base, of which:</t>
  </si>
  <si>
    <t>deductible</t>
  </si>
  <si>
    <t>taxable</t>
  </si>
  <si>
    <t>Temporary differences between carrying amount of liabilities and their tax base, of which:</t>
  </si>
  <si>
    <t>Tax losses carried forward</t>
  </si>
  <si>
    <t>Unused tax credits</t>
  </si>
  <si>
    <t>Income tax rate (in %)</t>
  </si>
  <si>
    <t>Deferred tax asset</t>
  </si>
  <si>
    <t xml:space="preserve">Deferred tax asset recognized </t>
  </si>
  <si>
    <t>Recognised in equity</t>
  </si>
  <si>
    <t>Deferred tax liability</t>
  </si>
  <si>
    <t>Change in deferred tax liability</t>
  </si>
  <si>
    <t>Recognised as expense</t>
  </si>
  <si>
    <t>Opening balance of social fund</t>
  </si>
  <si>
    <t>Creation of social fund against expenses</t>
  </si>
  <si>
    <t>Creation of social fund from profit</t>
  </si>
  <si>
    <t xml:space="preserve">Other creation of social fund </t>
  </si>
  <si>
    <t xml:space="preserve">Total creation of social fund </t>
  </si>
  <si>
    <t>Use of social fund</t>
  </si>
  <si>
    <t>Closing balance of social fund</t>
  </si>
  <si>
    <t>Information on bank loans, interest-bearing borrowings and short-term financial borrowings:</t>
  </si>
  <si>
    <t>Currency</t>
  </si>
  <si>
    <t>Interest p.a. 
in %</t>
  </si>
  <si>
    <t>Maturity date</t>
  </si>
  <si>
    <t>Amount 
of principal 
in currency 
for current accounting period</t>
  </si>
  <si>
    <t>Amount 
of principal 
in currency 
for immediately preceding accounting period</t>
  </si>
  <si>
    <t>Amount 
of principal 
in EUR 
for current accounting period</t>
  </si>
  <si>
    <t>Long-term bank loans</t>
  </si>
  <si>
    <t>Information on significant items of accrued expenses and deferred income:</t>
  </si>
  <si>
    <t>Accrued expenses - long-term, of which:</t>
  </si>
  <si>
    <t>Accrued expenses - short-term, of which:</t>
  </si>
  <si>
    <t>Deferred income - long-term, of which:</t>
  </si>
  <si>
    <t>Deferred income - short-term, of which:</t>
  </si>
  <si>
    <t>Revenues</t>
  </si>
  <si>
    <t>Information on revenues:</t>
  </si>
  <si>
    <t>Territory</t>
  </si>
  <si>
    <t>Type of products and services (e.g. A)</t>
  </si>
  <si>
    <t>Type of products and services (e.g. B)</t>
  </si>
  <si>
    <t>Type of products and services (e.g. C)</t>
  </si>
  <si>
    <t xml:space="preserve">Details of changes in own inventory </t>
  </si>
  <si>
    <t>Information on changes in own inventory:</t>
  </si>
  <si>
    <t>Changes in inventory</t>
  </si>
  <si>
    <t>Closing 
balance</t>
  </si>
  <si>
    <t>Shortages and damage</t>
  </si>
  <si>
    <t>Representation costs</t>
  </si>
  <si>
    <t>Gifts</t>
  </si>
  <si>
    <t xml:space="preserve">Change of internal inventory </t>
  </si>
  <si>
    <r>
      <t>Significant items of capitalized costs, of which:</t>
    </r>
    <r>
      <rPr>
        <sz val="8"/>
        <color theme="1"/>
        <rFont val="Arial"/>
        <family val="2"/>
        <charset val="238"/>
      </rPr>
      <t> </t>
    </r>
  </si>
  <si>
    <t>Other significant items of operating income, of which:</t>
  </si>
  <si>
    <t>Financial income, of which:</t>
  </si>
  <si>
    <t>Exchange rate gains, of which:</t>
  </si>
  <si>
    <t>Exchange rate gains as at balance sheet date</t>
  </si>
  <si>
    <t>Other significant items of financial income, of which:</t>
  </si>
  <si>
    <t>Extraordinary income, of which:</t>
  </si>
  <si>
    <t>Information on net turnover:</t>
  </si>
  <si>
    <t>Revenues from own products</t>
  </si>
  <si>
    <t>Revenues from services provided</t>
  </si>
  <si>
    <t>Revenues from merchandise</t>
  </si>
  <si>
    <t>Revenues from construction contracts</t>
  </si>
  <si>
    <t>Revenues from real estate held for sale</t>
  </si>
  <si>
    <t>Other income related to ordinary activities</t>
  </si>
  <si>
    <t>Total net turnover</t>
  </si>
  <si>
    <t>Expenses</t>
  </si>
  <si>
    <t>Information on expenses:</t>
  </si>
  <si>
    <t>Cost of services provided, of which:</t>
  </si>
  <si>
    <t>Costs related to auditor, audit company, of which:</t>
  </si>
  <si>
    <t>Other significant items of operating expenses, of which:</t>
  </si>
  <si>
    <t>Financial expenses, of which:</t>
  </si>
  <si>
    <t>Exchange rate losses, of which:</t>
  </si>
  <si>
    <t>Exchange rate losses as at balance sheet date</t>
  </si>
  <si>
    <t>Other significant items of financial expenses, of which:</t>
  </si>
  <si>
    <t>costs related to the audit of financial statements</t>
  </si>
  <si>
    <t>other assurance services</t>
  </si>
  <si>
    <t>related audit services</t>
  </si>
  <si>
    <t>tax advisory</t>
  </si>
  <si>
    <t>other non-audit services</t>
  </si>
  <si>
    <t xml:space="preserve">Information on income tax: </t>
  </si>
  <si>
    <t>Tax base</t>
  </si>
  <si>
    <t>Tax</t>
  </si>
  <si>
    <t>Tax in %</t>
  </si>
  <si>
    <t>Profit/loss before tax, of which:</t>
  </si>
  <si>
    <t xml:space="preserve">Theoretical tax </t>
  </si>
  <si>
    <t>Tax non-deductible expenses</t>
  </si>
  <si>
    <t>Non-taxed income</t>
  </si>
  <si>
    <t>Change in tax rate</t>
  </si>
  <si>
    <t>Current income tax</t>
  </si>
  <si>
    <t>Deferred income tax</t>
  </si>
  <si>
    <t>Total income tax</t>
  </si>
  <si>
    <t>Data on income and remuneration of members of statutory bodies, supervisory bodies, and other bodies of the accounting entity</t>
  </si>
  <si>
    <t>Information on economic relations between the accounting entity and related parties:</t>
  </si>
  <si>
    <t>Related party</t>
  </si>
  <si>
    <t>Transaction 
type (code)</t>
  </si>
  <si>
    <t>Transaction value</t>
  </si>
  <si>
    <t xml:space="preserve">Immediately preceding accounting period                                  </t>
  </si>
  <si>
    <t>Share capital</t>
  </si>
  <si>
    <t>Change in share capital</t>
  </si>
  <si>
    <t>Receivables for subscribed share capital</t>
  </si>
  <si>
    <t>Share premium</t>
  </si>
  <si>
    <t>Other capital funds</t>
  </si>
  <si>
    <t>Legal reserve fund (non-distributable fund) from capital contributions</t>
  </si>
  <si>
    <t>Revaluation reserve for mergers and de-mergers</t>
  </si>
  <si>
    <t>Retained earnings from previous years</t>
  </si>
  <si>
    <t>Accumulated loss from previous years</t>
  </si>
  <si>
    <t>Profit or loss for current accounting period</t>
  </si>
  <si>
    <t>Short-term bank loans</t>
  </si>
  <si>
    <t>Zaúčtovaná  ako náklad</t>
  </si>
  <si>
    <t>Recognised in expenses</t>
  </si>
  <si>
    <t>Value of object of the pledge</t>
  </si>
  <si>
    <t>Impact of non-disclosed deferred tax asset</t>
  </si>
  <si>
    <t>b)   Non-current tangible assets</t>
  </si>
  <si>
    <t>Informácie o záväzkoch zo sociálneho fondu</t>
  </si>
  <si>
    <t>Information on liabilities from social fund:</t>
  </si>
  <si>
    <t>Stav na začiatku účtovného obdobia</t>
  </si>
  <si>
    <t>Oceňovacie rozdiely z precenenia majetku a záväzkov</t>
  </si>
  <si>
    <t xml:space="preserve">Notes Úč POD 3 - 04 </t>
  </si>
  <si>
    <t>NOTES</t>
  </si>
  <si>
    <t>to the Financial Statements</t>
  </si>
  <si>
    <t>Directly</t>
  </si>
  <si>
    <t>preceding</t>
  </si>
  <si>
    <t>Municipality name</t>
  </si>
  <si>
    <t xml:space="preserve"> Prepared on:</t>
  </si>
  <si>
    <t xml:space="preserve"> Approved on:</t>
  </si>
  <si>
    <t>interim</t>
  </si>
  <si>
    <t>in eurocents</t>
  </si>
  <si>
    <t>in euros</t>
  </si>
  <si>
    <t>(mark with x)</t>
  </si>
  <si>
    <t>prepared as at</t>
  </si>
  <si>
    <t>ZIP code</t>
  </si>
  <si>
    <t>Furniture and fixtures</t>
  </si>
  <si>
    <t>Liabilities overdue</t>
  </si>
  <si>
    <t>Equity Items</t>
  </si>
  <si>
    <t>Pledged non-current tangible assets</t>
  </si>
  <si>
    <t>Property insurance</t>
  </si>
  <si>
    <t>Information on inventory pledges as security or inventory that is not at the entity’s full disposal:</t>
  </si>
  <si>
    <t>Pohľadávky sa oceňujú menovitou hodnotou. Postúpené pohľadávky a pohľadávky nadobudnuté vkladom do základného imania sa oceňujú obstarávacou cenou. Ocenenie pochybných pohľadávok sa upravuje na ich realizovateľnú  hodnotu  opravnými  položkami.</t>
  </si>
  <si>
    <t>Výsledok hospodárenia z bežnej činnosti pred zdanením daňou z príjmov (+/-)</t>
  </si>
  <si>
    <t>Nepeňažné operácie ovplyvňujúce výsledok hospodárenia z bežnej činnosti pred zdanením daňou z príjmov (súčet A.1.1. až A.1.13) (+/-)</t>
  </si>
  <si>
    <t>Odpisy dlhodobého nehmotného majetku a dlhodobého hmotného majetku (+)</t>
  </si>
  <si>
    <t>Zostatková hodnota dlhodobého nehmotného majetku a dlhodobého hmotného majetku účtovaná pri vyradení tohto majetku do nákladov na bežnú činnosť, s výnimkou jeho predaja (+)</t>
  </si>
  <si>
    <t>Odpis opravnej položky k nadobudnutému majetku (+/-)</t>
  </si>
  <si>
    <t>Zmena stavu dlhodobých rezerv (+/-)</t>
  </si>
  <si>
    <t>Zmena stavu opravných položiek (+/-)</t>
  </si>
  <si>
    <t>Zmena stavu položiek časového rozlíšenia nákladov a výnosov (+/-)</t>
  </si>
  <si>
    <t>Dividendy a iné podiely na zisku účtované do výnosov (-)</t>
  </si>
  <si>
    <t>Úroky účtované do nákladov (+)</t>
  </si>
  <si>
    <t>Úroky účtované do výnosov (-)</t>
  </si>
  <si>
    <t>Kurzový zisk vyčíslený k peňažným prostriedkom a peňažným ekvivalentom ku dňu, ku ktorému sa zostavuje účtovná závierka (-)</t>
  </si>
  <si>
    <t>Kurzová strata vyčíslená k peňažným prostriedkom a peňažným ekvivalentom ku dňu, ku ktorému sa zostavuje účtovná závierka (+)</t>
  </si>
  <si>
    <t>Výsledok z predaja dlhodobého majetku, s výnimkou majetku, ktorý sa považuje za peňažný ekvivalent (+/-)</t>
  </si>
  <si>
    <t>Ostatné položky nepeňažného charakteru, ktoré ovplyvňujú výsledok hospodárenia z bežnej činnosti s výnimkou tých, ktoré sa uvádzajú osobitne v iných častiach prehľadu peňažných tokov (+/-)</t>
  </si>
  <si>
    <t>Vplyv zmien stavu pracovného kapitálu (rozdiel medzi obežným majetkom a krátkodobými záväzkami s výnimkou položiek obežného majetku, ktoré sú súčasťou peňažných prostriedkov a peňažných ekvivalentov) na výsledok hospodárenia z bežnej činnosti</t>
  </si>
  <si>
    <t>Zmena stavu pohľadávok z prevádzkovej činnosti (-/+)</t>
  </si>
  <si>
    <t>Zmena stavu záväzkov z prevádzkovej činnosti (+/-)</t>
  </si>
  <si>
    <t>Zmena stavu zásob (-/+)</t>
  </si>
  <si>
    <t xml:space="preserve">Zmena stavu krátkodobého finančného majetku, s výnimkou majetku, ktorý je súčasťou peňažných prostriedkov a peňažných ekvivalentov (-/+) </t>
  </si>
  <si>
    <t>Peňažné toky z prevádzkovej činnosti s výnimkou príjmov a výdavkov, ktoré sa uvádzajú osobitne v iných častiach prehľadu peňažných tokov (+/-), (súčet Z/S+A.1.+A.2.)</t>
  </si>
  <si>
    <t>Prijaté úroky s výnimkou tých, ktoré sa začleňujú do investičnej činnosti (+)</t>
  </si>
  <si>
    <t>Výdavky na zaplatené úroky s výnimkou tých, ktoré sa začleňujú do finančnej činnosti (-)</t>
  </si>
  <si>
    <t>Príjmy z dividend a iných podielov na zisku (+)</t>
  </si>
  <si>
    <t>Výdavky na vyplatené dividendy a iné podiely na zisku s výnimkou tých, ktoré sa začleňujú do investičnej činnosti (-)</t>
  </si>
  <si>
    <t>Peňažné toky z prevádzkovej činnosti (+/-) (súčet Z/S + A.1. až A.6.)</t>
  </si>
  <si>
    <t>Výdavky na daň z príjmov účtovnej jednotky s výnimkou tých, ktoré sa začleňujú do investičných činností alebo finančných činností (-/+)</t>
  </si>
  <si>
    <t>Príjmy mimoriadneho charakteru vzťahujúce sa na prevádzkovú činnosť (+)</t>
  </si>
  <si>
    <t>Výdavky mimoriadneho charakteru vzťahujúce sa na prevádzkovú činnosť (-)</t>
  </si>
  <si>
    <t>Čisté peňažné toky z prevádzkovej činnosti (+/-) (súčet Z/S + A.1. až A.9.)</t>
  </si>
  <si>
    <t>B.20.</t>
  </si>
  <si>
    <t>Peňažné toky z investičnej činnosti</t>
  </si>
  <si>
    <t>Výdavky na obstaranie dlhodobého nehmotného majetku (-)</t>
  </si>
  <si>
    <t>Výdavky na obstaranie dlhodobého hmotného majetku (-)</t>
  </si>
  <si>
    <t>Výdavky na obstaranie dlhodobých cenných papierov a podielov v iných účtovných jednotkách, s výnimkou cenných papierov, ktoré sa považujú za peňažné ekvivalenty a cenných papierov určených na predaj alebo na obchodovanie (-)</t>
  </si>
  <si>
    <t>Príjmy z predaja dlhodobého nehmotného majetku (+)</t>
  </si>
  <si>
    <t>Príjmy z predaja dlhodobého hmotného majetku (+)</t>
  </si>
  <si>
    <t>Príjmy z predaja dlhodobých cenných papierov a podielov v iných účtovných jednotkách, s výnimkou cenných papierov, ktoré sa považujú za peňažné ekvivalenty a cenných papierov určených na predaj alebo na obchodovanie (+)</t>
  </si>
  <si>
    <t>Výdavky na dlhodobé pôžičky poskytnuté účtovnou jednotkou inej účtovnej jednotke, ktorá je súčasťou konsolidovaného celku (-)</t>
  </si>
  <si>
    <t>Príjmy zo splácania dlhodobých pôžičiek poskytnutých účtovnou jednotkou inej účtovnej jednotke, ktorá je súčasťou konsolidovaného celku (+)</t>
  </si>
  <si>
    <t>Výdavky na dlhodobé pôžičky poskytnuté účtovnou jednotkou tretím osobám s výnimkou dlhodobých pôžičiek poskytnutých účtovnej jednotke, ktorá je súčasťou konsolidovaného celku (-)</t>
  </si>
  <si>
    <t>Príjmy zo splácania pôžičiek poskytnutých účtovnou jednotkou tretím osobám, s výnimkou pôžičiek poskytnutých účtovnej jednotke, ktorá je súčasťou konsolidovaného celku (+)</t>
  </si>
  <si>
    <t>Príjmy z prenájmu súboru hnuteľného a nehnuteľného majetku používaného a odpisovaného nájomcom (+)</t>
  </si>
  <si>
    <t>Prijaté úroky s výnimkou tých, ktoré sa začleňujú do prevádzkových činností (+)</t>
  </si>
  <si>
    <t>Príjmy z dividend a iných podielov na zisku s výnimkou tých, ktoré sa začleňujú do prevádzkových činností (+)</t>
  </si>
  <si>
    <t>Výdavky súvisiace s derivátmi s výnimkou, ak sú určené na predaj alebo na obchodovanie alebo ak sa tieto výdavky považujú za peňažné toky z finančnej činnosti (-)</t>
  </si>
  <si>
    <t>Príjmy súvisiace s derivátmi s výnimkou, ak sú určené na predaj alebo na obchodovanie alebo ak sa tieto výdavky považujú za peňažné toky z finančnej činnosti (-)</t>
  </si>
  <si>
    <t>Výdavky na daň z príjmov účtovnej jednotky, ak je ju možné začleniť do investičných činností (-)</t>
  </si>
  <si>
    <t>Príjmy mimoriadneho charakteru vzťahujúce sa na investičnú činnosť (+)</t>
  </si>
  <si>
    <t>Výdavky mimoriadneho charakteru vzťahujúce sa na investičnú činnosť (-)</t>
  </si>
  <si>
    <t>Ostatné príjmy vzťahujúce sa na investičnú činnosť (+)</t>
  </si>
  <si>
    <t>Ostatné výdavky vzťahujúce sa na investičnú činnosť (-)</t>
  </si>
  <si>
    <t>Čisté peňažné toky z investičnej činnosti (súčet B.1. až B.20.)</t>
  </si>
  <si>
    <t>C.2.10.</t>
  </si>
  <si>
    <t>Peňažné toky z finančnej činnosti</t>
  </si>
  <si>
    <t>Peňažné toky vo vlastnom imaní (súčet C.1.1. až C.1.8.)</t>
  </si>
  <si>
    <t>Príjmy z upísaných akcií a obchodných podielov (+)</t>
  </si>
  <si>
    <t>Príjmy z ďalších vkladov do vlastného imania spoločníkmi alebo fyzickou osobou, ktorá je účtovnou jednotkou (+)</t>
  </si>
  <si>
    <t>Prijaté peňažné dary (+)</t>
  </si>
  <si>
    <t>Príjmy z úhrady straty spoločníkmi (+)</t>
  </si>
  <si>
    <t>Výdavky na obstaranie alebo spätné odkúpenie vlastných akcií a vlastných obchodných podielov (-)</t>
  </si>
  <si>
    <t>Výdavky spojené so znížením fondov vytvorených účtovnou jednotkou (-)</t>
  </si>
  <si>
    <t>Výdavky na vyplatenie podielu na vlastnom imaní spoločníkmi účtovnej jednotky a fyzickou osobou, ktorá je účtovnou jednotkou (-)</t>
  </si>
  <si>
    <t>Výdavky z iných dôvodov, ktoré súvisia so znížením vlastného imania (-)</t>
  </si>
  <si>
    <t>Peňažné toky vznikajúce z dlhodobých záväzkov a krátkodobých záväzkov z finančnej činnosti</t>
  </si>
  <si>
    <t>Príjmy z emisie dlhových cenných papierov (+)</t>
  </si>
  <si>
    <t>Výdavky na úhradu záväzkov z dlhových cenných papierov (-)</t>
  </si>
  <si>
    <t>Príjmy z úverov, ktoré účtovnej jednotke poskytla banka alebo pobočka zahraničnej banky s výnimkou úverov, ktoré boli poskytnuté na zabezpečenie hlavného predmetu činnosti (+)</t>
  </si>
  <si>
    <t>Výdavky na splácanie úverov, ktoré účtovnej jednotke poskytla banka alebo pobočka zahraničnej banky s výnimkou úverov, ktoré boli poskytnuté na zabezpečenie hlavného predmetu činnosti (-)</t>
  </si>
  <si>
    <t>Príjmy z prijatých pôžičiek (+)</t>
  </si>
  <si>
    <t>Výdavky na splácanie pôžičiek (-)</t>
  </si>
  <si>
    <t>Výdavky na úhradu záväzkov z používania majetku, ktorý je predmetom zmluvy o kúpe prenajatej veci (-)</t>
  </si>
  <si>
    <t>Výdavky na úhradu záväzkov za prenájom súboru hnuteľného majetku a nehnuteľného majetku používaného a odpisovaného nájomcom (-)</t>
  </si>
  <si>
    <t>Príjmy z ostatných dlhodobých záväzkov a krátkodobých záväzkov vyplývajúcich z finančnej činnosti účtovnej jednotky s výnimkou tých, ktoré sa uvádzajú osobitne v inej časti prehľadu peňažných tokov (+)</t>
  </si>
  <si>
    <t>Výdavky na splácanie ostatných dlhodobých záväzkov a krátkodobých záväzkov vyplývajúcich z finančnej činnosti účtovnej jednotky s výnimkou tých, ktoré sa uvádzajú osobitne v inej časti prehľadu peňažných tokov (-)</t>
  </si>
  <si>
    <t>Výdavky na zaplatené úroky s výnimkou tých, ktoré sa začleňujú do prevádzkových činností (-)</t>
  </si>
  <si>
    <t>Výdavky na vyplatené dividendy a iné podiely na zisku s výnimkou tých, ktoré sa začleňujú do prevádzkových činností (-)</t>
  </si>
  <si>
    <t>Výdavky súvisiace s derivátmi, s výnimkou, ak sú určené na predaj alebo na obchodovanie alebo ak sa považujú za peňažné toky z investičnej činnosti (-)</t>
  </si>
  <si>
    <t>Príjmy súvisiace s derivátmi, s výnimkou, ak sú určené na predaj alebo na obchodovanie alebo na obchodovanie alebo ak sa považujú za peňažné toky z investičnej činnosti (+)</t>
  </si>
  <si>
    <t>Výdavky na daň z príjmov účtovnej jednotky, ak ich možno začleniť do finančných činností (-)</t>
  </si>
  <si>
    <t>Príjmy mimoriadneho charakteru vzťahujúce sa na finančnú činnosť (+)</t>
  </si>
  <si>
    <t>Výdavky mimoriadneho charakteru vzťahujúce sa na finančnú činnosť (-)</t>
  </si>
  <si>
    <t>Čisté zvýšenie alebo čisté zníženie peňažných prostriedkov a peňažných ekvivalentov (+/-) (súčet A+B+C)</t>
  </si>
  <si>
    <t>Stav peňažných prostriedkov a peňažných ekvivalentov na začiatku účtovného obdobia</t>
  </si>
  <si>
    <t>Stav peňažných prostriedkov a peňažných ekvivalentov na konci účtovného obdobia pred zohľadnením kurzových rozdielov vyčíslených ku dňu, ku ktorému sa zostavuje účtovná závierka</t>
  </si>
  <si>
    <t>Kurzové rozdiely vyčíslené k peňažným prostriedkom a peňažným ekvivalentom  ku dňu, ku ktorému sa zostavuje účtovná závierka (+/-)</t>
  </si>
  <si>
    <t>Zostatok peňažných prostriedkov a peňažných ekvivalentov na konci účtovného obdobia upravený o kurzové rozdiely vyčíslené ku dňu, ku ktorému sa zostavuje účtovná závierka (+/-)</t>
  </si>
  <si>
    <t>Descri-ption</t>
  </si>
  <si>
    <t>Actual amount in EUR</t>
  </si>
  <si>
    <t>Current acc.</t>
  </si>
  <si>
    <t>Previous acc.</t>
  </si>
  <si>
    <t>Cash flows from operating activities</t>
  </si>
  <si>
    <t>Profit/loss from ordinary activities before taxation (+/-)</t>
  </si>
  <si>
    <t>Depreciation of intangible and tangible fixed assets (+)</t>
  </si>
  <si>
    <t>Net book value of intangible and tangible fixed assets recorded after disposal of such assets and charged to expenses for ordinary activities except for the sale (+)</t>
  </si>
  <si>
    <r>
      <t>Write-off of the provisions for acquired assets</t>
    </r>
    <r>
      <rPr>
        <vertAlign val="superscript"/>
        <sz val="14"/>
        <rFont val="Arial"/>
        <family val="2"/>
        <charset val="238"/>
      </rPr>
      <t xml:space="preserve"> </t>
    </r>
    <r>
      <rPr>
        <sz val="14"/>
        <rFont val="Arial"/>
        <family val="2"/>
        <charset val="238"/>
      </rPr>
      <t>(+/-)</t>
    </r>
  </si>
  <si>
    <t>Change in long-term provisions for liabilities (+/-)</t>
  </si>
  <si>
    <t>Change in provisions for assets (+/-)</t>
  </si>
  <si>
    <t>Change in expense and revenues accruals (+/-)</t>
  </si>
  <si>
    <t>Dividends and other profit sharing charged to revenues (-)</t>
  </si>
  <si>
    <t>Interest expense (+)</t>
  </si>
  <si>
    <t>Interest income (-)</t>
  </si>
  <si>
    <t>Foreign exchange gains from cash and cash equivalents at the balance sheet date (-)</t>
  </si>
  <si>
    <t>Foreign exchange losses from cash and cash equivalents at the balance sheet date (+)</t>
  </si>
  <si>
    <t>A.1.12</t>
  </si>
  <si>
    <r>
      <t>Profit/loss on sale of fixed assets except for those considered cash equivalents</t>
    </r>
    <r>
      <rPr>
        <vertAlign val="superscript"/>
        <sz val="14"/>
        <rFont val="Arial"/>
        <family val="2"/>
        <charset val="238"/>
      </rPr>
      <t xml:space="preserve"> </t>
    </r>
    <r>
      <rPr>
        <sz val="14"/>
        <rFont val="Arial"/>
        <family val="2"/>
        <charset val="238"/>
      </rPr>
      <t>(+/-)</t>
    </r>
  </si>
  <si>
    <t>A.1.13</t>
  </si>
  <si>
    <t>Other items of non-cash nature which effect profit/loss from ordinary activities except for those which are listed separately in other sections of the cash flow statement (+/-)</t>
  </si>
  <si>
    <t>Effect of changes in working capital (the difference between current assets and current liabilities excluding current asset items which are part of cash and cash equivalents) on profit/loss from ordinary activities</t>
  </si>
  <si>
    <t>Change in receivables from operations (-/+)</t>
  </si>
  <si>
    <t>Change in payables from operations(+/-)</t>
  </si>
  <si>
    <t>Change in inventories (-/+)</t>
  </si>
  <si>
    <t xml:space="preserve">Change in current financial assets except for those included in cash and cash equivalents (-/+) </t>
  </si>
  <si>
    <t>Cash flow from operating activities except for income and expenditure which are listed separately in other sections of the cash flow statement (+/-), (sum of Z/S + A.1.+ A.2.)</t>
  </si>
  <si>
    <t>Interest received except for that included in investment activities (+)</t>
  </si>
  <si>
    <t>Interest paid except for that included in financing activities (-)</t>
  </si>
  <si>
    <t>Dividends and other profit sharing received (+)</t>
  </si>
  <si>
    <t>Dividends and other profit sharing paid except for those included in investment activities (-)</t>
  </si>
  <si>
    <t xml:space="preserve">Cash flow from operating activities (+/-) (sum of Z/S + A.1. to A.6.) </t>
  </si>
  <si>
    <t xml:space="preserve">Income tax paid except for that included in investment or financing activities (-/+)
</t>
  </si>
  <si>
    <t>Extraordinary income related to operations (+)</t>
  </si>
  <si>
    <t>Extraordinary expenditure related to operations (-)</t>
  </si>
  <si>
    <t>Net cash flow from operating activities (+/-) (sum of Z/S + A.1. to A.9.)</t>
  </si>
  <si>
    <t>Cash flow from investment activities</t>
  </si>
  <si>
    <t>Expenditure for acquisition of intangible fixed assets (-)</t>
  </si>
  <si>
    <t>Expenditure for acquisition of tangible fixed assets (-)</t>
  </si>
  <si>
    <t>Expenditure for acquisition of long-term securities and shares in other entities except for securities which are considered cash equivalents and securities available for sale or trading securities (-)</t>
  </si>
  <si>
    <t>Income on sale of intangible fixed assets (+)</t>
  </si>
  <si>
    <t>Income on sale of tangible fixed assets (+)</t>
  </si>
  <si>
    <t>Income on sale of long-term securities and shares in other entities except for securities which are considered cash equivalents and securities available for sale or trading securities (+)</t>
  </si>
  <si>
    <t>Expenditure for non-current borrowings provided by the entity to another entity that is a member of the consolidation group (-)</t>
  </si>
  <si>
    <t>B.8.</t>
  </si>
  <si>
    <t>Income on the repayment of non-current borrowings provided by the entity to another entity that is a member of the consolidation group (+)</t>
  </si>
  <si>
    <t>Expenditure for non-current borrowings provided by the entity to third parties except for non-current borrowings provided to the entity that is included in the consolidation group (-)</t>
  </si>
  <si>
    <t>B.11.</t>
  </si>
  <si>
    <t>Income on lease of complex movable and immovable assets used and depreciated by the lessee (+)</t>
  </si>
  <si>
    <t>Interest received except for that included in operating activities (+)</t>
  </si>
  <si>
    <t>Dividends and other profit sharing received except for those included in operating activities (+)</t>
  </si>
  <si>
    <t>Expenditures related to derivatives except for those which are available for sale or trading, or are considered cash flow from financing activities (-)</t>
  </si>
  <si>
    <t>Income related to derivatives except for those which are available for sale or trading, or are considered cash flow from financing activities (-)</t>
  </si>
  <si>
    <t>Income tax paid where includable in investment activity (-)</t>
  </si>
  <si>
    <t>Extraordinary income related to investment activity (+)</t>
  </si>
  <si>
    <t>Extraordinary expenditures related to investment activity (-)</t>
  </si>
  <si>
    <t>Other income related to investment activity (+)</t>
  </si>
  <si>
    <t>Other expenditures related to investment activity (-)</t>
  </si>
  <si>
    <t>Net cash flow from investment activities (sum of B.1. to B.20.)</t>
  </si>
  <si>
    <t>Cash flows from financing activities</t>
  </si>
  <si>
    <t>Cash flows in equity (sum of C.1.1. to C.1.8.)</t>
  </si>
  <si>
    <t>Income on shares subscribed and ownership interests (+)</t>
  </si>
  <si>
    <t>Income on other capital stakes owned by partners or individuals (+)</t>
  </si>
  <si>
    <t>Monetary gifts received (+)</t>
  </si>
  <si>
    <t>Income on loss settlement by partners (+)</t>
  </si>
  <si>
    <t>C.1.5.</t>
  </si>
  <si>
    <t>Expenditure for acquisition or repurchase of own shares and own ownership interests (-)</t>
  </si>
  <si>
    <t>Expenditure relating to decrease of funds created by the entity (-)</t>
  </si>
  <si>
    <t>Expenditure for repayment of capital stakes to entity's partners and individuals (-)</t>
  </si>
  <si>
    <t>Any other expenditure that relates to a decrease in equity (-)</t>
  </si>
  <si>
    <t>Cash flows arising from long-term and short-term payables from  financing activities</t>
  </si>
  <si>
    <t>Income on issue of debt securities (+)</t>
  </si>
  <si>
    <t>Repayment of payables from debt securities (-)</t>
  </si>
  <si>
    <t>Income on loans from banks except for those provided for main business activities (+)</t>
  </si>
  <si>
    <t>Repayment of loans from banks except for those provided for main business activities (-)</t>
  </si>
  <si>
    <t>Income on borrowings received (+)</t>
  </si>
  <si>
    <t>Repayment of borrowings(-)</t>
  </si>
  <si>
    <t>Repayment of payables from assets subject to a leased assets purchase contract (-)</t>
  </si>
  <si>
    <t>Repayment of payables arising from the lease of complex, movable and immovable assets used and depreciated by a lessee (-)</t>
  </si>
  <si>
    <t>Income on other long-term and short-term payables resulting from financing activities of the entity except for those which are listed separately in other sections of the cash flow statement (+)</t>
  </si>
  <si>
    <t>Repayment of other long-term and short-term payables resulting from financing activities of the entity except for those which are listed separately in other sections of the cash flow statement (-)</t>
  </si>
  <si>
    <t>Interest paid except for that included in operating activities (-)</t>
  </si>
  <si>
    <t>Dividends paid and other profit sharing except for those included in operating activities (-)</t>
  </si>
  <si>
    <t>Expenditures related to derivatives except for those which are available for sale or trading, or are considered cash flow from investment activities (-)</t>
  </si>
  <si>
    <t>Income related to derivatives except for those which are available for sale or trading, or are considered cash flow from investment activities (+)</t>
  </si>
  <si>
    <t>Income tax paid where includable in financing activities (-)</t>
  </si>
  <si>
    <t>Extraordinary income related to financing activities (+)</t>
  </si>
  <si>
    <t>Extraordinary expenditures related to financing activities (-)</t>
  </si>
  <si>
    <t>Net cash flows from financing activities</t>
  </si>
  <si>
    <t>Net increase or net decrease of cash and cash equivalents (+/-) (aggregate A+B+C)</t>
  </si>
  <si>
    <t>Cash and cash equivalents at the beginning of the accounting period</t>
  </si>
  <si>
    <t>Cash and cash equivalents at the end of the accounting period before foreign exchange gains/losses calculated at the balance sheet date</t>
  </si>
  <si>
    <t>Foreign exchange gains/losses for cash and cash equivalents at the balance sheet date (+/-)</t>
  </si>
  <si>
    <t>Cash and cash equivalents at the end of the accounting period adjusted for foreign exchange gains/losses calculated at the balance sheet date (+/-)</t>
  </si>
  <si>
    <t>Ozna-čenie</t>
  </si>
  <si>
    <t>Skutočnosť v EUR</t>
  </si>
  <si>
    <t>Bežné účtovné</t>
  </si>
  <si>
    <t>Minulé účtovné</t>
  </si>
  <si>
    <t>Peňažné toky z prevádzkovej činnosti</t>
  </si>
  <si>
    <t>Income on the repayment of non-current borrowings provided by the entity to third parties (+)</t>
  </si>
  <si>
    <t>Profit or loss from current period after tax /+-/
l. 001 - (068 + 073 + 080 + 084 + 088 + 121)</t>
  </si>
  <si>
    <t>Long-term advance payments received (475A)</t>
  </si>
  <si>
    <t>Accruals long-term (383A)</t>
  </si>
  <si>
    <t>Accruals short-term (383A)</t>
  </si>
  <si>
    <t>Deferred income long-term (384A)</t>
  </si>
  <si>
    <t>Deferred income short-term (384A)</t>
  </si>
  <si>
    <t>Revenues from merchandise (604)</t>
  </si>
  <si>
    <t>Numbers should be justified to the right, other data is justified to the left. Unused rows must be left blank.</t>
  </si>
  <si>
    <t>UZPODv14_1</t>
  </si>
  <si>
    <t>Úč POD</t>
  </si>
  <si>
    <t>ÚČTOVNÁ ZÁVIERKA</t>
  </si>
  <si>
    <t>podnikateľov v podvojnom účtovníctve</t>
  </si>
  <si>
    <t>zostavená k</t>
  </si>
  <si>
    <t>Účtovná jednotka</t>
  </si>
  <si>
    <t>malá</t>
  </si>
  <si>
    <t>veľká</t>
  </si>
  <si>
    <t>Priložené súčasti účtovnej závierky</t>
  </si>
  <si>
    <t>Súvaha (Úč POD 1-01)</t>
  </si>
  <si>
    <t>Výkaz ziskov a strát (Úč POD 2-01)</t>
  </si>
  <si>
    <t>Poznámky (Úč POD 3-01)</t>
  </si>
  <si>
    <t>(v celých eurách alebo eurocentoch)</t>
  </si>
  <si>
    <t>Accounting entity size:</t>
  </si>
  <si>
    <t>large</t>
  </si>
  <si>
    <t>small</t>
  </si>
  <si>
    <t>Financial statements contain :</t>
  </si>
  <si>
    <t>Income statement</t>
  </si>
  <si>
    <t>Notes</t>
  </si>
  <si>
    <t>Podpisový záznam štatutárneho orgánu účtovnej jednotky alebo člena štatutárneho orgánu účtovnej jednotky alebo podpisový záznam fyzickej osoby, ktorá je účtovnou jednotkou:</t>
  </si>
  <si>
    <t>Označenie obchodného registra a číslo zápisu obchodnej spoločnosti</t>
  </si>
  <si>
    <t>Statutory representative</t>
  </si>
  <si>
    <t xml:space="preserve">or natural person </t>
  </si>
  <si>
    <t xml:space="preserve">Commercial registry </t>
  </si>
  <si>
    <t xml:space="preserve">designation and </t>
  </si>
  <si>
    <t>registration number</t>
  </si>
  <si>
    <t>Telefónne číslo</t>
  </si>
  <si>
    <t>Faxové číslo</t>
  </si>
  <si>
    <t>Other entities</t>
  </si>
  <si>
    <t>Other non-current intangible assets (019, 01X) - /079, 07X, 091A
07X, 091A/</t>
  </si>
  <si>
    <t>Listed entities</t>
  </si>
  <si>
    <t>Other non-current tangible assets (029, 02X, 032) -/089, 08X, 092A
/089, 08X, 092A/</t>
  </si>
  <si>
    <t xml:space="preserve">Non-current financial assets  total (l. 022 to 032) </t>
  </si>
  <si>
    <t>Entity type:</t>
  </si>
  <si>
    <t xml:space="preserve">Listed entities, entities in regulated industries and other PIEs </t>
  </si>
  <si>
    <t>Other non-current investments (063A) - 096A</t>
  </si>
  <si>
    <t xml:space="preserve">Other entities including statutory audits of subsidiaries </t>
  </si>
  <si>
    <t>Other loans (067A) - /096A</t>
  </si>
  <si>
    <t>Debentures and other non-current financial assets (065A, 069A, 06XA) -/096A/</t>
  </si>
  <si>
    <t>Loans and other non-current financial assets with maturity up to one year (066A, 067A, 069A, 06XA)
- /096A/</t>
  </si>
  <si>
    <t>Current assets l. 034 + l. 041 + l. 053 + l. 066 + l. 071
+ l. 046 + l. 055</t>
  </si>
  <si>
    <t>Inventory total (l. 035 to 040)</t>
  </si>
  <si>
    <t>Merchandise (132,133,13X,139) -/196,19X/
- /196, 19X/</t>
  </si>
  <si>
    <t>Long-term receivables total (l. 042 + l. 046 to 052)</t>
  </si>
  <si>
    <t>Trade receivables (l. 043 to 045)</t>
  </si>
  <si>
    <t>1.a.</t>
  </si>
  <si>
    <t>1.b.</t>
  </si>
  <si>
    <t>1.c.</t>
  </si>
  <si>
    <t>Other trade receivables (311A,312A,313A,314A,315A,31XA) - /391A/</t>
  </si>
  <si>
    <t>Receivables from derivative operations (373A,376A)</t>
  </si>
  <si>
    <t>Other receivables (335A, 336A, 33XA, 371A, 374A, 375A, 378A) - 391A</t>
  </si>
  <si>
    <t>Short-term receivables  total (l. 054 + l. 058 to 065)</t>
  </si>
  <si>
    <t>Trade receivables (l. 055 to 057)</t>
  </si>
  <si>
    <t>Social security receivables (336A) - 391A</t>
  </si>
  <si>
    <t>Tax receivables and subsidies (341, 342, 343, 345, 346, 347) - 391A</t>
  </si>
  <si>
    <t>Other receivables (335A, 33XA, 371A, 374A, 375A, 378A) - 391A</t>
  </si>
  <si>
    <t>Current financial assets total (l. 067 to 070)</t>
  </si>
  <si>
    <t>Own shares and interests (252)</t>
  </si>
  <si>
    <t>Short-term financial assets under construction (259, 314A) - /291A/</t>
  </si>
  <si>
    <t>Financial assets total (l. 072 to 073)</t>
  </si>
  <si>
    <t>Accruals and prepayments  total l. 075 and 078</t>
  </si>
  <si>
    <t>Control number  (lines 001-078)</t>
  </si>
  <si>
    <t>SHAREHOLDERS' EQUITY AND LIABILITIES TOTAL l. 080 + l. 101 + l. 141</t>
  </si>
  <si>
    <t>Shareholders' equity l. 081+ 085+ 086 + 087+ 090 + l. 093 + l. 097 +  l. 100</t>
  </si>
  <si>
    <t>Registered capital total (l. 082 to 084)</t>
  </si>
  <si>
    <t>Legal reserve funds l. 088 + l. 089</t>
  </si>
  <si>
    <t>Legal reserve fund  and non-distributable fund (417A, 418, 421A, 422)</t>
  </si>
  <si>
    <t>Reserve fund on own shares and interests (417A, 421A)</t>
  </si>
  <si>
    <t>Funds created from profit total (l. 091 + l. 092)</t>
  </si>
  <si>
    <t>A.V.1.</t>
  </si>
  <si>
    <t>Statutory funds (423, 42X)</t>
  </si>
  <si>
    <t>Other funds (427, 42X)</t>
  </si>
  <si>
    <t>A.VI.</t>
  </si>
  <si>
    <t>Revaluation reserves total (l. 094 to l. 096)</t>
  </si>
  <si>
    <t>A.VI.1.</t>
  </si>
  <si>
    <t>Revaluation reserve from valuation of assets and liabilities (+/- 414)</t>
  </si>
  <si>
    <t>A.VII.</t>
  </si>
  <si>
    <t>Retained earnings l. 098+ 099</t>
  </si>
  <si>
    <t>A.VII.1.</t>
  </si>
  <si>
    <t>A.VIII.</t>
  </si>
  <si>
    <t>Profit or loss from current period /+-/ l. 001 - (081 + 085 + 086 + 087 + 090 + 093 + 097 + 101 + 141)</t>
  </si>
  <si>
    <t>Liabilities l. 102 + 118 + 121 + 122 + 136 + 139 + 140</t>
  </si>
  <si>
    <t>Non-current liabilities total (l. 103 + l. 107 to 117)</t>
  </si>
  <si>
    <t>Non-current trade liabilities total (l. 104 to 106)</t>
  </si>
  <si>
    <t>Other trade payables (321A, 475A, 476A)</t>
  </si>
  <si>
    <t>Other long-term liabilities (479A, 47XA)</t>
  </si>
  <si>
    <t>Other non-current liabilities (336A, 372A, 474A, 47XA)</t>
  </si>
  <si>
    <t>Long-term liabilities from derivative operations (373A, 377A)</t>
  </si>
  <si>
    <t>12.</t>
  </si>
  <si>
    <t>Non-current provisions total (l. 119 to 120)</t>
  </si>
  <si>
    <t>Current liabilities  total (l. 123 + l. 127 to l. 135)</t>
  </si>
  <si>
    <t>Current trade payables (l. 124 to l. 126)</t>
  </si>
  <si>
    <t>Other trade payables (321A, 322A, 324A, 325A, 326A, 32XA, 475A, 476A, 478A, 47XA)</t>
  </si>
  <si>
    <t>126</t>
  </si>
  <si>
    <t>127</t>
  </si>
  <si>
    <t>128</t>
  </si>
  <si>
    <t>129</t>
  </si>
  <si>
    <t>130</t>
  </si>
  <si>
    <t>131</t>
  </si>
  <si>
    <t>Social security payables (336A)</t>
  </si>
  <si>
    <t>132</t>
  </si>
  <si>
    <t>133</t>
  </si>
  <si>
    <t>Payables from derivative operations (373A, 377A)</t>
  </si>
  <si>
    <t>134</t>
  </si>
  <si>
    <t>Other short-term liabilities (372A, 379A, 474A, 475A, 479A, 47XA)</t>
  </si>
  <si>
    <t>135</t>
  </si>
  <si>
    <t>Current provisions total (l. 137 + l. 138)</t>
  </si>
  <si>
    <t>136</t>
  </si>
  <si>
    <t>137</t>
  </si>
  <si>
    <t>138</t>
  </si>
  <si>
    <t>B.VI.</t>
  </si>
  <si>
    <t>139</t>
  </si>
  <si>
    <t>B.VII.</t>
  </si>
  <si>
    <t>140</t>
  </si>
  <si>
    <t>Accruals and deferred income - total (l. 142 to 145)</t>
  </si>
  <si>
    <t>141</t>
  </si>
  <si>
    <t>142</t>
  </si>
  <si>
    <t>143</t>
  </si>
  <si>
    <t>144</t>
  </si>
  <si>
    <t>145</t>
  </si>
  <si>
    <t>Control number  (lines 079-145)</t>
  </si>
  <si>
    <t>Net turnover (part of acc. group 6 as defined by the law)</t>
  </si>
  <si>
    <t>Revenues from operating activities total (l. 03 to l. 09)</t>
  </si>
  <si>
    <t>II.</t>
  </si>
  <si>
    <t>Revenues from own products (601)</t>
  </si>
  <si>
    <t>III.</t>
  </si>
  <si>
    <t>Revenues from services (602, 606)</t>
  </si>
  <si>
    <t>IV.</t>
  </si>
  <si>
    <t>VI.</t>
  </si>
  <si>
    <t>VII.</t>
  </si>
  <si>
    <t>Operating expenses total (l. 11 + l. 12 + l. 13 + l. 14 + l. 15 + l. 20 + l. 21 + l. 24 + l. 25 + l. 26)</t>
  </si>
  <si>
    <t>Costs of merchandise sold (504, 507)</t>
  </si>
  <si>
    <t>Material and energy consumption and other unstorable supplies (501, 502, 503)</t>
  </si>
  <si>
    <t>Allowances to inventories (+/-) (505)</t>
  </si>
  <si>
    <t>E.1.</t>
  </si>
  <si>
    <t>Depreciation of and provisions to non-current tangible and intangible assets (l. 22 + l. 23)</t>
  </si>
  <si>
    <t>G.1</t>
  </si>
  <si>
    <t>Depreciation of non-current tangible and intangible assets (551)</t>
  </si>
  <si>
    <t>Provisions to non-current tangible and intangible assets (+/-) (553)</t>
  </si>
  <si>
    <t>Profit or loss from operating activities (+/-) (l.02 - l. 10)</t>
  </si>
  <si>
    <t>Added value (l. 03 + l. 04 + l. 05 + l. 06 + l. 07) - (l.11 + l. 12 +l. 13 + l. 14)</t>
  </si>
  <si>
    <t>Revenues from financial activities l.30 + l. 31 + l. 35 + l. 39 + l. 42 + l. 43 + l. 44</t>
  </si>
  <si>
    <t>VIII.</t>
  </si>
  <si>
    <t>IX.</t>
  </si>
  <si>
    <t>Revenues from non-current financial assets (l. 32 to l. 34)</t>
  </si>
  <si>
    <t>IX.1.</t>
  </si>
  <si>
    <t>X.</t>
  </si>
  <si>
    <t>Income from short-term financial assets (l. 36 to l. 38)</t>
  </si>
  <si>
    <t>X.1</t>
  </si>
  <si>
    <t>Income from other current financial assets (666A)</t>
  </si>
  <si>
    <t>XI.</t>
  </si>
  <si>
    <t>Interest income (l. 40 + l. 41)</t>
  </si>
  <si>
    <t>XI.1</t>
  </si>
  <si>
    <t>Other interest income (662A)</t>
  </si>
  <si>
    <t>XII.</t>
  </si>
  <si>
    <t>XIII.</t>
  </si>
  <si>
    <t>XIV.</t>
  </si>
  <si>
    <t>Financial expenses total (l. 46 + l. 47 + l. 48 + l. 49 + l. 52 + l. 53 + l. 54)</t>
  </si>
  <si>
    <t>Creation and release of provisions to financial assets (+/-) (565)</t>
  </si>
  <si>
    <t>Interest expense (l. 50 + l. 51)</t>
  </si>
  <si>
    <t>N.1.</t>
  </si>
  <si>
    <t>Other interest expense (562A)</t>
  </si>
  <si>
    <t>Q.</t>
  </si>
  <si>
    <t>Profit/(loss) from financial activities (+/-) (l. 29 - l. 45)</t>
  </si>
  <si>
    <t>****</t>
  </si>
  <si>
    <t>Profit/(loss) for the period before tax (+/-) (l. 27 + l. 55)</t>
  </si>
  <si>
    <t>R</t>
  </si>
  <si>
    <t>Tax on income (l. 58 + l. 59)</t>
  </si>
  <si>
    <t>R.1</t>
  </si>
  <si>
    <t>- deferred (+/-) (592)</t>
  </si>
  <si>
    <t>Profit/(loss) share transferred to owners' account (+/- 596)</t>
  </si>
  <si>
    <t xml:space="preserve">Net profit/(loss) for the period after tax  (+/-) (l. 56 - l. 57 - l. 60)           </t>
  </si>
  <si>
    <t xml:space="preserve">Profit and Loss account for period ended </t>
  </si>
  <si>
    <t>UZPODv14_2</t>
  </si>
  <si>
    <t xml:space="preserve">Súvaha
Úč POD 1 - 01
</t>
  </si>
  <si>
    <t>SPOLU MAJETOK
r. 02 + r. 33 + r. 74</t>
  </si>
  <si>
    <t>Neobežný majetok r. 03 + r. 11 + r. 21</t>
  </si>
  <si>
    <t>Dlhodobý nehmotný majetok súčet (r. 04 až r. 10)</t>
  </si>
  <si>
    <t>SPOLU MAJETOK r. 02 + r. 33 + r. 74</t>
  </si>
  <si>
    <t>Aktivované náklady na vývoj (012) - /072, 091A/</t>
  </si>
  <si>
    <t>Softvér (013) - /073, 091A/</t>
  </si>
  <si>
    <t>Oceniteľné práva (014) - /074, 091A/</t>
  </si>
  <si>
    <t>Goodwill (015) - /075, 091A/</t>
  </si>
  <si>
    <t>Ostatný dlhodobý nehmotný majetok (019, 01X) - /079, 07X, 091A/</t>
  </si>
  <si>
    <t>Obstarávaný dlhodobý nehmotný majetok
(041) - /093/</t>
  </si>
  <si>
    <t>Poskytnuté preddavky na dlhodobý
nehmotný majetok
(051) - /095A/</t>
  </si>
  <si>
    <t>Dlhodobý hmotný majetok súčet (r. 12 až
r. 20)</t>
  </si>
  <si>
    <t>Stavby (021) - /081, 092A/</t>
  </si>
  <si>
    <t>Samostatné hnuteľné veci a súbory hnuteľných
vecí (022) - /082, 092A/</t>
  </si>
  <si>
    <t>Pestovateľské celky trvalých porastov (025) - /085, 092A/</t>
  </si>
  <si>
    <t>Základné stádo a ťažné zvieratá (026) - /086, 092A/</t>
  </si>
  <si>
    <t>Ostatný dlhodobý hmotný majetok (029, 02X, 032) -/089, 08X, 092A/</t>
  </si>
  <si>
    <t>Opravná položka k nadobudnutému majetku (+/- 097) +/- 098</t>
  </si>
  <si>
    <t>Dlhodobý finančný majetok súčet (r. 22 až
r. 32)</t>
  </si>
  <si>
    <t>Podielové cenné papiere a podiely v prepojených účtovných jednotkách (061A, 062A, 063A) - /096A/</t>
  </si>
  <si>
    <t>Podielové cenné papiere a podiely s podielovou účasťou okrem v prepojených účtovných jednotkách (062A) - /096A/</t>
  </si>
  <si>
    <t xml:space="preserve">Ostatné realizovateľné cenné papiere a podiely (063A) - /096A/ </t>
  </si>
  <si>
    <t>Pôžičky prepojeným účtovným jednotkám (066A) - /096A/</t>
  </si>
  <si>
    <t>Pôžičky v rámci podielovej účasti okrem prepojeným účtovným jednotkám (066A) - /096A/</t>
  </si>
  <si>
    <t>Ostatné pôžičky (067A) - /096A/</t>
  </si>
  <si>
    <t>Dlhové cenné papiere a ostatný dlhodobý finančný majetok (065A, 069A,06XA) - 096A/</t>
  </si>
  <si>
    <t xml:space="preserve">Pôžičky a ostatný dlhodobý finančný majetok so zostatkovou dobou splatnosti najviac jeden rok (066A, 067A, 069A, 06XA) - /096A/ </t>
  </si>
  <si>
    <t>Účty v bankách s dobou viazanosti dlhšou ako jeden rok (22XA)</t>
  </si>
  <si>
    <t>Obstarávaný dlhodobý finančný majetok (043) - /096A/</t>
  </si>
  <si>
    <t>Poskytnuté preddavky na dlhodobý finančný majetok 053) - /095A/</t>
  </si>
  <si>
    <t xml:space="preserve">Obežný majetok r. 34 + r. 41 + r. 53 + r. 66 + r. 71 </t>
  </si>
  <si>
    <t>Zásoby súčet (r. 35 až r. 40)</t>
  </si>
  <si>
    <t>Materiál (112, 119, 11X) - /191, 19X/</t>
  </si>
  <si>
    <t>Nedokončená výroba a polotovary vlastnej výroby (121, 122, 12X) -/192, 193, 19X/</t>
  </si>
  <si>
    <t>Výrobky (123) - /194/</t>
  </si>
  <si>
    <t>Zvieratá (124) - /195/</t>
  </si>
  <si>
    <t>Tovar (132, 133, 13X, 139) - /196, 19X/</t>
  </si>
  <si>
    <t>Poskytnuté preddavky na zásoby (314A) - /391A/</t>
  </si>
  <si>
    <t>Dlhodobé pohľadávky súčet (r. 42 + r. 46 až r. 52)</t>
  </si>
  <si>
    <t>Pohľadávky z obchodného styku súčet (r. 43 až r. 45)</t>
  </si>
  <si>
    <t>Pohľadávky z obchodného styku voči prepojeným účtovným jednotkám (311A, 312A, 313A, 314A,
315A, 31XA) - /391A/</t>
  </si>
  <si>
    <t>Pohľadávky z obchodného styku v rámci podielovej účasti okrem pohľadávok voči prepojeným účtovným jednotkám (311A, 312A, 313A, 314A, 315A, 31XA) - 91A/</t>
  </si>
  <si>
    <t>Ostatné pohľadávky z obchodného styku (311A, 312A, 313A, 314A, 315A, 31XA) -
/391A/</t>
  </si>
  <si>
    <t>Ostatné pohľadávky voči prepojeným účtovným jednotkám (351A) - /391A/</t>
  </si>
  <si>
    <t>Ostatné pohľadávky v rámci podielovej účasti okrem pohľadávok voči prepojeným účtovným jednotkám (351A) - /391A/</t>
  </si>
  <si>
    <t>Pohľadávky voči spoločníkom, členom a združeniu (354A, 355A, 358A, 35XA) - 391A/</t>
  </si>
  <si>
    <t>Pohľadávky z derivátových operácií (373A, 376A)</t>
  </si>
  <si>
    <t>Iné pohľadávky (335A, 336A, 33XA, 371A, 374A, 375A, 378A) - /391A/</t>
  </si>
  <si>
    <t>Odložená daňová pohľadávka (481A)</t>
  </si>
  <si>
    <t>Krátkodobé pohľadávky súčet (r. 54 + r. 58 až r. 65)</t>
  </si>
  <si>
    <t xml:space="preserve">Pohľadávky z obchodného styku súčet (r. 55 až r. 57) </t>
  </si>
  <si>
    <t>Pohľadávky z obchodného styku voči prepojeným účtovným jednotkám (311A, 312A, 313A, 314A, 315A, 31XA) - /391A/</t>
  </si>
  <si>
    <t>Pohľadávky z obchodného styku v rámci podielovej účasti okrem pohľadávok voči prepojeným účtovným jednotkám (311A, 312A, 313A, 314A, 315A, 31XA) - /391A/</t>
  </si>
  <si>
    <t xml:space="preserve">Čistá hodnota zákazky (316A) </t>
  </si>
  <si>
    <t>Ostatné pohľadávky v rámci podielovej účasti okrem pohľadávok voči prepojeným
účtovným jednotkám
(351A) - /391A/</t>
  </si>
  <si>
    <t>Pohľadávky voči spoločníkom, členom a združeniu (354A, 355A, 358A, 35XA, 398A) - /391A/</t>
  </si>
  <si>
    <t>Sociálne poistenie (336A) - /391A/</t>
  </si>
  <si>
    <t>Daňové pohľadávky a dotácie (341, 342, 343, 345, 346, 347) - /391A/</t>
  </si>
  <si>
    <t>Iné pohľadávky (335A, 33XA, 371A, 374A, 375A, 378A)
- /391A/</t>
  </si>
  <si>
    <t>Krátkodobý finančný majetok súčet (r. 67 až r. 70)</t>
  </si>
  <si>
    <t>Krátkodobý finančný majetok v prepojených účtovných jednotkách (251A, 253A, 256A, 257A, 25XA) - /291A, 29XA/</t>
  </si>
  <si>
    <t>Krátkodobý finančný majetok bez krátkodobého finančného majetku  v prepojených účtovných jednotkách (251A, 253A, 256A, 257A, 25XA) - /291A, 29XA/</t>
  </si>
  <si>
    <t>Vlastné akcie a vlastné obchodné podiely (252)</t>
  </si>
  <si>
    <t>Obstarávaný krátkodobý finančný majetok (259, 314A) - /291A/</t>
  </si>
  <si>
    <t>Finančné účty r. 72 + r. 73</t>
  </si>
  <si>
    <t>Peniaze (211, 213, 21X)</t>
  </si>
  <si>
    <t>Účty v bankách (221A, 22X, +/- 261)</t>
  </si>
  <si>
    <t>Časové rozlíšenie súčet (r. 75 až r. 78)</t>
  </si>
  <si>
    <t>Náklady budúcich období dlhodobé (381A, 382A)</t>
  </si>
  <si>
    <t>Náklady budúcich období krátkodobé (381A, 382A)</t>
  </si>
  <si>
    <t>Príjmy budúcich období dlhodobé (385A)</t>
  </si>
  <si>
    <t>Príjmy budúcich období krátkodobé (385A)</t>
  </si>
  <si>
    <t>SPOLU VLASTNÉ IMANIE A ZÁVÄZKY r. 80 + r. 101 + r. 141</t>
  </si>
  <si>
    <t>Vlastné imanie r. 81 + r. 85 + r. 86 + r. 87 + r. 90 + r. 93 + r. 97 + r. 100</t>
  </si>
  <si>
    <t>Základné imanie súčet (r. 82 až r. 84)</t>
  </si>
  <si>
    <t>Zákonné rezervné fondy r. 88 + r. 89</t>
  </si>
  <si>
    <t>Zákonný rezervný fond a nedeliteľný fond (417A, 418, 421A, 422)</t>
  </si>
  <si>
    <t>Rezervný fond na vlastné akcie a vlastné podiely (417A, 421A)</t>
  </si>
  <si>
    <t>Ostatné fondy zo zisku r. 91 + r. 92</t>
  </si>
  <si>
    <t>Štatutárne fondy (423, 42X)</t>
  </si>
  <si>
    <t>Ostatné fondy (427, 42X)</t>
  </si>
  <si>
    <t>Oceňovacie rozdiely z precenenia súčet (r. 94 až r. 96)</t>
  </si>
  <si>
    <t>Oceňovacie rozdiely z precenenia majetku a záväzkov (+/- 414)</t>
  </si>
  <si>
    <t>Oceňovacie rozdiely z precenenia pri zlúčení, splynutí a rozdelení (+/- 416)</t>
  </si>
  <si>
    <t>Výsledok hospodárenia minulých rokov r. 98 + r. 99</t>
  </si>
  <si>
    <t xml:space="preserve">Nerozdelený zisk minulých rokov (428) </t>
  </si>
  <si>
    <t>Záväzky r. 102 + r. 118 + r. 121 + r. 122 + r. 136 + r. 139 + r. 140</t>
  </si>
  <si>
    <t>Dlhodobé záväzky súčet (r. 103 + r. 107 až r. 117)</t>
  </si>
  <si>
    <t>Dlhodobé záväzky z obchodného styku súčet (r. 104 až r. 106)</t>
  </si>
  <si>
    <t>Záväzky z obchodného styku voči prepojeným účtovným jednotkám (321A, 475A, 476A)</t>
  </si>
  <si>
    <t>Záväzky z obchodného styku v rámci podielovej účasti okrem záväzkov voči prepojeným
účtovným jednotkám (321A, 475A, 476A)</t>
  </si>
  <si>
    <t>Ostatné záväzky z obchodného styku (321A, 475A, 476A)</t>
  </si>
  <si>
    <t>Ostatné záväzky voči prepojeným účtovným jednotkám (471A, 47XA)</t>
  </si>
  <si>
    <t>Ostatné záväzky v rámci podielovej účasti okrem záväzkov voči prepojeným čtovným
jednotkám (471A, 47XA)</t>
  </si>
  <si>
    <t>Ostatné dlhodobé záväzky (479A, 47XA)</t>
  </si>
  <si>
    <t>Vydané dlhopisy (473A/-/255A)</t>
  </si>
  <si>
    <t>Iné dlhodobé záväzky (336A, 372A, 474A, 47XA)</t>
  </si>
  <si>
    <t>Dlhodobé záväzky z derivátových operácií (373A, 377A)</t>
  </si>
  <si>
    <t>Dlhodobé rezervy r. 119 + r. 120</t>
  </si>
  <si>
    <t>Zákonné rezervy (451A)</t>
  </si>
  <si>
    <t>Ostatné rezervy (459A, 45XA)</t>
  </si>
  <si>
    <t>Dlhodobé bankové úvery (461A, 46XA)</t>
  </si>
  <si>
    <t>Záväzky z obchodného styku súčet (r. 124 až r. 126)</t>
  </si>
  <si>
    <t>Záväzky z obchodného styku voči prepojeným účtovným jednotkám (321A, 322A, 324A, 325A, 326A, 32XA, 475A, 476A, 478A, 47XA)</t>
  </si>
  <si>
    <t>Záväzky z obchodného styku v rámci podielovej účasti okrem záväzkov voči prepojeným účtovným jednotkám (321A, 322A, 324A, 325A, 326A, 32XA, 475A, 476A, 478A, 47XA)</t>
  </si>
  <si>
    <t>Ostatné záväzky z obchodného styku (321A, 322A, 324A, 325A, 326A, 32XA,
475A, 476A, 478A, 47XA)</t>
  </si>
  <si>
    <t>Ostatné záväzky voči prepojeným účtovným jednotkám (361A, 36XA, 471A, 47XA)</t>
  </si>
  <si>
    <t>Ostatné záväzky v rámci podielovej účasti okrem záväzkov voči prepojeným účtovným jednotkám (361A, 36XA, 471A, 47XA)</t>
  </si>
  <si>
    <t>Záväzky voči spoločníkom a združeniu (364, 365, 366, 367, 368, 398A, 478A, 479A)</t>
  </si>
  <si>
    <t>Záväzky zo sociálneho poistenia (336A)</t>
  </si>
  <si>
    <t>Daňové záväzky a dotácie (341, 342, 343, 345, 346, 347, 34X)</t>
  </si>
  <si>
    <t>Záväzky z derivátových operácií (373A, 377A)</t>
  </si>
  <si>
    <t>Iné záväzky (372A, 379A, 474A, 475A, 479A, 47XA)</t>
  </si>
  <si>
    <t>Krátkodobé rezervy r. 137 + r. 138</t>
  </si>
  <si>
    <t>Zákonné rezervy (323A, 451A)</t>
  </si>
  <si>
    <t>Ostatné rezervy (323A, 32X, 459A, 45XA)</t>
  </si>
  <si>
    <t>Bežné bankové úvery (221A, 231, 232, 23X, 461A, 46XA)</t>
  </si>
  <si>
    <t>Časové rozlíšenie súčet (r. 142 až r. 145)</t>
  </si>
  <si>
    <t>Výnosy budúcich období dlhodobé 144 (384A)</t>
  </si>
  <si>
    <t>Výnosy budúcich období krátkodobé 145 (384A)</t>
  </si>
  <si>
    <t>Čistý obrat (časť účt. tr. 6 podľa zákona)</t>
  </si>
  <si>
    <t>Výnosy z hospodárskej činnosti spolu súčet (r. 03 až r. 09)</t>
  </si>
  <si>
    <t>Tržby z predaja tovaru (604, 607)</t>
  </si>
  <si>
    <t>Tržby z predaja vlastných výrobkov (601)</t>
  </si>
  <si>
    <t>Tržby z predaja služieb (602, 606)</t>
  </si>
  <si>
    <t>Zmeny stavu vnútroorganizačných zásob (+/-) (účtová skupina 61)</t>
  </si>
  <si>
    <t>Aktivácia (účtová skupina 62)</t>
  </si>
  <si>
    <t>Tržby z predaja dlhodobého nehmotného majetku, dlhodobého hmotného majetku
 a materiálu (641, 642)</t>
  </si>
  <si>
    <t>Ostatné výnosy z hospodárskej činnosti
(644, 645, 646, 648, 655, 657)</t>
  </si>
  <si>
    <t>Náklady na hospodársku činnosť spolu
r. 11 + r. 12 + r. 13 + r.14 + r. 15 + r. 20 + r. 21 + r. 24 + r. 25 + r. 26</t>
  </si>
  <si>
    <t>Náklady vynaložené na obstaranie
predaného tovaru (504, 507)</t>
  </si>
  <si>
    <t>Spotreba materiálu, energie a ostatných
neskladovateľných dodávok (501, 502, 503)</t>
  </si>
  <si>
    <t>Opravné položky k zásobám (+/-) (505)</t>
  </si>
  <si>
    <t>Osobné náklady (r. 16 až r. 19)</t>
  </si>
  <si>
    <t>Odmeny členom orgánov spoločnosti a
družstva (523)</t>
  </si>
  <si>
    <t>Náklady na sociálne poistenie
(524, 525, 526)</t>
  </si>
  <si>
    <t>Odpisy a opravné položky k dlhodobému
nehmotnému majetku a dlhodobému
hmotnému majetku (r. 22 + r. 23)</t>
  </si>
  <si>
    <t>Odpisy dlhodobého nehmotného majetku
a dlhodobého hmotného majetku (551)</t>
  </si>
  <si>
    <t>Opravné položky k dlhodobému
nehmotnému majetku a dlhodobému
hmotnému majetku (+/-) (553)</t>
  </si>
  <si>
    <t>Zostatková cena predaného dlhodobého
majetku a predaného materiálu (541, 542)</t>
  </si>
  <si>
    <t>Opravné položky k pohľadávkam (+/-) (547)</t>
  </si>
  <si>
    <t>Ostatné náklady na hospodársku činnosť
(543, 544, 545, 546, 548, 549, 555, 557)</t>
  </si>
  <si>
    <t>Výsledok hospodárenia z hospodárskej
činnosti (+/-) (r. 02 - r. 10)</t>
  </si>
  <si>
    <t>Pridaná hodnota (r. 03 + r. 04 + r. 05 +
r. 06 + r. 07) - (r. 11 + r. 12 + r. 13 + r. 14)</t>
  </si>
  <si>
    <t>Výnosy z finančnej činnosti spolu r. 30
+ r. 31 + r. 35 + r. 39 + r. 42 + r. 43 + r. 44</t>
  </si>
  <si>
    <t>Tržby z predaja cenných papierov a
podielov (661)</t>
  </si>
  <si>
    <t>Výnosy z dlhodobého finančného majetku
súčet (r. 32 až r. 34)</t>
  </si>
  <si>
    <t>Výnosy z cenných papierov a podielov
od prepojených účtovných jednotiek (665A)</t>
  </si>
  <si>
    <t>Výnosy z cenných papierov a podielov
v podielovej účasti okrem výnosov
prepojených účtovných jednotiek (665A)</t>
  </si>
  <si>
    <t>Ostatné výnosy z cenných papierov a
podielov (665A)</t>
  </si>
  <si>
    <t>Výnosy z krátkodobého finančného majetku
súčet (r. 36 až r. 38)</t>
  </si>
  <si>
    <t>Výnosy z krátkodobého finančného majetku
od prepojených účtovných jednotiek (666A)</t>
  </si>
  <si>
    <t>Výnosy z krátkodobého finančného majetku
v podielovej účasti okrem výnosov
prepojených účtovných jednotiek (666A)</t>
  </si>
  <si>
    <t>Ostatné výnosy z krátkodobého finančného
majetku (666A)</t>
  </si>
  <si>
    <t>Výnosové úroky (r. 40 + r. 41)</t>
  </si>
  <si>
    <t>Výnosové úroky od prepojených
účtovných jednotiek (662A)</t>
  </si>
  <si>
    <t>Ostatné výnosové úroky (662A)</t>
  </si>
  <si>
    <t>Výnosy z precenenia cenných papierov a
výnosy z derivátových operácií (664, 667)</t>
  </si>
  <si>
    <t>Náklady na finančnú činnosť spolu r. 46
+ r. 47 + r. 48 + r. 49 + r. 52 + r. 53 + r. 54</t>
  </si>
  <si>
    <t>Náklady na krátkodobý finančný majetok
(566)</t>
  </si>
  <si>
    <t>Opravné položky k finančnému majetku
(+/-) (565)</t>
  </si>
  <si>
    <t>Nákladové úroky (r. 50 + r. 51)</t>
  </si>
  <si>
    <t>Nákladové úroky pre prepojené účtovné
jednotky (562A)</t>
  </si>
  <si>
    <t>Ostatné nákladové úroky (562A)</t>
  </si>
  <si>
    <t>Náklady na precenenie cenných papierov a
náklady na derivátové operácie (564, 567)</t>
  </si>
  <si>
    <t>Ostatné náklady na finančnú činnosť
(568, 569)</t>
  </si>
  <si>
    <t>Výsledok hospodárenia z finančnej
činnosti (+/-) (r. 29 - r. 45)</t>
  </si>
  <si>
    <t>Výsledok hospodárenia za účtovné
obdobie pred zdanením (+/-) (r. 27 + r. 55)</t>
  </si>
  <si>
    <t>Daň z príjmov (r. 58 + r. 59)</t>
  </si>
  <si>
    <t>Daň z príjmov splatná (591, 595)</t>
  </si>
  <si>
    <t>Daň z príjmov odložená (+/-) (592)</t>
  </si>
  <si>
    <t>Prevod podielov na výsledku hospodárenia
spoločníkom (+/- 596)</t>
  </si>
  <si>
    <t>Výsledok hospodárenia za účtovné
obdobie po zdanení (+/-)
(r. 56 - r. 57 - r. 60)</t>
  </si>
  <si>
    <t>Krátkodobé záväzky súčet (r. 123 + r. 127 až r. 135)</t>
  </si>
  <si>
    <t xml:space="preserve">Výkaz ziskov a strát
Úč POD 2 - 01
</t>
  </si>
  <si>
    <t>Accounting unit</t>
  </si>
  <si>
    <t>Interim</t>
  </si>
  <si>
    <t>Income statement (Úč POD 2-01)</t>
  </si>
  <si>
    <t>Notes (Úč POD 3-01)</t>
  </si>
  <si>
    <t>(in full EUR)</t>
  </si>
  <si>
    <t>(in full EUR or EUR cents)</t>
  </si>
  <si>
    <t>Stat.of financial position (Úč POD 1-01)</t>
  </si>
  <si>
    <t>Indication of the commercial register and registration number of the company</t>
  </si>
  <si>
    <t>Signature of the statutory board or statutory board member or signature of the natural person, which is an accounting entity:</t>
  </si>
  <si>
    <t>Enclosed components of the financial statements</t>
  </si>
  <si>
    <t xml:space="preserve">Balance sheet
Úč POD 1 - 01
</t>
  </si>
  <si>
    <t>TIN</t>
  </si>
  <si>
    <t>ID number</t>
  </si>
  <si>
    <t>Income Statement Úč POD 1 - 01</t>
  </si>
  <si>
    <t xml:space="preserve">Income Statement
Úč POD 2 - 01
</t>
  </si>
  <si>
    <t>ID</t>
  </si>
  <si>
    <t>Jahresrechnung</t>
  </si>
  <si>
    <t>Unternehmer in doppelte Buchführung</t>
  </si>
  <si>
    <t>durchgehend</t>
  </si>
  <si>
    <t>Buchführungseinheit</t>
  </si>
  <si>
    <t>klein</t>
  </si>
  <si>
    <t>gross</t>
  </si>
  <si>
    <t>Anbauteil des Jahresabschlusses</t>
  </si>
  <si>
    <t>Bilanz (Úč POD 1-01)</t>
  </si>
  <si>
    <t>Gewinn und Verlustrechnung (Úč POD 2-01)</t>
  </si>
  <si>
    <t>Aufzeichnungen(Úč POD 3-01)</t>
  </si>
  <si>
    <t>(im gesamten Euro)</t>
  </si>
  <si>
    <t>(im gesamten Euro oder Eurocents)</t>
  </si>
  <si>
    <t>Angabe des Handelsregisters und der Registriernummer des Unternehmens</t>
  </si>
  <si>
    <t>Unterschrift des statutarischen Organs des Unternehmens und Geschäftsführer des Unternehmens oder physische Unterschrift der Person, die die Abrechnungseinheit ist:</t>
  </si>
  <si>
    <t xml:space="preserve">Bilanz
Úč POD 1 - 01
</t>
  </si>
  <si>
    <t>Aktiva Gesamt Z. 002 +  033 +  074</t>
  </si>
  <si>
    <t>Finanzanlagen (Z. 022 bis 032)</t>
  </si>
  <si>
    <t xml:space="preserve">Umlaufvermögen r. 34 + r. 41 + r. 53 + r. 66 + r. 71 </t>
  </si>
  <si>
    <t>Vorräte (r. 35 až r. 40)</t>
  </si>
  <si>
    <t>Roh-, Hilfs- und Betriebsstoffe (112, 119, 11X) - /191, 19X/</t>
  </si>
  <si>
    <t>Unfertige Erzeugnisse und Halbfabrikate (121, 122, 12X) -/192, 193, 19X/</t>
  </si>
  <si>
    <t>Fertige Erzeugnisse (123) - /194/</t>
  </si>
  <si>
    <t>Tiere (124) - /195/</t>
  </si>
  <si>
    <t>Waren (132, 133, 13X, 139) - /196, 19X/</t>
  </si>
  <si>
    <t>Geleistete Anzahlungen auf Vorräte  (314A) - /391A/</t>
  </si>
  <si>
    <t>Langfristige Forderungen (042 + 046 bis 052)</t>
  </si>
  <si>
    <t>Forderungen aus Lieferungen und Leistungen (043 bis 045)</t>
  </si>
  <si>
    <t>Kurzfristige Forderungen (054 + 058 bis 065)</t>
  </si>
  <si>
    <t xml:space="preserve">Forderungen aus Lieferungen und Leistungen (055 bis 057) </t>
  </si>
  <si>
    <t>Finanzkonten 072 + 073</t>
  </si>
  <si>
    <t>Bankguthaben (221A, 22X, +/- 261)</t>
  </si>
  <si>
    <t>Rechnungsabgrenzung   (075 bis 078)</t>
  </si>
  <si>
    <t>Langfristige Aufwendungen künftiger Perioden (381A, 382A)</t>
  </si>
  <si>
    <t>Kurzfristige Aufwendungen künftiger Perioden(381A, 382A)</t>
  </si>
  <si>
    <t>Langfristige Einnahmen künftiger Perioden(385A)</t>
  </si>
  <si>
    <t>Kurzfristige Einnahmen künftiger Perioden(385A)</t>
  </si>
  <si>
    <t>Summe Passiva 080 + 101 + 141</t>
  </si>
  <si>
    <t>Eigenkapital 081 + 085 + 086 +  087 + 090 + 093 + 097 + 100</t>
  </si>
  <si>
    <t>Grund-/Stammkapital (082 bis 084)</t>
  </si>
  <si>
    <t>Grund-/Stammkapital (411 oder +/- 491)</t>
  </si>
  <si>
    <t>Emmissionsagio  (412)</t>
  </si>
  <si>
    <t>Ergebnisvortrag  098 + 099</t>
  </si>
  <si>
    <t>Ergebnis der laufenden Berichtsperiode /+-/ 001 - (081 + 085 + 086
+ 087 + 090 + 093 + 097 + 101 + 41)</t>
  </si>
  <si>
    <t>Verbindlichkeiten 102 + 118 + 121 + 122 + 136 + 139 + 140</t>
  </si>
  <si>
    <t>Langfristige Verbindlichkeiten (103 + 107 až 117)</t>
  </si>
  <si>
    <t xml:space="preserve">G. und V.rechnung
Úč POD 2 - 01
</t>
  </si>
  <si>
    <t>FINANCIAL STATEMENTS</t>
  </si>
  <si>
    <t>of entrepreneurs in double-entry accounting</t>
  </si>
  <si>
    <t xml:space="preserve">Pozemky (031) - /092A/ </t>
  </si>
  <si>
    <t>Výsledok hospodárenia za účtovné obdobie po zdanení /+-/ r. 01 - (r. 81 + r. 85 + r. 86
+ r. 87 + r. 90 + r. 93 + r. 97 + r. 101 + r. 141)</t>
  </si>
  <si>
    <t xml:space="preserve">Other non-current tangible assets (029, 02X, 032) -/089, 08X, 092A
</t>
  </si>
  <si>
    <t>Obstarávaný dlhodobý hmotný majetok (042) - /094/</t>
  </si>
  <si>
    <t>Poskytnuté preddavky na dlhodobý hmotný majetok (052) - /095A/</t>
  </si>
  <si>
    <t>Dlhové cenné papiere a ostatný dlhodobý finančný majetok (065A, 069A,06XA) - /096A/</t>
  </si>
  <si>
    <t>Pohľadávky voči spoločníkom, členom a združeniu (354A, 355A, 358A, 35XA) - /391A/</t>
  </si>
  <si>
    <t>Trade receivables from connected entitites (311A,312A,313A,314A,315A,31XA) - /391A/</t>
  </si>
  <si>
    <t>Trade receivables within group except for receivables from connected entities (311A,312A,313A,314A,315A,31XA) - /391A/</t>
  </si>
  <si>
    <t xml:space="preserve">§ 2 sa dopĺňa odsekom 8, ktorý znie: </t>
  </si>
  <si>
    <t xml:space="preserve">„(8) Na účely vykazovania v súvahe a vo výkaze ziskov a strát sa rozumie 2 </t>
  </si>
  <si>
    <t xml:space="preserve">a) materskou účtovnou jednotkou účtovná jednotka, ktorá má rozhodujúci vplyv v jednom alebo vo viacerých dcérskych účtovných jednotkách, pričom rozhodujúci vplyv sa posudzuje podľa § 22 ods. 3 zákona, </t>
  </si>
  <si>
    <t xml:space="preserve">b) dcérskou účtovnou jednotkou účtovná jednotka, v ktorej má iná účtovná jednotka rozhodujúci vplyv a to vrátane každej dcérskej účtovnej jednotky konečnej materskej účtovnej jednotky, </t>
  </si>
  <si>
    <t xml:space="preserve">c) skupinou materská účtovná jednotka a všetky jej dcérske účtovné jednotky, </t>
  </si>
  <si>
    <t xml:space="preserve">d) prepojenými účtovnými jednotkami dve alebo viaceré účtovné jednotky v rámci skupiny, </t>
  </si>
  <si>
    <t xml:space="preserve">e) podielovou účasťou existencia aspoň 20% podielu na hlasovacích právach v inej účtovnej jednotke, </t>
  </si>
  <si>
    <t xml:space="preserve">f) pridruženou účtovnou jednotkou účtovná jednotka, v ktorej má podielovú účasť iná účtovná jednotka a táto </t>
  </si>
  <si>
    <t xml:space="preserve">iná účtovná jednotka má podstatný vplyv podľa § 27 ods. 1 písm. a) zákona.“. </t>
  </si>
  <si>
    <t>Investment in connected entities (061A,062A,063A) - 096A</t>
  </si>
  <si>
    <t>Investment in group except for connected entities (062A) - 096A</t>
  </si>
  <si>
    <t>Loans to connected entities (066A) - /096A</t>
  </si>
  <si>
    <t>Loans to  group except for connected entities (066A) - /096A</t>
  </si>
  <si>
    <t>Other receivables from connected entities (351A) - 391A</t>
  </si>
  <si>
    <t>Other receivables from group except from connected entities (351A) - 391A</t>
  </si>
  <si>
    <t>Current financial assets within connected entities (251A,253A,256A,257A,25XA) - /291A, 29XA/</t>
  </si>
  <si>
    <t>Current financial assets outside connected entities (251A,253A,256A,257A,25XA) - /291A, 29XA/</t>
  </si>
  <si>
    <t>Trade payables to connected entities (321A, 475A, 476A)</t>
  </si>
  <si>
    <t>Trade payables to group except for connected entities (321A, 475A, 476A)</t>
  </si>
  <si>
    <t>Other long-term liabilities to connected entities (471A, 47XA)</t>
  </si>
  <si>
    <t>Other long-term liabilities within group except for connected entities (471A, 47XA)</t>
  </si>
  <si>
    <t>Trade payables to connected entities (321A, 322A, 324A, 325A, 326A, 32XA, 475A, 476A, 478A, 47XA)</t>
  </si>
  <si>
    <t>Trade payables to group except for connected entities (321A, 322A, 324A, 325A, 326A, 32XA, 475A, 476A, 478A, 47XA)</t>
  </si>
  <si>
    <t>Payables to connected entities (361A, 36XA, 471A, 47XA)</t>
  </si>
  <si>
    <t>Other liabilities within group except for connected entities (361A, 36XA, 471A, 47XA)</t>
  </si>
  <si>
    <t>Income from investments in connected entities (665A)</t>
  </si>
  <si>
    <t>Income from investments in group except for connected entities (665A)</t>
  </si>
  <si>
    <t>Income from investments in connected entities (666A)</t>
  </si>
  <si>
    <t>Income from investments in group except for connected entities (666A)</t>
  </si>
  <si>
    <t>Interest income from from connected entities (662A)</t>
  </si>
  <si>
    <t>Interest expense to connected entities (562A)</t>
  </si>
  <si>
    <t>Poznámky Úč POD 3 - 01</t>
  </si>
  <si>
    <t>Notes Úč POD 3 - 01</t>
  </si>
  <si>
    <t>TOTAL ASSETS l. 002 + l. 030
+ l. 074</t>
  </si>
  <si>
    <t>Non-current tangible assets  total (l. 012 to l. 020)</t>
  </si>
  <si>
    <t xml:space="preserve">Non-current financial assets  total (l. 022 to l. 032) </t>
  </si>
  <si>
    <t>Loans and other non-current financial assets with maturity up to one year (066A, 067A, 069A, 06XA) - /096A/</t>
  </si>
  <si>
    <t>Current assets l. 034 + l. 041 + l. 053 + l. 066 + l. 071</t>
  </si>
  <si>
    <t>Inventory total (l. 035 to l. 040)</t>
  </si>
  <si>
    <t>Merchandise (132,133,13X,139) -/196,19X/</t>
  </si>
  <si>
    <t>Long-term receivables total (l. 042 + l. 046 to l. 052)</t>
  </si>
  <si>
    <t>Trade receivables (l. 043 to l. 045)</t>
  </si>
  <si>
    <t>Trade receivables from connected entitites (311A, 312A, 313A, 314A, 315A, 31XA) - /391A/</t>
  </si>
  <si>
    <t>Trade receivables within group except for receivables from connected entities (311A, 312A, 313A, 314A, 315A, 31XA) - /391A/</t>
  </si>
  <si>
    <t>Other trade receivables (311A, 312A, 313A, 314A, 315A, 31XA) - /391A/</t>
  </si>
  <si>
    <t>Receivables from derivative operations (373A, 376A)</t>
  </si>
  <si>
    <t>Short-term receivables  total (l. 054 + l. 058 to l. 065)</t>
  </si>
  <si>
    <t>Trade receivables (l. 055 to l. 057)</t>
  </si>
  <si>
    <t>Current financial assets total (l. 067 to l. 070)</t>
  </si>
  <si>
    <t>Current financial assets within connected entities (251A, 253A, 256A, 257A, 25XA) - /291A, 29XA/</t>
  </si>
  <si>
    <t>Current financial assets outside connected entities (251A, 253A, 256A, 257A, 25XA) - /291A, 29XA/</t>
  </si>
  <si>
    <t>Financial assets total (l. 072 to l. 073)</t>
  </si>
  <si>
    <t>Accruals and prepayments  total l. 075 and l. 078</t>
  </si>
  <si>
    <t>Shareholders' equity l. 081+ l. 085+ l. 086 + l. 087+ l. 090 + l. 093 + l. 097 +  l. 100</t>
  </si>
  <si>
    <t>Registered capital total (l. 082 to l. 084)</t>
  </si>
  <si>
    <t>Retained earnings l. 098+ l. 099</t>
  </si>
  <si>
    <t>Profit or loss from current period /+-/ l. 001 - (l. 081 + l. 085 + l. 086 + l. 087 + l. 090 + l. 093 + l. 097 + l. 101 + l. 141)</t>
  </si>
  <si>
    <t>Liabilities l. 102 + l. 118 + l. 121 + l. 122 + l. 136 + l. 139 + l. 140</t>
  </si>
  <si>
    <t>Non-current liabilities total (l. 103 + l. 107 to l. 117)</t>
  </si>
  <si>
    <t>Non-current trade liabilities total (l. 104 to l. 106)</t>
  </si>
  <si>
    <t>Non-current provisions total (l. 119 to l. 120)</t>
  </si>
  <si>
    <t>Other short term provisions (323, 32X, 459A, 45XA)</t>
  </si>
  <si>
    <t>Accruals and deferred income - total (l. 142 to l. 145)</t>
  </si>
  <si>
    <t>Non-current intangible assets  total (l. 004 to l. 010)</t>
  </si>
  <si>
    <t>Unused tax credits and other tax credits available for carry-forwards, which can be offset against taxable profits in future periods.</t>
  </si>
  <si>
    <t>Depreciation of and provisions for non-current tangible and intangible assets (l. 22 + l. 23)</t>
  </si>
  <si>
    <t>Provisions for non-current tangible and intangible assets (+/-) (553)</t>
  </si>
  <si>
    <t>Creation and release of provisions for receivables (+/-547)</t>
  </si>
  <si>
    <t>Creation and release of provisions for financial assets (+/-) (565)</t>
  </si>
  <si>
    <t xml:space="preserve">Own work capitalized (acc. group 62)     </t>
  </si>
  <si>
    <t>Non cash transactions influencing profit/loss from ordinary activities before taxation (sum of A.1.1. to A.1.13) (+/-)</t>
  </si>
  <si>
    <t>31365507</t>
  </si>
  <si>
    <t xml:space="preserve">Bratislava </t>
  </si>
  <si>
    <t>Okresný súd Bratislava I.
Oddiel Sro, vložka č. 6374/B</t>
  </si>
  <si>
    <t xml:space="preserve">Jediným konateľom spoločnosti je od 5. júna 2013 pán Erland Bech. </t>
  </si>
  <si>
    <t xml:space="preserve">1. montáž, oprava, údržba vyhradených elektrických zariadení </t>
  </si>
  <si>
    <t>3. výroba, inštalácia, opravy elektrických strojov a prístrojov</t>
  </si>
  <si>
    <t>4. výroba optických, prepojovacích káblov a káblových súborov</t>
  </si>
  <si>
    <t xml:space="preserve">2. výroba rozvádzačov nízkeho napätia - elektrické zariadenia s napätím do 1000 V </t>
  </si>
  <si>
    <t>FOSS AS FIBEROPTISK SYSTEMSALG</t>
  </si>
  <si>
    <t>Spoločnosť nie je v žiadnom podniku neobmedzene ručiacim spoločníkom.</t>
  </si>
  <si>
    <t>Konatelia</t>
  </si>
  <si>
    <t>Erland Bech</t>
  </si>
  <si>
    <t xml:space="preserve">Spoločnosť nemá organizačnú zložku v zahraničí. </t>
  </si>
  <si>
    <r>
      <t xml:space="preserve">Účtovná závierka bola zostavená podľa Zákona č. 431/2002 Z.z. o účtovníctve v znení neskorších predpisov za predpokladu nepretržitého trvania jej činnosti a je zostavená ako </t>
    </r>
    <r>
      <rPr>
        <i/>
        <sz val="10"/>
        <color theme="1"/>
        <rFont val="Arial"/>
        <family val="2"/>
        <charset val="238"/>
      </rPr>
      <t>riadna</t>
    </r>
    <r>
      <rPr>
        <sz val="10"/>
        <color theme="1"/>
        <rFont val="Arial"/>
        <family val="2"/>
        <charset val="238"/>
      </rPr>
      <t xml:space="preserve"> účtovná závierka.</t>
    </r>
  </si>
  <si>
    <t>lineárne</t>
  </si>
  <si>
    <t>Krátkodobý finančný majetok tvoria ceniny, peniaze v hotovosti a na bankových účtoch.</t>
  </si>
  <si>
    <t xml:space="preserve">Zásoby vytvorené vlastnou činnosťou sa oceňujú vlastnými nákladmi. Vlastné náklady zahŕňajú priame materiálové a mzdové náklady a nepriame výrobné náklady. </t>
  </si>
  <si>
    <t>e)    Pohľadávky</t>
  </si>
  <si>
    <t>f)    Náklady budúcich období a príjmy budúcich období</t>
  </si>
  <si>
    <t xml:space="preserve">g)    Záväzky </t>
  </si>
  <si>
    <t xml:space="preserve">h)    Rezervy </t>
  </si>
  <si>
    <t>i)    Výdavky budúcich období a výnosy budúcich období</t>
  </si>
  <si>
    <t>j)    Vlastné imanie</t>
  </si>
  <si>
    <t>k)    Transakcie v cudzích menách</t>
  </si>
  <si>
    <t>l)    Výnosy</t>
  </si>
  <si>
    <t xml:space="preserve">Vlastné imanie sa skladá zo základného imania, kapitálových fondov, zákonného rezervného fondu a výsledku hospodárenia v schvaľovacom konaní. </t>
  </si>
  <si>
    <t>m)   Daň z príjmu</t>
  </si>
  <si>
    <r>
      <t>Spoločnosť nemá žiadny dlhodobý nehmotný majetok, na ktorý by bolo zriadené záložné právo.</t>
    </r>
    <r>
      <rPr>
        <sz val="11"/>
        <color theme="1"/>
        <rFont val="Arial"/>
        <family val="2"/>
        <charset val="238"/>
      </rPr>
      <t xml:space="preserve"> </t>
    </r>
  </si>
  <si>
    <t>Majetok</t>
  </si>
  <si>
    <t>Poistenie</t>
  </si>
  <si>
    <t>Poistná suma</t>
  </si>
  <si>
    <t>Spoločnosť nemá žiadny dlhodobý hmotný majetok, na ktorý by bolo zriadené záložné právo.</t>
  </si>
  <si>
    <t>Spoločnosť neúčtovala o dlhodobom finančnom majetku.</t>
  </si>
  <si>
    <t xml:space="preserve">Základné imanie spoločnosti je zložené z plne upísaného a splateného podielu jediného spoločníka FOSS AS FIBEROPTISK SYSTEMSALG vo výške 2 506 390 EUR. 
. </t>
  </si>
  <si>
    <t>Zákonná rezerva na nevyčerpané dovolenky vrátane poistného</t>
  </si>
  <si>
    <t>Zákonná rezerva na audit a zverejnenie účtovnej závierky</t>
  </si>
  <si>
    <t>Ostatné</t>
  </si>
  <si>
    <t xml:space="preserve">Tatra banka - kreditná karta </t>
  </si>
  <si>
    <t>Spoločnosť neúčtovala o derivátoch.</t>
  </si>
  <si>
    <t xml:space="preserve">Tržby - Slovensko </t>
  </si>
  <si>
    <t xml:space="preserve">Tržby - Zahraničie </t>
  </si>
  <si>
    <t>Služby</t>
  </si>
  <si>
    <t>Ostatné prevádzkové výnosy</t>
  </si>
  <si>
    <t>Úroky</t>
  </si>
  <si>
    <t>Ostatné finančné výnosy</t>
  </si>
  <si>
    <t>Ostatné významné položky nákladov za poskytnuté služby, z toho:</t>
  </si>
  <si>
    <t>Prepravné</t>
  </si>
  <si>
    <t>Oprava a údržba</t>
  </si>
  <si>
    <t>Cestovné náklady</t>
  </si>
  <si>
    <t>Právne a ekonomické služby</t>
  </si>
  <si>
    <t>Revízie a údržby zar.</t>
  </si>
  <si>
    <t>Prenájom</t>
  </si>
  <si>
    <t xml:space="preserve">Zostatková cena predaného majetku </t>
  </si>
  <si>
    <t>Zmluvné pokuty, penále a úroky z omeškania</t>
  </si>
  <si>
    <t>Ostatné pokuty, penále a úroky z omeškania</t>
  </si>
  <si>
    <t>Ostatné prevádzkové náklady</t>
  </si>
  <si>
    <t>Servisné služby</t>
  </si>
  <si>
    <t xml:space="preserve"> FOSS AS FIBEROPTISK SYSTEMSALG</t>
  </si>
  <si>
    <t xml:space="preserve">Kód: 1 - Nákup materiálu, tovaru, dlhodobého majetku a refakturácia služieb ; 2 -  Tržby za výrobky, tovary a služby
</t>
  </si>
  <si>
    <t xml:space="preserve">Prehľad o peňažných tokoch bol spracovaný nepriamou metódou. </t>
  </si>
  <si>
    <t>Základné imanie spoločnosti sa vykazuje vo výške zapísanej v obchodnom registri okresného súdu. Prípadné zvýšenie alebo zníženie základného imania na základe rozhodnutia valného zhromaždenia, ktoré nebolo ku dňu účtovnej závierky zaregistrované, sa vykazuje ako zmeny základného imania.</t>
  </si>
  <si>
    <t>Spoločnosť vytvára zákonný rezervný fond v zmysle § 67 Obchodného zákonníka.</t>
  </si>
  <si>
    <t xml:space="preserve">Aktivácia DHM </t>
  </si>
  <si>
    <t>Tržby z predaja hmotného a nehmotného majetku</t>
  </si>
  <si>
    <t>D</t>
  </si>
  <si>
    <t>i</t>
  </si>
  <si>
    <t>s</t>
  </si>
  <si>
    <t>t</t>
  </si>
  <si>
    <t>r</t>
  </si>
  <si>
    <t>o</t>
  </si>
  <si>
    <t>u</t>
  </si>
  <si>
    <t>S</t>
  </si>
  <si>
    <t>e</t>
  </si>
  <si>
    <t>n</t>
  </si>
  <si>
    <t>,</t>
  </si>
  <si>
    <t>f</t>
  </si>
  <si>
    <t>l</t>
  </si>
  <si>
    <t>N</t>
  </si>
  <si>
    <t>C</t>
  </si>
  <si>
    <t>accounting@optocon.sk</t>
  </si>
  <si>
    <t>Dlhodobé i krátkodobé záväzky sa vykazujú v menovitých hodnotách. Ak sa pri inventarizácii zistí, že suma záväzkov je iná ako ich výška v účtovníctve, uvedú sa záväzky v účtovníctve a v účtovnej závierke v tomto zistenom ocenení.</t>
  </si>
  <si>
    <t>Ocenenie nadbytočných, zastaraných a nízkoobrátkových zásob sa znižuje na nižšiu úžitkovú hodnotu prostredníctvom opravných položiek.</t>
  </si>
  <si>
    <t>Spoločnosť v bežnom účtovnom období neúčtovala o oprave významných chýb minulých období.</t>
  </si>
  <si>
    <t>Rezerva na audit a zverejnenie účtovnej závierky</t>
  </si>
  <si>
    <t>n)   Opravy chýb minulých účtovných období</t>
  </si>
  <si>
    <t>EUR</t>
  </si>
  <si>
    <t xml:space="preserve"> -</t>
  </si>
  <si>
    <t>The sole statutory representative of the Company from 5 June 2013 is Mr. Erland Bech.</t>
  </si>
  <si>
    <t xml:space="preserve">
installation, repair, maintenance of electrical equipment</t>
  </si>
  <si>
    <t>production of low voltage - electrical equipment with voltage up to 1000 V</t>
  </si>
  <si>
    <t>manufacture, installation and repair of electrical machinery and apparatus</t>
  </si>
  <si>
    <t>manufacture of fiber optic, patch cords and cable assemblies</t>
  </si>
  <si>
    <t>The Company does not have unlimited liability in any company.</t>
  </si>
  <si>
    <t>Statutory representatives</t>
  </si>
  <si>
    <t>The Company has no foreign branch.</t>
  </si>
  <si>
    <t>linear</t>
  </si>
  <si>
    <t>Current financial assets consist of  stamps and vouchers, cash in hand and in bank.</t>
  </si>
  <si>
    <t xml:space="preserve">Internally generated inventory is stated at own costs. Own costs include direct material and labour costs and production overheads. </t>
  </si>
  <si>
    <t>e)    Receivables</t>
  </si>
  <si>
    <t>f)    Deferred Expenses and Accrued Revenues</t>
  </si>
  <si>
    <t xml:space="preserve">g)    Liabilities </t>
  </si>
  <si>
    <t>h)    Provisions</t>
  </si>
  <si>
    <t>i)    Deferred Revenues and Accrued Expenses</t>
  </si>
  <si>
    <t>j)    Equity</t>
  </si>
  <si>
    <t xml:space="preserve">The Company’s share capital is stated in the amount recorded in the Commercial Register with the District Court. Any increase or decrease in the share capital pursuant to a decision made by the General Meeting, which was not entered in the Commercial Register at the reporting date, is recognized as a change in share capital. </t>
  </si>
  <si>
    <t>k)    Foreign Currency Transactions</t>
  </si>
  <si>
    <t>l)    Revenues</t>
  </si>
  <si>
    <t>m)   Income Tax</t>
  </si>
  <si>
    <t>n)   Correction of misstatements from previous periods</t>
  </si>
  <si>
    <t>The Company in current period did not account for any material misstatements from previous periods.</t>
  </si>
  <si>
    <t>Information on non-current intangible assets:</t>
  </si>
  <si>
    <t>Information on non-current tangible assets:</t>
  </si>
  <si>
    <t>The Company has no intangible assets for which it was pledged.</t>
  </si>
  <si>
    <t>The company has no tangible assets to which it was pledged.</t>
  </si>
  <si>
    <t>Asset</t>
  </si>
  <si>
    <t>Issurance</t>
  </si>
  <si>
    <t>Insurred amount</t>
  </si>
  <si>
    <t>The company did not account for long-term financial assets.</t>
  </si>
  <si>
    <r>
      <t xml:space="preserve">8.      </t>
    </r>
    <r>
      <rPr>
        <b/>
        <u/>
        <sz val="10"/>
        <color theme="1"/>
        <rFont val="Arial"/>
        <family val="2"/>
        <charset val="238"/>
      </rPr>
      <t xml:space="preserve">ACCRUALS AND PREPAYMENTS </t>
    </r>
  </si>
  <si>
    <t>Car insurance</t>
  </si>
  <si>
    <t>The company's capital is composed of fully depreciated and paid share a single shareholder FOSS AS FIBEROPTISK SYSTEMSALG in the amount of EUR 2,506,390.</t>
  </si>
  <si>
    <t>A legal reserve for unused vacation including insurance</t>
  </si>
  <si>
    <t>The provision for audit and publication of accounts</t>
  </si>
  <si>
    <t>Provision for bonuses</t>
  </si>
  <si>
    <t>The company did not account for derivatives.</t>
  </si>
  <si>
    <t>Revenues - Slovakia</t>
  </si>
  <si>
    <t>Revenues Other</t>
  </si>
  <si>
    <t>Revenue from sale of non-current assets and material</t>
  </si>
  <si>
    <t>Other operating revenues</t>
  </si>
  <si>
    <t>Own work capitalized</t>
  </si>
  <si>
    <t>Interest income</t>
  </si>
  <si>
    <t>Other financial revenue</t>
  </si>
  <si>
    <t>Other significant items of costs of services, including:
Other significant items of costs for services, including:</t>
  </si>
  <si>
    <t>Repair and maintenance</t>
  </si>
  <si>
    <t>Travel costs</t>
  </si>
  <si>
    <t>Transportation costs</t>
  </si>
  <si>
    <t>Law and economic services</t>
  </si>
  <si>
    <t>Revisions and maintenance</t>
  </si>
  <si>
    <t>Rent</t>
  </si>
  <si>
    <t>Servicing</t>
  </si>
  <si>
    <t>Net book value of assets sold</t>
  </si>
  <si>
    <t>Contractual fines, penalties and interest for late payment</t>
  </si>
  <si>
    <t>Other fines, penalties and interest for late payment</t>
  </si>
  <si>
    <t>Non tax write off debts</t>
  </si>
  <si>
    <t>Other operating expenses</t>
  </si>
  <si>
    <t>Bank charges</t>
  </si>
  <si>
    <t xml:space="preserve">The cash flow statement was prepared using the indirect method. </t>
  </si>
  <si>
    <t>Non-current intangible assets including goodwill are amortized over their estimated useful life. The estimated useful life, depreciation method and depreciation rate for individual non-current intangible assets are set based on estimated earning of future economic benefits.</t>
  </si>
  <si>
    <t xml:space="preserve"> Poistné</t>
  </si>
  <si>
    <t>Members of the statutory bodies as at 31 March 2017 were as follows:</t>
  </si>
  <si>
    <t>Goodwill was initially recognized as the difference between the purchase price and the fair value of individual assets and liabilities. Subsequently, when assessing the amount of goodwill is determined at what level in the future in connection with goodwill will increase economic benefits. If future increases in economic benefits is likely to be less than the amount of goodwill recognized on account 015 - Goodwill, a portion of goodwill is amortized (testing impairement). In 2016, there was no need to account for the impairment of goodwill. The Company started amortization of goodwill from 1.1.2016 for the period of seven years, which is the estimate of consumption of future economic benefits.</t>
  </si>
  <si>
    <t>Tatra banka - credit cards</t>
  </si>
  <si>
    <t>Spoločnosť očakáva použitie krátkodobých rezerv počas nasledujúceho účtovného obdobia.</t>
  </si>
  <si>
    <t>Informácie o daniach z príjmov:</t>
  </si>
  <si>
    <t>The Company expects usage of short term provisions during upcoming financial year.</t>
  </si>
  <si>
    <t>Income taxes</t>
  </si>
  <si>
    <t>Information on income tax:</t>
  </si>
  <si>
    <t>Total deferred tax asset recognised as income or expense arising from change in income tax rate</t>
  </si>
  <si>
    <t>Total deferred tax liability recognised as income or expense arising from change in income tax rate</t>
  </si>
  <si>
    <t>Total deferred tax asset in respect of tax loss carry-forward, unused tax credits and other tax claims, as well as temporary differences from previous  accounting periods in respect of which a deferred tax asset was not recognized in the previous  accounting periods</t>
  </si>
  <si>
    <t xml:space="preserve">Total deferred tax liability arising from part of 
a deferred tax asset not recognized in the current accounting period, which was recognized in previous  accounting periods
</t>
  </si>
  <si>
    <t>Total tax losses carried forward, unused tax deductions and other tax claims and deductible temporary differences in respect of which a deferred tax asset was not recognized</t>
  </si>
  <si>
    <t>Total deferred income tax relating to items recognised directly to equity accounts without being recognised in expense or income accounts</t>
  </si>
  <si>
    <t xml:space="preserve">Foss Fibre Optics, s.r.o. 
</t>
  </si>
  <si>
    <t>Odborárska</t>
  </si>
  <si>
    <t xml:space="preserve">831 02 </t>
  </si>
  <si>
    <t>za rok končiaci: 31.3.2018</t>
  </si>
  <si>
    <t>Table 1 - Cash Flow Statement - period ending 31 March 2018</t>
  </si>
  <si>
    <t xml:space="preserve">V účtovnom období končiacom k 31.3.2018 bol zmenený názov a adresa spoločnosti. Uvedené zmeny boli zapísané do Obchodného registra ku dňu 8.3.2018.                                                                                                                                                                 </t>
  </si>
  <si>
    <t>Členovia štatutárnych orgánov k 31. marcu 2018:</t>
  </si>
  <si>
    <t>Účtovná závierka spoločnosti za predchádzajúce účtovné obdobie k 31. marcu 2017 bola schválená jediným spoločníkom spoločnosti dňa 23. augusta 2017.</t>
  </si>
  <si>
    <t xml:space="preserve">Účtovné zásady a metódy, ktoré spoločnosť používala pri zostavení účtovnej závierky za účtovné obdobia končiace k 31. marcu 2018 a k 31. marcu 2017 sú nasledovné: </t>
  </si>
  <si>
    <t>10 rokov</t>
  </si>
  <si>
    <t>Goodwill sa prvotne vykázal ako rozdiel medzi kúpnou cenou a reálnou hodnotou jednotlivých zložiek majetku a záväzkov. Následne, pri posudzovaní výšky goodwillu, sa zisťuje v akej výške sa v budúcnosti v súvislosti s goodwillom zvýšia ekonomické úžitky. Ak budúce zvýšenie ekonomických úžitkov bude pravdepodobne nižšie než je výška goodwillu zaúčtovaná na účte 015 – Goodwill, príslušná časť goodwillu sa odpíše (testovanie na impairement). Spoločnosť začala goodwill odpisovať od 1.1.2016 počas doby 7 rokov, čo je odhad doby spotreby ekonomických úžitkov z goodwillu.</t>
  </si>
  <si>
    <t>Poistenie dlhodobého majetku je kryté globálnym kontraktom v rámci skupiny discoverIE Group plc. (poisťovňa Chubb European Group Limited).</t>
  </si>
  <si>
    <t>K pohľadávkam voči zamestnancom boli v období končiacom k 31. marcu 2018 vytvorené opravné položky na základe a predpokladu ich vymožiteľnosti.</t>
  </si>
  <si>
    <t>Pohľadávky voči spriazneným osobám ku koncu účtovného obdobia mali hodnotu 134 342 EUR.</t>
  </si>
  <si>
    <t>Informácie o pohľadávkach zabezpečených záložným právom alebo inou formou zabezpečenia.</t>
  </si>
  <si>
    <t>Licencie a ostatné náklady</t>
  </si>
  <si>
    <t>Rozdelenie účtovného zisku spoločnosti za predchádzajúce účtovné obdobie k 31. marcu 2017 bolo schválené jediným spoločníkom spoločnosti dňa 23. augusta 2017.</t>
  </si>
  <si>
    <t>Rezerva na odmeny a služby</t>
  </si>
  <si>
    <t>Odpis pohľadávky-faktoring</t>
  </si>
  <si>
    <t>Bankove a faktoringové poplatky</t>
  </si>
  <si>
    <t xml:space="preserve">Na základe rozhodnutia jediného spoločníka zo dňa 23. augusta 2017 jediný spoločník spoločnosti schválil rozdelenie zisku za </t>
  </si>
  <si>
    <t>obdobie končiace 31. marca 2017.</t>
  </si>
  <si>
    <t>Na základe rozhodnutia jediného spoločníka v bežnom účtovnom období vyplatila spoločnosť dividendy  vo výške 114 636 EUR.</t>
  </si>
  <si>
    <t>In accounting period ending 31/3/2018 there was a change of business name and registered seat of the Company. Changes became officially valid in Commercial Register as of 08/03/2018.</t>
  </si>
  <si>
    <t xml:space="preserve">The accounting policies and methods applied by the Company in preparing the financial statements for the periods ending 31/3/2017 and 31/3/2018 were as follows: </t>
  </si>
  <si>
    <t>Non current assets are insured under global contract with discoverIE Group plc. (insurer Chubb European Group Limited).</t>
  </si>
  <si>
    <t>for the period ending 31 March 2017.</t>
  </si>
  <si>
    <t>Záväzky voči spriazneným osobám sú v hodnote EUR 19 992.</t>
  </si>
  <si>
    <t>The Company has liabilities to related parties of EUR 19 992.</t>
  </si>
  <si>
    <t>The company did not account for finance leases.</t>
  </si>
  <si>
    <t>No events occurred subsequent to 31 March 2018 that might have a material effect on the fair presentation of the matters disclosed in these financial statements.</t>
  </si>
  <si>
    <t xml:space="preserve">Dlhodobý nehmotný majetok vrátane goodwill-u sa odpisuje do nákladov počas predpokladanej doby životnosti príslušného </t>
  </si>
  <si>
    <t>majetku a v súlade s očakávaným prínosom ekonomických úžitkov do budúcnosti.</t>
  </si>
  <si>
    <t>Spôsob a výška poistenia dlhodobého nehmotného majetku a dlhodobého hmotného majetku na úrovni FOSS Norway a Foss Fibre Optics</t>
  </si>
  <si>
    <t>živelné poistenie, poistenie pre prípad odcudzenia</t>
  </si>
  <si>
    <t>1 000 000 EUR</t>
  </si>
  <si>
    <t>Stroje, prístroje, zariadenia a zariadenie kancelárii. PC</t>
  </si>
  <si>
    <t>680 000 EUR</t>
  </si>
  <si>
    <t>Machinery, appliances and office equipment and supplies, PC's</t>
  </si>
  <si>
    <t>Type and amount of insurance of intangible and tangible fixed assets and inventory</t>
  </si>
  <si>
    <t>natural hazards and theft insurance</t>
  </si>
  <si>
    <t>Ročná odpisová sadzba v %</t>
  </si>
  <si>
    <t>4 - 12 rokov</t>
  </si>
  <si>
    <t>8 - 25</t>
  </si>
  <si>
    <t>Zásoby nakupované sa oceňujú obstarávacou cenou, ktorá zahrňuje cenu, za ktorú sa majetok obstaral, a náklady súvisiace s obstaraním (clo, prepravu, poistné, provízie a pod.) znížené o zľavy z ceny. Zľava z ceny poskytnutá k už predaným alebo spotrebovaným zásobám sa účtuje ako zníženie nákladov na predané alebo spotrebované zásoby. Spoločnosť účtuje o zásobách spôsobom A tak, ako to definujú postupy účtovania. Úbytok zásob sa účtuje v cene zistenej metódou FIFO - first in, first out (prvá cena na ocenenie prírastku zásob sa použije ako prvá cena na ocenenie úbytku zásob).</t>
  </si>
  <si>
    <t>Ak sú obstarávacia cena alebo vlastné náklady zásob vyššie než ich čistá realizačná hodnota ku dňu, ku ktorému sa zostavuje účtovná závierka, vytvára sa opravná položka k zásobám vo výške rozdielu medzi ich ocenením v účtovníctve a ich čistou realizačnou hodnotou. Čistá realizačná hodnota je predpokladaná predajná cena zásob znížená o predpokladané náklady na ich dokončenie a náklady súvisiace s ich predajom.</t>
  </si>
  <si>
    <t>Rezerva je záväzok predstavujúci existujúcu povinnosť Spoločnosti, ktorá vznikla z minulých udalostí a je pravdepodobné, že v budúcnosti zníži jej ekonomické úžitky. Rezervy sú záväzky s neurčitým časovým vymedzením alebo výškou a oceňujú sa odhadom v sume potrebnej na splnenie existujúcej povinnosti ku dňu, ku ktorému sa zostavuje účtovná závierka.
Tvorba rezervy sa účtuje na vecne príslušný nákladový alebo majetkový účet, ku ktorému záväzok prislúcha. Použitie rezervy sa účtuje na ťarchu vecne príslušného účtu rezerv so súvzťažným zápisom v prospech vecne príslušného účtu záväzkov. Rozpustenie nepotrebnej rezervy alebo jej časti sa účtuje opačným účtovným zápisom ako sa účtovala tvorba rezervy.</t>
  </si>
  <si>
    <t>O odloženom daňovom záväzku účtuje spoločnosť vždy. Odložená daňová pohľadávka sa účtuje iba do takej výšky, do akej je pravdepodobné, že bude možné dočasné rozdiely vyrovnať voči budúcemu základu dane. Pri výpočte odloženej dane sa použije sadzba dane z príjmov, o ktorej sa predpokladá, že bude platiť v čase vyrovnania odloženej dane.</t>
  </si>
  <si>
    <t>Spoločnosť vykazuje v majetku goodwill v účtovnej zostatkovej hodnote 1 500 724 EUR, ktorý vznikol v roku 2013 ako výsledok zlúčenia spoločnosti Optocon technologies s. r. o.  (od 8. marca 2018 Foss Fibre Optics, s.r.o.) a FOSS Slovakia s.r.o.</t>
  </si>
  <si>
    <t>Informácie o vekovej štruktúre pohľadávok za obdobie k 31. marcu 2018:</t>
  </si>
  <si>
    <t>Informácie o vekovej štruktúre pohľadávok za obdobie k 31. marcu 2017:</t>
  </si>
  <si>
    <t>Informácie o rozdelení účtovného zisku za bezprostredne predchádzajúce účtovné obdobie</t>
  </si>
  <si>
    <t>Informácie o odloženom daňovom záväzku</t>
  </si>
  <si>
    <t>Aktivácia nákladov a výnosy z hospodárskej a finančnej činnosti</t>
  </si>
  <si>
    <t>Informácie o výnosoch pri aktivácii nákladov a o výnosoch z hospodárskej a finančnej činnosti</t>
  </si>
  <si>
    <t>Po 31. marci 2018 nenastali také udalosti, ktoré majú významný vplyv na verné zobrazenie skutočností uvádzaných v tejto účtovnej závierke.</t>
  </si>
  <si>
    <t>pohľadávky z obch. styku</t>
  </si>
  <si>
    <t>záväzky z obch. styku</t>
  </si>
  <si>
    <t>Informácie o mzdových nákladoch</t>
  </si>
  <si>
    <t>Osobné náklady, z toho:</t>
  </si>
  <si>
    <t>Mzdy</t>
  </si>
  <si>
    <t>Socíálne zabezpečenie</t>
  </si>
  <si>
    <t>Zdravotné a sociálne poistenie</t>
  </si>
  <si>
    <t>Záväzky voči prepojeným účtovným jednotkám</t>
  </si>
  <si>
    <t>Záväzky zo sociálneho fondu</t>
  </si>
  <si>
    <t>Ostatné záväzky z obchodného styku</t>
  </si>
  <si>
    <t>Záväzky voči zamestnancom</t>
  </si>
  <si>
    <t>Záväzky zo sociálneho poistenia</t>
  </si>
  <si>
    <t>Daňové záväzky a dotácie</t>
  </si>
  <si>
    <t>Iné záväzky</t>
  </si>
  <si>
    <t>Foss Fibre Optics, s.r.o. (until March 8th, 2018 "Optocon technologies s. r. o.", further as "the Company") is a limited liability company, established on 5 January 1994 and incorporated on 14 January 1994 with the Commercial Register of the District Court Bratislava I Section Sro Insert No. 6374/B Its registered office is Odborárska 52, 831 02 Bratislava, Slovak Republic and its registration number is 31365507.</t>
  </si>
  <si>
    <t>Annual depreciation rate in %</t>
  </si>
  <si>
    <t>4 - 12 years</t>
  </si>
  <si>
    <t>Deferred tax liability is recognized if exists. Deferred tax asset is recognized under condition of probable future economic benefits. Deferred tax is calculated using the tax rate applicable for periods when it shall be used.</t>
  </si>
  <si>
    <t>The Company recognizes goodwill in amount EUR 1,500,724, which originated in 2013 from merger of Optocon technologies s.r.o. (from March 8th Foss Fibre Optics, s.r.o.) and FOSS Slovakia s.r.o..</t>
  </si>
  <si>
    <t>Value for immediately preceding accounting period</t>
  </si>
  <si>
    <t>Information on ageing structure of receivables as of 31 March 2017:</t>
  </si>
  <si>
    <t>Information on ageing structure of receivables as of 31 March 2018:</t>
  </si>
  <si>
    <t>Information on distribution of accounting profit or on settlement of accounting loss for preceeding accounting period:</t>
  </si>
  <si>
    <t>Long-term liabilities to connected entities</t>
  </si>
  <si>
    <t>Social fund payable</t>
  </si>
  <si>
    <t>Trade payables to connected entities</t>
  </si>
  <si>
    <t>Trade payables to group except for connected entities</t>
  </si>
  <si>
    <t>Payables to employees</t>
  </si>
  <si>
    <t>Social security payables</t>
  </si>
  <si>
    <t>Tax liabilities and subsidies</t>
  </si>
  <si>
    <t>Other short-term liabilities</t>
  </si>
  <si>
    <t xml:space="preserve">Information on deferred tax liability: </t>
  </si>
  <si>
    <t>The Company did not account about any off balance sheet items, contingent assets of liabilities as at 31 March 2018.</t>
  </si>
  <si>
    <t>Capitalization and operating income and financial income</t>
  </si>
  <si>
    <t>Information on capitalized costs, operating and financial income:</t>
  </si>
  <si>
    <t>Information on personnel expenses:</t>
  </si>
  <si>
    <t>Personnel expenses, of which:</t>
  </si>
  <si>
    <t>Payroll costs</t>
  </si>
  <si>
    <t>Social security expenses</t>
  </si>
  <si>
    <t>Other social expenses</t>
  </si>
  <si>
    <t>Company for the financial year ending 31 March 2018 does not confer any remuneration for members of statutory bodies. In addition, no guarantees or loans have been provided to statutory bodies.</t>
  </si>
  <si>
    <t>trade receivables</t>
  </si>
  <si>
    <t>trade payables</t>
  </si>
  <si>
    <t>Bezprostredne predchádzajúce obdobie</t>
  </si>
  <si>
    <t>Spoločnosť v účtovnom období končiacom 31. marca 2018 nepriznala žiadne odmeny členom štatutárnych orgánov. Taktiež neboli poskytnuté záruky alebo iné zabezpečenia, resp. pôžičky členom týchto orgánov.</t>
  </si>
  <si>
    <t>Štatutárny orgán navrhuje zisk po zdanení za finančný rok končiaci k 31. marcu 2018 preúčtovať v plnej výške na účet nerozdeleného zisku minulých rokov.</t>
  </si>
  <si>
    <t xml:space="preserve">Foss Fibre Optics, s.r.o. (do 8. marca 2018 Optocon technologies s. r. o., ďalej len „spoločnosť”) je spoločnosť s ručením obmedzeným, ktorá bola založená dňa 5. januára 1994. Dňa 14. januára 1994 bola zapísaná do Obchodného registra vedenom na Okresnom súde Bratislava I v Bratislave, oddiel Sro, vložka 6374/B. Spoločnosť sídli na Odborárskej 52, 831 02 Bratislava, Slovenská republika, identifikačné číslo 31365507.
. </t>
  </si>
  <si>
    <t>Informácie o počte zamestnancov:</t>
  </si>
  <si>
    <t>Informácie o štruktúre spoločníkov ku dňu, ku ktorému sa zostavuje účtovná závierka a o štruktúre spoločníkov do dňa jej zmeny v priebehu účtovného obdobia:</t>
  </si>
  <si>
    <t>Jediný spoločník Spoločnosti schválil dňa 12. decembra 2017 spoločnosť PricewaterhouseCoopers Slovensko, s.r.o. ako audítora účtovnej závierky za finančný rok končiaci 31. marca 2018.</t>
  </si>
  <si>
    <t>Spoločnosť vytvorila rezervy na nevyčerpané dovolenky, odmeny manažmentu a zamestnancov, daňové a audítorské služby.</t>
  </si>
  <si>
    <t>Výnosy Spoločnosti tvoria najmä tržby z predaja tovaru, výrobkov a služieb súvisiacich s hlavným predmetom činnosti Spoločnosti.</t>
  </si>
  <si>
    <t>Zníženie čistej realizačnej hodnoty zásob bolo zohľadnené vytvorením opravnej položky. Čistá realizačná hodnota zásob sa znížila predovšetkým v dôsledku nadmernosti zásob.</t>
  </si>
  <si>
    <t>Zákonný rezervný fond a nedeliteľný fond</t>
  </si>
  <si>
    <t>Vlastné imanie spolu</t>
  </si>
  <si>
    <t>Rezervný fond na vlastné akcie a vlastné podiely</t>
  </si>
  <si>
    <t>Štatutárne fondy</t>
  </si>
  <si>
    <t>Ostatné fondy</t>
  </si>
  <si>
    <r>
      <t>5.</t>
    </r>
    <r>
      <rPr>
        <b/>
        <sz val="7"/>
        <color theme="1"/>
        <rFont val="Times New Roman"/>
        <family val="1"/>
        <charset val="238"/>
      </rPr>
      <t>      </t>
    </r>
    <r>
      <rPr>
        <b/>
        <u/>
        <sz val="10"/>
        <color theme="1"/>
        <rFont val="Arial"/>
        <family val="2"/>
        <charset val="238"/>
      </rPr>
      <t>VŠEOBECNÉ ÚČTOVNÉ ZÁSADY A METÓDY</t>
    </r>
  </si>
  <si>
    <r>
      <t>6.</t>
    </r>
    <r>
      <rPr>
        <b/>
        <sz val="7"/>
        <color theme="1"/>
        <rFont val="Times New Roman"/>
        <family val="1"/>
        <charset val="238"/>
      </rPr>
      <t>      </t>
    </r>
    <r>
      <rPr>
        <b/>
        <u/>
        <sz val="10"/>
        <color theme="1"/>
        <rFont val="Arial"/>
        <family val="2"/>
        <charset val="238"/>
      </rPr>
      <t>DLHODOBÝ MAJETOK</t>
    </r>
  </si>
  <si>
    <r>
      <t xml:space="preserve">7.      </t>
    </r>
    <r>
      <rPr>
        <b/>
        <u/>
        <sz val="10"/>
        <color theme="1"/>
        <rFont val="Arial"/>
        <family val="2"/>
        <charset val="238"/>
      </rPr>
      <t>ZÁSOBY</t>
    </r>
  </si>
  <si>
    <r>
      <t xml:space="preserve">8.      </t>
    </r>
    <r>
      <rPr>
        <b/>
        <u/>
        <sz val="10"/>
        <color theme="1"/>
        <rFont val="Arial"/>
        <family val="2"/>
        <charset val="238"/>
      </rPr>
      <t>POHĽADÁVKY</t>
    </r>
  </si>
  <si>
    <r>
      <t xml:space="preserve">9.      </t>
    </r>
    <r>
      <rPr>
        <b/>
        <u/>
        <sz val="10"/>
        <color theme="1"/>
        <rFont val="Arial"/>
        <family val="2"/>
        <charset val="238"/>
      </rPr>
      <t>FINANČNÉ ÚČTY</t>
    </r>
  </si>
  <si>
    <r>
      <t xml:space="preserve">10.      </t>
    </r>
    <r>
      <rPr>
        <b/>
        <u/>
        <sz val="10"/>
        <color theme="1"/>
        <rFont val="Arial"/>
        <family val="2"/>
        <charset val="238"/>
      </rPr>
      <t>ČASOVÉ ROZLÍŠENIE</t>
    </r>
  </si>
  <si>
    <r>
      <t xml:space="preserve">11.      </t>
    </r>
    <r>
      <rPr>
        <b/>
        <u/>
        <sz val="10"/>
        <color theme="1"/>
        <rFont val="Arial"/>
        <family val="2"/>
        <charset val="238"/>
      </rPr>
      <t>VLASTNÉ IMANIE</t>
    </r>
  </si>
  <si>
    <r>
      <t xml:space="preserve">12.      </t>
    </r>
    <r>
      <rPr>
        <b/>
        <u/>
        <sz val="10"/>
        <color theme="1"/>
        <rFont val="Arial"/>
        <family val="2"/>
        <charset val="238"/>
      </rPr>
      <t>REZERVY</t>
    </r>
  </si>
  <si>
    <r>
      <t xml:space="preserve">13.      </t>
    </r>
    <r>
      <rPr>
        <b/>
        <u/>
        <sz val="10"/>
        <color theme="1"/>
        <rFont val="Arial"/>
        <family val="2"/>
        <charset val="238"/>
      </rPr>
      <t>ZÁVÄZKY</t>
    </r>
  </si>
  <si>
    <r>
      <t>14.     </t>
    </r>
    <r>
      <rPr>
        <b/>
        <u/>
        <sz val="10"/>
        <color theme="1"/>
        <rFont val="Arial"/>
        <family val="2"/>
        <charset val="238"/>
      </rPr>
      <t>ODLOŽENÁ DAŇ Z PRÍJMOV</t>
    </r>
  </si>
  <si>
    <r>
      <t>15.     </t>
    </r>
    <r>
      <rPr>
        <b/>
        <u/>
        <sz val="10"/>
        <color theme="1"/>
        <rFont val="Arial"/>
        <family val="2"/>
        <charset val="238"/>
      </rPr>
      <t>INFORMÁCIE O ZÁVAZKOCH ZO SOCIÁLNEHO FONDU</t>
    </r>
  </si>
  <si>
    <r>
      <t xml:space="preserve">16.      </t>
    </r>
    <r>
      <rPr>
        <b/>
        <u/>
        <sz val="10"/>
        <color theme="1"/>
        <rFont val="Arial"/>
        <family val="2"/>
        <charset val="238"/>
      </rPr>
      <t>BANKOVÉ ÚVERY A FINANČNÉ VÝPOMOCI</t>
    </r>
  </si>
  <si>
    <r>
      <t>17.     </t>
    </r>
    <r>
      <rPr>
        <b/>
        <u/>
        <sz val="10"/>
        <color theme="1"/>
        <rFont val="Arial"/>
        <family val="2"/>
        <charset val="238"/>
      </rPr>
      <t>ČASOVÉ ROZLÍŠENIE</t>
    </r>
  </si>
  <si>
    <r>
      <t>18.     </t>
    </r>
    <r>
      <rPr>
        <b/>
        <u/>
        <sz val="10"/>
        <color theme="1"/>
        <rFont val="Arial"/>
        <family val="2"/>
        <charset val="238"/>
      </rPr>
      <t>DERIVÁTY</t>
    </r>
  </si>
  <si>
    <r>
      <t>19.     </t>
    </r>
    <r>
      <rPr>
        <b/>
        <u/>
        <sz val="10"/>
        <color theme="1"/>
        <rFont val="Arial"/>
        <family val="2"/>
        <charset val="238"/>
      </rPr>
      <t>LÍZING (SPOLOČNOSŤ JE NÁJOMCOM)</t>
    </r>
  </si>
  <si>
    <r>
      <t>20.     </t>
    </r>
    <r>
      <rPr>
        <b/>
        <u/>
        <sz val="10"/>
        <color theme="1"/>
        <rFont val="Arial"/>
        <family val="2"/>
        <charset val="238"/>
      </rPr>
      <t xml:space="preserve">PODMIENENÉ ZÁVÄZKY A AKTÍVA, PODSÚVAHOVÉ POLOŽKY </t>
    </r>
  </si>
  <si>
    <r>
      <t>21.     </t>
    </r>
    <r>
      <rPr>
        <b/>
        <u/>
        <sz val="10"/>
        <color theme="1"/>
        <rFont val="Arial"/>
        <family val="2"/>
        <charset val="238"/>
      </rPr>
      <t>VÝNOSY A NÁKLADY</t>
    </r>
  </si>
  <si>
    <r>
      <t>22.     </t>
    </r>
    <r>
      <rPr>
        <b/>
        <u/>
        <sz val="10"/>
        <color theme="1"/>
        <rFont val="Arial"/>
        <family val="2"/>
        <charset val="238"/>
      </rPr>
      <t>INFORMÁCIE O SPRIAZNENÝCH OSOBÁCH</t>
    </r>
  </si>
  <si>
    <t>23.     INFORMÁCIE O ZMENÁCH VLASTNÉHO IMANIA</t>
  </si>
  <si>
    <r>
      <t>24.     </t>
    </r>
    <r>
      <rPr>
        <b/>
        <u/>
        <sz val="10"/>
        <color theme="1"/>
        <rFont val="Arial"/>
        <family val="2"/>
        <charset val="238"/>
      </rPr>
      <t xml:space="preserve">PREHĽAD O PEŇAŽNÝCH TOKOCH </t>
    </r>
  </si>
  <si>
    <r>
      <t>25.     </t>
    </r>
    <r>
      <rPr>
        <b/>
        <u/>
        <sz val="10"/>
        <color theme="1"/>
        <rFont val="Arial"/>
        <family val="2"/>
        <charset val="238"/>
      </rPr>
      <t>VÝZNAMNÉ UDALOSTI, KTORÉ NASTALI PO DNI, KU KTORÉMU SA ZOSTAVUJE ÚČTOVNÁ ZÁVIERKA</t>
    </r>
  </si>
  <si>
    <r>
      <t>4.</t>
    </r>
    <r>
      <rPr>
        <b/>
        <sz val="7"/>
        <color theme="1"/>
        <rFont val="Times New Roman"/>
        <family val="1"/>
        <charset val="238"/>
      </rPr>
      <t xml:space="preserve">       </t>
    </r>
    <r>
      <rPr>
        <b/>
        <u/>
        <sz val="10"/>
        <color theme="1"/>
        <rFont val="Arial"/>
        <family val="2"/>
        <charset val="238"/>
      </rPr>
      <t>DÁTUM SCHVÁLENIA AUDÍTORA SPOLOČNOSTI</t>
    </r>
  </si>
  <si>
    <r>
      <t>3.</t>
    </r>
    <r>
      <rPr>
        <b/>
        <sz val="7"/>
        <color theme="1"/>
        <rFont val="Times New Roman"/>
        <family val="1"/>
        <charset val="238"/>
      </rPr>
      <t xml:space="preserve">       </t>
    </r>
    <r>
      <rPr>
        <b/>
        <u/>
        <sz val="10"/>
        <color theme="1"/>
        <rFont val="Arial"/>
        <family val="2"/>
        <charset val="238"/>
      </rPr>
      <t>DÁTUM SCHVÁLENIA ÚČTOVNEJ ZÁVIERKY ZA PREDCHÁDZAJÚCE ÚČTOVNÉ OBDOBIE</t>
    </r>
  </si>
  <si>
    <t xml:space="preserve">Goodwill vznikol ako rozdiel medzi obstarávacou cenou a podielom spoločnosti na reálnej hodnote obstaraného identifikovateľného majetku a záväzkov v deň obstarania. Následne, pri posudzovaní výšky goodwillu, sa zisťuje v akej výške sa v budúcnosti v súvislosti s goodwillom zvýšia ekonomické úžitky. Ak budúce zvýšenie ekonomických úžitkov bude pravdepodobne nižšie než je výška goodwillu zaúčtovaná na účte 015 – Goodwill, príslušná časť goodwillu sa odpíše (testovanie na impairment). </t>
  </si>
  <si>
    <t>Spoločnosť neúčtovala o finančnom lízingu.</t>
  </si>
  <si>
    <t>Spoločnosť k 31. marcu 2018 neevidovala žiadne podmienené záväzky a aktíva ani žiadne hodnoty na podsúvahových účtoch.
Podmieneným majetkom sa rozumie možný majetok, ktorý vznikol v dôsledku minulých udalostí a ktorého existencia alebo vlastníctvo závisí od toho, či nastane alebo nenastane jedna alebo viac neistých udalostí v budúcnosti, ktorých vznik nezávisí od účtovnej jednotky.
Podmieneným záväzkom sa rozumie:
• možná povinnosť, ktorá vznikla ako dôsledok minulej udalosti a ktorej existencia závisí od toho, či nastane alebo nenastane jedna alebo viac neistých udalostí v budúcnosti, ktorých vznik nezávisí od účtovnej jednotky, alebo
• povinnosť, ktorá vznikla ako dôsledok minulej udalosti, ale ktorá sa nevykazuje v súvahe, pretože nie je pravdepodobné, že na splnenie tejto povinnosti bude potrebný úbytok ekonomických úžitkov, alebo výška tejto povinnosti sa nedá spoľahlivo oceniť.
Vzhľadom na to, že viaceré oblasti slovenského daňového práva (napr. legislatíva ohľadom transferového oceňovania) doteraz neboli dostatočne overené praxou, existuje neistota v tom, ako ich budú daňové orgány aplikovať. Mieru tejto neistoty nie je možné kvantifikovať a zanikne až potom, keď budú k dispozícii právne precedensy príp. oficiálne interpretácie príslušných orgánov. Vedenie Spoločnosti si nie je vedomé žiadnych okolností, v dôsledku ktorých by jej vznikol v budúcnosti významný náklad.</t>
  </si>
  <si>
    <t>Contingent asset is a possible asset that arises from past events, and whose existence will be confirmed only by the occurrence or non-occurrence of one or more uncertain future events not wholly within the control of the accounting entity.</t>
  </si>
  <si>
    <t>Contingent liability is:</t>
  </si>
  <si>
    <t>- a possible obligation depending on whether some uncertain future event occurs whose existence will be confirmed only by the occurrence or non-occurrence of one or more uncertain future events not wholly within the control of the entity, or
- a present obligation but payment is not probable or the amount cannot be measured reliably</t>
  </si>
  <si>
    <t>Reserve fund for own shares</t>
  </si>
  <si>
    <t>Statutory funds</t>
  </si>
  <si>
    <t>Other funds</t>
  </si>
  <si>
    <t>Revaluation reserves from assets and liabilities</t>
  </si>
  <si>
    <t>Revaluation reserves from investments</t>
  </si>
  <si>
    <t>Equity Total</t>
  </si>
  <si>
    <t>Spoločnosť je súčasťou skupiny discoverIE Group plc. Materskou spoločnosťou spoločnosti je FOSS AS FIBEROPTISK SYSTEMSALG a materskou spoločnosťou celej skupiny je discoverIE Group plc. Spoločnosť je oslobodená od povinnosti zostaviť konsolidovanú účtovnú závierku a konsolidovanú výročnú správu podľa a) § 22 zákona ods. 9 zákona, nakoľko discoverIE Group plc. zostavuje konsolidovanú účtovnú závierku podľa právnych predpisov EU, do ktorej je zahrnovaná spoločnosť Foss Fibre Optics, s.r.o. (do 8. marca 2018 Optocon technologies s. r. o.). Konsolidovanú účtovnú závierku za najväčšiu skupinu podnikov zostavuje spoločnosť discoverIE Group plc. Táto účtovná závierka je k nahliadnutiu v sídle uvedenej spoločnosti discoverIE Group plc.; 2 Chancellor Court; Occam Road; Surrey Research Park; Guildford GU2 7AH; Veľká Británia.</t>
  </si>
  <si>
    <t xml:space="preserve">The Company is a part of discoverIE Group plc. The parent company is FOSS AS FIBEROPTISK SYSTEMSALG and the ultimate parent company is discoverIE Group plc. The Company is released from the obligation to prepare consolidated financial statements and a consolidated annual report as per Section 22 (9) of the Act on Accounting, as discoverIE Group plc.is preparing the consolidated financial statements under EU regulations, which include the accounting entity and all its subsidiaries.
</t>
  </si>
  <si>
    <t>Consolidated financial statements for the whole Group are prepared by ultimate parent company. These consolidated financial statements are available at the registered office of ultimate parent company at 2 Chancellor Court, Occam Road, Surrey Research park, Guildford GU2 7AH, United Kingdom.</t>
  </si>
  <si>
    <t>The sole shareholder approved the Company’s financial statements for the previous accounting period on 23 August 2017.</t>
  </si>
  <si>
    <r>
      <t>3.</t>
    </r>
    <r>
      <rPr>
        <b/>
        <sz val="7"/>
        <color theme="1"/>
        <rFont val="Times New Roman"/>
        <family val="1"/>
        <charset val="238"/>
      </rPr>
      <t xml:space="preserve">       </t>
    </r>
    <r>
      <rPr>
        <b/>
        <u/>
        <sz val="10"/>
        <color theme="1"/>
        <rFont val="Arial"/>
        <family val="2"/>
        <charset val="238"/>
      </rPr>
      <t>DATE OF APPROVAL OF THE FINANCIAL STATEMENTS FOR THE PREVIOUS ACCOUNTING PERIOD</t>
    </r>
  </si>
  <si>
    <r>
      <t>4.</t>
    </r>
    <r>
      <rPr>
        <b/>
        <sz val="7"/>
        <color theme="1"/>
        <rFont val="Times New Roman"/>
        <family val="1"/>
        <charset val="238"/>
      </rPr>
      <t xml:space="preserve">       </t>
    </r>
    <r>
      <rPr>
        <b/>
        <u/>
        <sz val="10"/>
        <color theme="1"/>
        <rFont val="Arial"/>
        <family val="2"/>
        <charset val="238"/>
      </rPr>
      <t xml:space="preserve">DATE OF APPROVAL OF THE COMPANY’S AUDITOR </t>
    </r>
  </si>
  <si>
    <t>On 12 December 2017 the sole shareholder approved PricewaterhouseCoopers Slovensko, s.r.o. as auditor of the Company's financial statements for the year ended 31 March 2018.</t>
  </si>
  <si>
    <r>
      <t>5.</t>
    </r>
    <r>
      <rPr>
        <b/>
        <sz val="7"/>
        <color theme="1"/>
        <rFont val="Times New Roman"/>
        <family val="1"/>
        <charset val="238"/>
      </rPr>
      <t>      </t>
    </r>
    <r>
      <rPr>
        <b/>
        <u/>
        <sz val="10"/>
        <color theme="1"/>
        <rFont val="Arial"/>
        <family val="2"/>
        <charset val="238"/>
      </rPr>
      <t>ACCOUNTING POLICIES AND METHODS</t>
    </r>
  </si>
  <si>
    <t>Goodwill / negative goodwill is the difference between the acquisition cost and the Company's share in the fair value of the identifiable assets acquired, less the liabilities assumed. If it is probable that any future increase of economic benefits will be lower than the amount of goodwill posted to acc. 015 - Goodwill, the relevant part of goodwill is written off (impairment testing).</t>
  </si>
  <si>
    <t>Acquired inventories are stated at cost, which includes the acquisition price and the related acquisition costs (such as customs duty, transport, insurance and commission) less discounts. A discount granted to inventories already sold or used is accounted for as the reduction of costs of inventories sold or used. The Company used method A for the accounting treatment of inventories. For stock withdrawal, the FIFO-method is used.</t>
  </si>
  <si>
    <t>If the acquisition or own cost of inventories is higher than their net realizable value at the balance sheet date, a valuation allowance for inventories is set up in the amount of the difference between their book value and their net realizable value. Net realizable value is the estimated sales price of inventories less the estimated costs for their completion and costs related to their sale.</t>
  </si>
  <si>
    <t xml:space="preserve">Provision is a liability related to existing commitment, resulting from past events and probably results in decrease of future economic benefits. Provisions are stated at the expected amount of liability at the balance sheet date.
Creation and release of provisions is booked to the relevant cost and liability accounts.
The Company set up provisions for unused holiday, management and employee bonuses and tax and audit services. </t>
  </si>
  <si>
    <t xml:space="preserve">The Company creates a reserve fund in line with § 67 of Commercial Code.  </t>
  </si>
  <si>
    <t>Sales revenues from own work and goods are stated net of VAT, discounts and deductions (rebates, bonuses, credit notes, etc.). Sales revenues are recognized at the date of delivery of goods or provision of services. 
The Company’s revenues primarily include revenues from the sale of merchandise, finished goods and services related to main activities of the Company.</t>
  </si>
  <si>
    <r>
      <t>6.</t>
    </r>
    <r>
      <rPr>
        <b/>
        <sz val="7"/>
        <color theme="1"/>
        <rFont val="Times New Roman"/>
        <family val="1"/>
        <charset val="238"/>
      </rPr>
      <t>      </t>
    </r>
    <r>
      <rPr>
        <b/>
        <u/>
        <sz val="10"/>
        <color theme="1"/>
        <rFont val="Arial"/>
        <family val="2"/>
        <charset val="238"/>
      </rPr>
      <t>NON-CURRENT ASSETS</t>
    </r>
  </si>
  <si>
    <t>A valuation allowance was set up to reflect a decrease in the net realisable value of inventories. The net realisable value of inventories was impaired mainly as a result of excessive inventories on stock.</t>
  </si>
  <si>
    <t>Receivables from related parties as at 31 March 2018 are in amount of EUR 134 342.</t>
  </si>
  <si>
    <t>For accounting period ending 31 March 2018 the Company created provision for doubtful debts related to receivable from employee based on internal evaluation.</t>
  </si>
  <si>
    <t>Statutory representative proposes to transfer whole profit after tax for the year ending 31 March 2018 to retained earnings.</t>
  </si>
  <si>
    <t>Based on decision of sole shareholder dated 23 August 2017, the sole shareholder approved distribution of the profit</t>
  </si>
  <si>
    <t>Many areas of Slovak tax law (such as transfer-pricing regulations) have not been sufficiently tested in practice, so there is some uncertainty as to how the tax authorities would apply them. The extent of this uncertainty cannot be quantified. The uncertainty will be reduced only if legal precedents or official interpretations are available. The Company’s management is not aware of any circumstances that may give rise to a future material expense in this respect.</t>
  </si>
  <si>
    <t>On 23 August 2017, the sole shareholder approved distribution of the profit for the period ending 31 March 2017.</t>
  </si>
  <si>
    <t>Following the decision of the sole shareholder, the Company paid dividends of EUR 114 636.</t>
  </si>
  <si>
    <r>
      <t xml:space="preserve">7.      </t>
    </r>
    <r>
      <rPr>
        <b/>
        <u/>
        <sz val="10"/>
        <color theme="1"/>
        <rFont val="Arial"/>
        <family val="2"/>
        <charset val="238"/>
      </rPr>
      <t>INVENTORY</t>
    </r>
  </si>
  <si>
    <r>
      <t xml:space="preserve">8.      </t>
    </r>
    <r>
      <rPr>
        <b/>
        <u/>
        <sz val="10"/>
        <color theme="1"/>
        <rFont val="Arial"/>
        <family val="2"/>
        <charset val="238"/>
      </rPr>
      <t>RECEIVABLES</t>
    </r>
  </si>
  <si>
    <r>
      <t xml:space="preserve">9.      </t>
    </r>
    <r>
      <rPr>
        <b/>
        <u/>
        <sz val="10"/>
        <color theme="1"/>
        <rFont val="Arial"/>
        <family val="2"/>
        <charset val="238"/>
      </rPr>
      <t>FINANCIAL ASSETS</t>
    </r>
  </si>
  <si>
    <r>
      <t xml:space="preserve">10.      </t>
    </r>
    <r>
      <rPr>
        <b/>
        <u/>
        <sz val="10"/>
        <color theme="1"/>
        <rFont val="Arial"/>
        <family val="2"/>
        <charset val="238"/>
      </rPr>
      <t>EQUITY</t>
    </r>
  </si>
  <si>
    <r>
      <t xml:space="preserve">12.      </t>
    </r>
    <r>
      <rPr>
        <b/>
        <u/>
        <sz val="10"/>
        <color theme="1"/>
        <rFont val="Arial"/>
        <family val="2"/>
        <charset val="238"/>
      </rPr>
      <t>PROVISIONS</t>
    </r>
  </si>
  <si>
    <r>
      <t xml:space="preserve">13.      </t>
    </r>
    <r>
      <rPr>
        <b/>
        <u/>
        <sz val="10"/>
        <color theme="1"/>
        <rFont val="Arial"/>
        <family val="2"/>
        <charset val="238"/>
      </rPr>
      <t>LIABILITIES</t>
    </r>
  </si>
  <si>
    <r>
      <t>14.     </t>
    </r>
    <r>
      <rPr>
        <b/>
        <u/>
        <sz val="10"/>
        <color theme="1"/>
        <rFont val="Arial"/>
        <family val="2"/>
        <charset val="238"/>
      </rPr>
      <t>DEFERRED INCOME TAX</t>
    </r>
  </si>
  <si>
    <r>
      <t>15.     </t>
    </r>
    <r>
      <rPr>
        <b/>
        <u/>
        <sz val="10"/>
        <color theme="1"/>
        <rFont val="Arial"/>
        <family val="2"/>
        <charset val="238"/>
      </rPr>
      <t>INFORMATION ON LIABILITIES FROM SOCIAL FUND</t>
    </r>
  </si>
  <si>
    <r>
      <t xml:space="preserve">16.      </t>
    </r>
    <r>
      <rPr>
        <b/>
        <u/>
        <sz val="10"/>
        <color theme="1"/>
        <rFont val="Arial"/>
        <family val="2"/>
        <charset val="238"/>
      </rPr>
      <t xml:space="preserve"> BANK LOANS AND BORROWINGS</t>
    </r>
  </si>
  <si>
    <r>
      <t>17.     </t>
    </r>
    <r>
      <rPr>
        <b/>
        <u/>
        <sz val="10"/>
        <color theme="1"/>
        <rFont val="Arial"/>
        <family val="2"/>
        <charset val="238"/>
      </rPr>
      <t>ACCRUALS AND DEFERRED INCOME</t>
    </r>
  </si>
  <si>
    <r>
      <t>18.     </t>
    </r>
    <r>
      <rPr>
        <b/>
        <u/>
        <sz val="10"/>
        <color theme="1"/>
        <rFont val="Arial"/>
        <family val="2"/>
        <charset val="238"/>
      </rPr>
      <t>DERIVATIVES</t>
    </r>
  </si>
  <si>
    <r>
      <t>19.     </t>
    </r>
    <r>
      <rPr>
        <b/>
        <u/>
        <sz val="10"/>
        <color theme="1"/>
        <rFont val="Arial"/>
        <family val="2"/>
        <charset val="238"/>
      </rPr>
      <t>LEASES (ACCOUNTING ENTITY IS THE LESSEE)</t>
    </r>
  </si>
  <si>
    <r>
      <t>20.     </t>
    </r>
    <r>
      <rPr>
        <b/>
        <u/>
        <sz val="10"/>
        <color theme="1"/>
        <rFont val="Arial"/>
        <family val="2"/>
        <charset val="238"/>
      </rPr>
      <t xml:space="preserve">CONTINGENT ASSETS AND CONTINGENT LIABILITIES, OFF-BALANCE SHEET ITEMS  </t>
    </r>
  </si>
  <si>
    <r>
      <t>21.     </t>
    </r>
    <r>
      <rPr>
        <b/>
        <u/>
        <sz val="10"/>
        <color theme="1"/>
        <rFont val="Arial"/>
        <family val="2"/>
        <charset val="238"/>
      </rPr>
      <t>REVENUES AND EXPENSES</t>
    </r>
  </si>
  <si>
    <r>
      <t>22.     </t>
    </r>
    <r>
      <rPr>
        <b/>
        <u/>
        <sz val="10"/>
        <color theme="1"/>
        <rFont val="Arial"/>
        <family val="2"/>
        <charset val="238"/>
      </rPr>
      <t>RELATED PARTY INFORMATION</t>
    </r>
  </si>
  <si>
    <t>23.     INFORMATION ON CHANGES IN EQUITY</t>
  </si>
  <si>
    <r>
      <t>24.     </t>
    </r>
    <r>
      <rPr>
        <b/>
        <u/>
        <sz val="10"/>
        <color theme="1"/>
        <rFont val="Arial"/>
        <family val="2"/>
        <charset val="238"/>
      </rPr>
      <t>CASH FLOW STATEMENT</t>
    </r>
  </si>
  <si>
    <r>
      <t>25.     </t>
    </r>
    <r>
      <rPr>
        <b/>
        <u/>
        <sz val="10"/>
        <color theme="1"/>
        <rFont val="Arial"/>
        <family val="2"/>
        <charset val="238"/>
      </rPr>
      <t>SUBSEQUENT EVENTS</t>
    </r>
  </si>
</sst>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164" formatCode="_-* #,##0.00\ _S_k_-;\-* #,##0.00\ _S_k_-;_-* &quot;-&quot;??\ _S_k_-;_-@_-"/>
    <numFmt numFmtId="165" formatCode="0.0%"/>
    <numFmt numFmtId="166" formatCode="&quot;=round(&quot;0&quot;;0)&quot;"/>
    <numFmt numFmtId="167" formatCode="#,##0.0"/>
    <numFmt numFmtId="168" formatCode="#,##0;\-#,##0;&quot;&quot;"/>
    <numFmt numFmtId="169" formatCode="[&lt;=9999999]###\ ##\ ##;##\ ##\ ##\ ##"/>
    <numFmt numFmtId="170" formatCode="[$-41B]mmmmm;@"/>
    <numFmt numFmtId="171" formatCode="_*\ #,##0__;_(* \-#,##0__;_(&quot;&quot;_);_(@_)"/>
    <numFmt numFmtId="172" formatCode="d/m/yyyy;@"/>
    <numFmt numFmtId="173" formatCode="00"/>
    <numFmt numFmtId="174" formatCode="dd\.mm\.yyyy"/>
    <numFmt numFmtId="175" formatCode="#,##0\ [$EUR]"/>
    <numFmt numFmtId="176" formatCode="#,##0&quot; &quot;;\(#,##0\);\-&quot;  &quot;"/>
    <numFmt numFmtId="177" formatCode="_-* #,##0.00_-;\-* #,##0.00_-;_-* &quot;-&quot;??_-;_-@_-"/>
    <numFmt numFmtId="178" formatCode="_([$€]* #,##0.00_);_([$€]* \(#,##0.00\);_([$€]* &quot;-&quot;??_);_(@_)"/>
    <numFmt numFmtId="179" formatCode="#,###,##0.00;\(#,###,##0.00\)"/>
    <numFmt numFmtId="180" formatCode="&quot;£&quot;#,###,##0.00;\(&quot;£&quot;#,###,##0.00\)"/>
    <numFmt numFmtId="181" formatCode="#,##0.00%;\(#,##0.00%\)"/>
  </numFmts>
  <fonts count="133">
    <font>
      <sz val="11"/>
      <color theme="1"/>
      <name val="Calibri"/>
      <family val="2"/>
      <charset val="238"/>
      <scheme val="minor"/>
    </font>
    <font>
      <sz val="8"/>
      <color theme="1"/>
      <name val="Arial"/>
      <family val="2"/>
      <charset val="238"/>
    </font>
    <font>
      <sz val="8"/>
      <color theme="1"/>
      <name val="Arial"/>
      <family val="2"/>
      <charset val="238"/>
    </font>
    <font>
      <sz val="8"/>
      <color theme="1"/>
      <name val="Arial"/>
      <family val="2"/>
      <charset val="238"/>
    </font>
    <font>
      <sz val="8"/>
      <color theme="1"/>
      <name val="Arial"/>
      <family val="2"/>
      <charset val="238"/>
    </font>
    <font>
      <sz val="8"/>
      <color theme="1"/>
      <name val="Arial"/>
      <family val="2"/>
      <charset val="238"/>
    </font>
    <font>
      <sz val="8"/>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1"/>
      <color theme="1"/>
      <name val="Calibri"/>
      <family val="2"/>
      <charset val="238"/>
      <scheme val="minor"/>
    </font>
    <font>
      <b/>
      <sz val="11"/>
      <color theme="1"/>
      <name val="Arial Narrow"/>
      <family val="2"/>
      <charset val="238"/>
    </font>
    <font>
      <sz val="11"/>
      <color theme="1"/>
      <name val="Arial Narrow"/>
      <family val="2"/>
      <charset val="238"/>
    </font>
    <font>
      <b/>
      <sz val="11"/>
      <color theme="1"/>
      <name val="Calibri"/>
      <family val="2"/>
      <charset val="238"/>
      <scheme val="minor"/>
    </font>
    <font>
      <b/>
      <sz val="8"/>
      <color theme="1"/>
      <name val="Arial"/>
      <family val="2"/>
      <charset val="238"/>
    </font>
    <font>
      <sz val="8"/>
      <color theme="1"/>
      <name val="Arial"/>
      <family val="2"/>
      <charset val="238"/>
    </font>
    <font>
      <i/>
      <sz val="8"/>
      <color theme="1"/>
      <name val="Arial"/>
      <family val="2"/>
      <charset val="238"/>
    </font>
    <font>
      <sz val="10"/>
      <color theme="0"/>
      <name val="Arial"/>
      <family val="2"/>
      <charset val="238"/>
    </font>
    <font>
      <sz val="10"/>
      <name val="Arial CE"/>
      <charset val="238"/>
    </font>
    <font>
      <sz val="8"/>
      <name val="Arial"/>
      <family val="2"/>
    </font>
    <font>
      <b/>
      <sz val="8"/>
      <name val="Arial"/>
      <family val="2"/>
    </font>
    <font>
      <i/>
      <sz val="8"/>
      <name val="Arial"/>
      <family val="2"/>
      <charset val="238"/>
    </font>
    <font>
      <sz val="10"/>
      <name val="Arial"/>
      <family val="2"/>
      <charset val="238"/>
    </font>
    <font>
      <b/>
      <sz val="8"/>
      <name val="Arial"/>
      <family val="2"/>
      <charset val="238"/>
    </font>
    <font>
      <i/>
      <sz val="8"/>
      <color indexed="48"/>
      <name val="Arial"/>
      <family val="2"/>
      <charset val="238"/>
    </font>
    <font>
      <sz val="8"/>
      <name val="Arial"/>
      <family val="2"/>
      <charset val="238"/>
    </font>
    <font>
      <i/>
      <sz val="8"/>
      <color indexed="10"/>
      <name val="Arial"/>
      <family val="2"/>
      <charset val="238"/>
    </font>
    <font>
      <b/>
      <sz val="8"/>
      <color indexed="10"/>
      <name val="Arial"/>
      <family val="2"/>
    </font>
    <font>
      <sz val="12"/>
      <name val="Times New Roman"/>
      <family val="1"/>
    </font>
    <font>
      <sz val="12"/>
      <name val="Times New Roman"/>
      <family val="1"/>
      <charset val="238"/>
    </font>
    <font>
      <b/>
      <i/>
      <sz val="8"/>
      <name val="Arial"/>
      <family val="2"/>
    </font>
    <font>
      <sz val="10"/>
      <name val="Arial CE"/>
      <family val="2"/>
      <charset val="238"/>
    </font>
    <font>
      <b/>
      <sz val="26"/>
      <name val="Arial CE"/>
      <family val="2"/>
      <charset val="238"/>
    </font>
    <font>
      <sz val="14"/>
      <name val="Arial CE"/>
      <family val="2"/>
      <charset val="238"/>
    </font>
    <font>
      <sz val="20"/>
      <color rgb="FFFF0000"/>
      <name val="Arial CE"/>
      <family val="2"/>
      <charset val="238"/>
    </font>
    <font>
      <sz val="12"/>
      <name val="Arial CE"/>
      <family val="2"/>
      <charset val="238"/>
    </font>
    <font>
      <b/>
      <sz val="20"/>
      <name val="Arial CE"/>
      <family val="2"/>
      <charset val="238"/>
    </font>
    <font>
      <b/>
      <sz val="14"/>
      <name val="Arial CE"/>
      <family val="2"/>
      <charset val="238"/>
    </font>
    <font>
      <b/>
      <sz val="12"/>
      <name val="Arial CE"/>
      <family val="2"/>
      <charset val="238"/>
    </font>
    <font>
      <b/>
      <i/>
      <sz val="14"/>
      <name val="Arial CE"/>
      <family val="2"/>
      <charset val="238"/>
    </font>
    <font>
      <b/>
      <sz val="11"/>
      <name val="Arial CE"/>
      <family val="2"/>
      <charset val="238"/>
    </font>
    <font>
      <sz val="11"/>
      <name val="Arial CE"/>
      <family val="2"/>
      <charset val="238"/>
    </font>
    <font>
      <sz val="14"/>
      <color indexed="12"/>
      <name val="Arial CE"/>
      <family val="2"/>
      <charset val="238"/>
    </font>
    <font>
      <b/>
      <sz val="14"/>
      <color indexed="12"/>
      <name val="Arial CE"/>
      <family val="2"/>
      <charset val="238"/>
    </font>
    <font>
      <i/>
      <sz val="11"/>
      <name val="Arial CE"/>
      <family val="2"/>
      <charset val="238"/>
    </font>
    <font>
      <b/>
      <sz val="10"/>
      <name val="System"/>
      <family val="2"/>
      <charset val="238"/>
    </font>
    <font>
      <b/>
      <sz val="11"/>
      <name val="Calibri"/>
      <family val="2"/>
      <charset val="238"/>
      <scheme val="minor"/>
    </font>
    <font>
      <sz val="8"/>
      <color indexed="81"/>
      <name val="Tahoma"/>
      <family val="2"/>
      <charset val="238"/>
    </font>
    <font>
      <b/>
      <sz val="8"/>
      <color indexed="81"/>
      <name val="Tahoma"/>
      <family val="2"/>
      <charset val="238"/>
    </font>
    <font>
      <b/>
      <sz val="10"/>
      <color theme="1"/>
      <name val="Arial"/>
      <family val="2"/>
      <charset val="238"/>
    </font>
    <font>
      <sz val="5"/>
      <name val="Arial"/>
      <family val="2"/>
      <charset val="238"/>
    </font>
    <font>
      <sz val="7"/>
      <name val="Arial"/>
      <family val="2"/>
      <charset val="238"/>
    </font>
    <font>
      <sz val="9"/>
      <name val="Arial"/>
      <family val="2"/>
      <charset val="238"/>
    </font>
    <font>
      <b/>
      <sz val="14"/>
      <name val="Arial"/>
      <family val="2"/>
      <charset val="238"/>
    </font>
    <font>
      <b/>
      <sz val="10"/>
      <name val="Arial"/>
      <family val="2"/>
      <charset val="238"/>
    </font>
    <font>
      <sz val="8.5"/>
      <name val="Arial"/>
      <family val="2"/>
      <charset val="238"/>
    </font>
    <font>
      <b/>
      <sz val="8.5"/>
      <name val="Arial"/>
      <family val="2"/>
      <charset val="238"/>
    </font>
    <font>
      <b/>
      <i/>
      <sz val="11.5"/>
      <name val="Arial"/>
      <family val="2"/>
      <charset val="238"/>
    </font>
    <font>
      <b/>
      <i/>
      <sz val="12.5"/>
      <name val="Arial"/>
      <family val="2"/>
      <charset val="238"/>
    </font>
    <font>
      <b/>
      <i/>
      <sz val="10"/>
      <name val="Arial"/>
      <family val="2"/>
      <charset val="238"/>
    </font>
    <font>
      <b/>
      <i/>
      <sz val="8.5"/>
      <name val="Arial"/>
      <family val="2"/>
      <charset val="238"/>
    </font>
    <font>
      <b/>
      <sz val="10"/>
      <name val="Arial"/>
      <family val="2"/>
    </font>
    <font>
      <i/>
      <sz val="10"/>
      <name val="Arial"/>
      <family val="2"/>
      <charset val="238"/>
    </font>
    <font>
      <sz val="10"/>
      <name val="Arial"/>
      <family val="2"/>
    </font>
    <font>
      <i/>
      <sz val="5.5"/>
      <name val="Arial"/>
      <family val="2"/>
      <charset val="238"/>
    </font>
    <font>
      <b/>
      <sz val="9"/>
      <name val="Arial"/>
      <family val="2"/>
      <charset val="238"/>
    </font>
    <font>
      <sz val="12"/>
      <name val="Arial"/>
      <family val="2"/>
      <charset val="238"/>
    </font>
    <font>
      <sz val="12"/>
      <name val="Calibri"/>
      <family val="2"/>
      <charset val="238"/>
    </font>
    <font>
      <sz val="7.5"/>
      <name val="Arial"/>
      <family val="2"/>
      <charset val="238"/>
    </font>
    <font>
      <b/>
      <sz val="7.5"/>
      <name val="Arial"/>
      <family val="2"/>
      <charset val="238"/>
    </font>
    <font>
      <b/>
      <sz val="6"/>
      <name val="Arial"/>
      <family val="2"/>
      <charset val="238"/>
    </font>
    <font>
      <sz val="7.4"/>
      <name val="Arial"/>
      <family val="2"/>
      <charset val="238"/>
    </font>
    <font>
      <b/>
      <sz val="7.5"/>
      <name val="Arial"/>
      <family val="2"/>
    </font>
    <font>
      <u/>
      <sz val="10"/>
      <color indexed="12"/>
      <name val="Arial"/>
      <family val="2"/>
      <charset val="238"/>
    </font>
    <font>
      <b/>
      <u/>
      <sz val="10"/>
      <color theme="1"/>
      <name val="Arial"/>
      <family val="2"/>
      <charset val="238"/>
    </font>
    <font>
      <i/>
      <sz val="10"/>
      <color theme="1"/>
      <name val="Arial"/>
      <family val="2"/>
      <charset val="238"/>
    </font>
    <font>
      <sz val="11"/>
      <color theme="1"/>
      <name val="Arial"/>
      <family val="2"/>
      <charset val="238"/>
    </font>
    <font>
      <b/>
      <sz val="7"/>
      <color theme="1"/>
      <name val="Times New Roman"/>
      <family val="1"/>
      <charset val="238"/>
    </font>
    <font>
      <b/>
      <i/>
      <sz val="10"/>
      <color theme="1"/>
      <name val="Arial"/>
      <family val="2"/>
      <charset val="238"/>
    </font>
    <font>
      <sz val="10"/>
      <color theme="1"/>
      <name val="Times New Roman"/>
      <family val="1"/>
      <charset val="238"/>
    </font>
    <font>
      <sz val="8"/>
      <color theme="1"/>
      <name val="Calibri"/>
      <family val="2"/>
      <charset val="238"/>
      <scheme val="minor"/>
    </font>
    <font>
      <i/>
      <sz val="8"/>
      <color indexed="10"/>
      <name val="Arial"/>
      <family val="2"/>
    </font>
    <font>
      <b/>
      <i/>
      <sz val="8"/>
      <color indexed="10"/>
      <name val="Arial"/>
      <family val="2"/>
    </font>
    <font>
      <b/>
      <sz val="8"/>
      <name val="Tahoma"/>
      <family val="2"/>
      <charset val="238"/>
    </font>
    <font>
      <sz val="8"/>
      <name val="Tahoma"/>
      <family val="2"/>
      <charset val="238"/>
    </font>
    <font>
      <i/>
      <sz val="8.5"/>
      <name val="Arial"/>
      <family val="2"/>
      <charset val="238"/>
    </font>
    <font>
      <i/>
      <sz val="7"/>
      <name val="Arial"/>
      <family val="2"/>
      <charset val="238"/>
    </font>
    <font>
      <sz val="14"/>
      <name val="Arial"/>
      <family val="2"/>
      <charset val="238"/>
    </font>
    <font>
      <sz val="10"/>
      <name val="MS Sans Serif"/>
      <family val="2"/>
      <charset val="238"/>
    </font>
    <font>
      <vertAlign val="superscript"/>
      <sz val="14"/>
      <name val="Arial"/>
      <family val="2"/>
      <charset val="238"/>
    </font>
    <font>
      <sz val="8"/>
      <color rgb="FF000000"/>
      <name val="Arial"/>
      <family val="2"/>
      <charset val="238"/>
    </font>
    <font>
      <sz val="10"/>
      <name val="Helv"/>
      <charset val="238"/>
    </font>
    <font>
      <sz val="8"/>
      <color rgb="FFFF0000"/>
      <name val="Arial"/>
      <family val="2"/>
      <charset val="238"/>
    </font>
    <font>
      <sz val="8"/>
      <color rgb="FFFF0000"/>
      <name val="Arial"/>
      <family val="2"/>
    </font>
    <font>
      <b/>
      <sz val="8"/>
      <color indexed="12"/>
      <name val="Arial"/>
      <family val="2"/>
    </font>
    <font>
      <u/>
      <sz val="10"/>
      <color theme="10"/>
      <name val="Arial CE"/>
      <charset val="238"/>
    </font>
    <font>
      <i/>
      <sz val="8"/>
      <color theme="10"/>
      <name val="Arial CE"/>
      <charset val="238"/>
    </font>
    <font>
      <i/>
      <sz val="8"/>
      <name val="Arial"/>
      <family val="2"/>
    </font>
    <font>
      <b/>
      <sz val="12"/>
      <name val="Calibri"/>
      <family val="2"/>
      <charset val="238"/>
    </font>
    <font>
      <sz val="7.5"/>
      <name val="Arial"/>
      <family val="2"/>
    </font>
    <font>
      <sz val="11.5"/>
      <color rgb="FF000000"/>
      <name val="Times New Roman"/>
      <family val="1"/>
      <charset val="238"/>
    </font>
    <font>
      <sz val="11.5"/>
      <name val="Times New Roman"/>
      <family val="1"/>
      <charset val="238"/>
    </font>
    <font>
      <b/>
      <sz val="8"/>
      <color rgb="FF000000"/>
      <name val="Arial"/>
      <family val="2"/>
      <charset val="238"/>
    </font>
    <font>
      <sz val="12"/>
      <name val="Arial MT"/>
    </font>
    <font>
      <sz val="11"/>
      <color indexed="8"/>
      <name val="Calibri"/>
      <family val="2"/>
    </font>
    <font>
      <sz val="11"/>
      <color theme="1"/>
      <name val="Calibri"/>
      <family val="2"/>
      <scheme val="minor"/>
    </font>
    <font>
      <sz val="11"/>
      <color indexed="9"/>
      <name val="Calibri"/>
      <family val="2"/>
    </font>
    <font>
      <sz val="10.25"/>
      <name val="Arial"/>
      <family val="2"/>
    </font>
    <font>
      <sz val="11"/>
      <color indexed="10"/>
      <name val="Calibri"/>
      <family val="2"/>
    </font>
    <font>
      <sz val="11"/>
      <color indexed="20"/>
      <name val="Calibri"/>
      <family val="2"/>
    </font>
    <font>
      <b/>
      <sz val="11"/>
      <color indexed="52"/>
      <name val="Calibri"/>
      <family val="2"/>
    </font>
    <font>
      <sz val="11"/>
      <color indexed="52"/>
      <name val="Calibri"/>
      <family val="2"/>
    </font>
    <font>
      <sz val="11"/>
      <color indexed="62"/>
      <name val="Calibri"/>
      <family val="2"/>
    </font>
    <font>
      <i/>
      <sz val="11"/>
      <color indexed="23"/>
      <name val="Calibri"/>
      <family val="2"/>
    </font>
    <font>
      <sz val="10"/>
      <color indexed="0"/>
      <name val="Arial"/>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sz val="11"/>
      <color indexed="60"/>
      <name val="Calibri"/>
      <family val="2"/>
    </font>
    <font>
      <sz val="10"/>
      <name val="Times New Roman"/>
      <family val="1"/>
    </font>
    <font>
      <b/>
      <sz val="11"/>
      <color indexed="63"/>
      <name val="Calibri"/>
      <family val="2"/>
    </font>
    <font>
      <b/>
      <sz val="18"/>
      <color indexed="56"/>
      <name val="Cambria"/>
      <family val="2"/>
    </font>
    <font>
      <b/>
      <sz val="18"/>
      <color indexed="62"/>
      <name val="Cambria"/>
      <family val="2"/>
    </font>
    <font>
      <b/>
      <sz val="11"/>
      <color indexed="8"/>
      <name val="Calibri"/>
      <family val="2"/>
    </font>
    <font>
      <sz val="8"/>
      <color theme="1"/>
      <name val="Arial"/>
      <family val="2"/>
    </font>
    <font>
      <b/>
      <sz val="14"/>
      <name val="Arial CE"/>
      <charset val="238"/>
    </font>
  </fonts>
  <fills count="35">
    <fill>
      <patternFill patternType="none"/>
    </fill>
    <fill>
      <patternFill patternType="gray125"/>
    </fill>
    <fill>
      <patternFill patternType="solid">
        <fgColor theme="0" tint="-0.14999847407452621"/>
        <bgColor indexed="64"/>
      </patternFill>
    </fill>
    <fill>
      <patternFill patternType="solid">
        <fgColor indexed="9"/>
        <bgColor indexed="64"/>
      </patternFill>
    </fill>
    <fill>
      <patternFill patternType="solid">
        <fgColor theme="0"/>
        <bgColor indexed="64"/>
      </patternFill>
    </fill>
    <fill>
      <patternFill patternType="solid">
        <fgColor indexed="43"/>
        <bgColor indexed="64"/>
      </patternFill>
    </fill>
    <fill>
      <patternFill patternType="solid">
        <fgColor indexed="42"/>
        <bgColor indexed="64"/>
      </patternFill>
    </fill>
    <fill>
      <patternFill patternType="solid">
        <fgColor rgb="FFFFFF00"/>
        <bgColor indexed="64"/>
      </patternFill>
    </fill>
    <fill>
      <patternFill patternType="solid">
        <fgColor rgb="FFFFFFFF"/>
        <bgColor indexed="64"/>
      </patternFill>
    </fill>
    <fill>
      <patternFill patternType="solid">
        <fgColor rgb="FF00B050"/>
        <bgColor indexed="64"/>
      </patternFill>
    </fill>
    <fill>
      <patternFill patternType="solid">
        <fgColor rgb="FFFFFF99"/>
        <bgColor indexed="64"/>
      </patternFill>
    </fill>
    <fill>
      <patternFill patternType="solid">
        <fgColor rgb="FFCCFF9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26"/>
      </patternFill>
    </fill>
    <fill>
      <patternFill patternType="solid">
        <fgColor indexed="55"/>
      </patternFill>
    </fill>
    <fill>
      <patternFill patternType="solid">
        <fgColor indexed="43"/>
      </patternFill>
    </fill>
    <fill>
      <patternFill patternType="solid">
        <fgColor rgb="FF92D050"/>
        <bgColor indexed="64"/>
      </patternFill>
    </fill>
  </fills>
  <borders count="158">
    <border>
      <left/>
      <right/>
      <top/>
      <bottom/>
      <diagonal/>
    </border>
    <border>
      <left style="thick">
        <color indexed="64"/>
      </left>
      <right style="thick">
        <color indexed="64"/>
      </right>
      <top style="thick">
        <color indexed="64"/>
      </top>
      <bottom/>
      <diagonal/>
    </border>
    <border>
      <left/>
      <right style="thick">
        <color indexed="64"/>
      </right>
      <top style="thick">
        <color indexed="64"/>
      </top>
      <bottom/>
      <diagonal/>
    </border>
    <border>
      <left style="thick">
        <color indexed="64"/>
      </left>
      <right style="thick">
        <color indexed="64"/>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style="thick">
        <color indexed="64"/>
      </right>
      <top/>
      <bottom style="medium">
        <color indexed="64"/>
      </bottom>
      <diagonal/>
    </border>
    <border>
      <left/>
      <right style="thick">
        <color indexed="64"/>
      </right>
      <top/>
      <bottom style="medium">
        <color indexed="64"/>
      </bottom>
      <diagonal/>
    </border>
    <border>
      <left style="thick">
        <color indexed="64"/>
      </left>
      <right style="thick">
        <color indexed="64"/>
      </right>
      <top/>
      <bottom style="thick">
        <color indexed="64"/>
      </bottom>
      <diagonal/>
    </border>
    <border>
      <left/>
      <right style="thick">
        <color indexed="64"/>
      </right>
      <top/>
      <bottom style="thick">
        <color indexed="64"/>
      </bottom>
      <diagonal/>
    </border>
    <border>
      <left style="thick">
        <color indexed="64"/>
      </left>
      <right style="thick">
        <color indexed="64"/>
      </right>
      <top/>
      <bottom/>
      <diagonal/>
    </border>
    <border>
      <left/>
      <right style="thick">
        <color indexed="64"/>
      </right>
      <top style="thick">
        <color indexed="64"/>
      </top>
      <bottom style="thick">
        <color indexed="64"/>
      </bottom>
      <diagonal/>
    </border>
    <border>
      <left/>
      <right/>
      <top style="thick">
        <color indexed="64"/>
      </top>
      <bottom style="thick">
        <color indexed="64"/>
      </bottom>
      <diagonal/>
    </border>
    <border>
      <left/>
      <right style="thick">
        <color indexed="64"/>
      </right>
      <top/>
      <bottom/>
      <diagonal/>
    </border>
    <border>
      <left/>
      <right style="medium">
        <color indexed="64"/>
      </right>
      <top/>
      <bottom style="medium">
        <color indexed="64"/>
      </bottom>
      <diagonal/>
    </border>
    <border>
      <left/>
      <right style="medium">
        <color indexed="64"/>
      </right>
      <top/>
      <bottom style="thick">
        <color indexed="64"/>
      </bottom>
      <diagonal/>
    </border>
    <border>
      <left style="thick">
        <color indexed="64"/>
      </left>
      <right/>
      <top style="thick">
        <color indexed="64"/>
      </top>
      <bottom style="thick">
        <color indexed="64"/>
      </bottom>
      <diagonal/>
    </border>
    <border>
      <left/>
      <right style="medium">
        <color indexed="64"/>
      </right>
      <top style="thick">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thick">
        <color indexed="64"/>
      </bottom>
      <diagonal/>
    </border>
    <border>
      <left/>
      <right/>
      <top style="thick">
        <color indexed="64"/>
      </top>
      <bottom/>
      <diagonal/>
    </border>
    <border>
      <left style="thick">
        <color indexed="64"/>
      </left>
      <right/>
      <top/>
      <bottom style="thick">
        <color indexed="64"/>
      </bottom>
      <diagonal/>
    </border>
    <border>
      <left style="thick">
        <color indexed="64"/>
      </left>
      <right/>
      <top style="thick">
        <color indexed="64"/>
      </top>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thick">
        <color indexed="64"/>
      </right>
      <top style="medium">
        <color indexed="64"/>
      </top>
      <bottom style="medium">
        <color indexed="64"/>
      </bottom>
      <diagonal/>
    </border>
    <border>
      <left style="thick">
        <color indexed="64"/>
      </left>
      <right/>
      <top style="medium">
        <color indexed="64"/>
      </top>
      <bottom style="thick">
        <color indexed="64"/>
      </bottom>
      <diagonal/>
    </border>
    <border>
      <left/>
      <right style="thick">
        <color indexed="64"/>
      </right>
      <top style="medium">
        <color indexed="64"/>
      </top>
      <bottom style="thick">
        <color indexed="64"/>
      </bottom>
      <diagonal/>
    </border>
    <border>
      <left/>
      <right/>
      <top style="medium">
        <color indexed="64"/>
      </top>
      <bottom style="thick">
        <color indexed="64"/>
      </bottom>
      <diagonal/>
    </border>
    <border>
      <left style="thick">
        <color indexed="64"/>
      </left>
      <right style="thick">
        <color indexed="64"/>
      </right>
      <top style="medium">
        <color indexed="64"/>
      </top>
      <bottom/>
      <diagonal/>
    </border>
    <border>
      <left/>
      <right style="medium">
        <color indexed="64"/>
      </right>
      <top/>
      <bottom/>
      <diagonal/>
    </border>
    <border>
      <left style="thick">
        <color indexed="64"/>
      </left>
      <right style="medium">
        <color indexed="64"/>
      </right>
      <top/>
      <bottom style="medium">
        <color indexed="64"/>
      </bottom>
      <diagonal/>
    </border>
    <border>
      <left style="medium">
        <color indexed="64"/>
      </left>
      <right style="thick">
        <color indexed="64"/>
      </right>
      <top/>
      <bottom style="medium">
        <color indexed="64"/>
      </bottom>
      <diagonal/>
    </border>
    <border>
      <left style="thick">
        <color indexed="64"/>
      </left>
      <right style="thick">
        <color indexed="64"/>
      </right>
      <top style="thick">
        <color indexed="64"/>
      </top>
      <bottom style="thick">
        <color indexed="64"/>
      </bottom>
      <diagonal/>
    </border>
    <border>
      <left style="thick">
        <color indexed="64"/>
      </left>
      <right style="thick">
        <color indexed="64"/>
      </right>
      <top style="medium">
        <color indexed="64"/>
      </top>
      <bottom style="thick">
        <color indexed="64"/>
      </bottom>
      <diagonal/>
    </border>
    <border>
      <left style="thick">
        <color indexed="64"/>
      </left>
      <right style="thick">
        <color indexed="64"/>
      </right>
      <top style="medium">
        <color indexed="64"/>
      </top>
      <bottom style="medium">
        <color indexed="64"/>
      </bottom>
      <diagonal/>
    </border>
    <border>
      <left style="thick">
        <color indexed="64"/>
      </left>
      <right style="medium">
        <color indexed="64"/>
      </right>
      <top style="thick">
        <color indexed="64"/>
      </top>
      <bottom/>
      <diagonal/>
    </border>
    <border>
      <left style="medium">
        <color indexed="64"/>
      </left>
      <right style="medium">
        <color indexed="64"/>
      </right>
      <top style="thick">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ck">
        <color indexed="64"/>
      </bottom>
      <diagonal/>
    </border>
    <border>
      <left style="thick">
        <color indexed="64"/>
      </left>
      <right style="thick">
        <color rgb="FF000000"/>
      </right>
      <top/>
      <bottom style="medium">
        <color rgb="FF000000"/>
      </bottom>
      <diagonal/>
    </border>
    <border>
      <left/>
      <right style="thick">
        <color indexed="64"/>
      </right>
      <top/>
      <bottom style="medium">
        <color rgb="FF000000"/>
      </bottom>
      <diagonal/>
    </border>
    <border>
      <left style="thick">
        <color indexed="64"/>
      </left>
      <right style="thick">
        <color rgb="FF000000"/>
      </right>
      <top/>
      <bottom style="medium">
        <color indexed="64"/>
      </bottom>
      <diagonal/>
    </border>
    <border>
      <left style="thick">
        <color indexed="64"/>
      </left>
      <right style="thick">
        <color rgb="FF000000"/>
      </right>
      <top/>
      <bottom style="thick">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style="thick">
        <color indexed="64"/>
      </left>
      <right style="medium">
        <color indexed="64"/>
      </right>
      <top/>
      <bottom/>
      <diagonal/>
    </border>
    <border>
      <left style="thick">
        <color indexed="64"/>
      </left>
      <right style="medium">
        <color indexed="64"/>
      </right>
      <top/>
      <bottom style="thick">
        <color indexed="64"/>
      </bottom>
      <diagonal/>
    </border>
    <border>
      <left style="medium">
        <color indexed="64"/>
      </left>
      <right/>
      <top style="thick">
        <color indexed="64"/>
      </top>
      <bottom style="medium">
        <color indexed="64"/>
      </bottom>
      <diagonal/>
    </border>
    <border>
      <left style="medium">
        <color indexed="64"/>
      </left>
      <right style="thick">
        <color indexed="64"/>
      </right>
      <top style="medium">
        <color indexed="64"/>
      </top>
      <bottom style="thick">
        <color indexed="64"/>
      </bottom>
      <diagonal/>
    </border>
    <border>
      <left style="medium">
        <color indexed="64"/>
      </left>
      <right style="thick">
        <color indexed="64"/>
      </right>
      <top style="thick">
        <color indexed="64"/>
      </top>
      <bottom style="thick">
        <color indexed="64"/>
      </bottom>
      <diagonal/>
    </border>
    <border>
      <left style="medium">
        <color indexed="64"/>
      </left>
      <right style="thick">
        <color indexed="64"/>
      </right>
      <top/>
      <bottom style="thick">
        <color indexed="64"/>
      </bottom>
      <diagonal/>
    </border>
    <border>
      <left/>
      <right/>
      <top/>
      <bottom style="thick">
        <color indexed="64"/>
      </bottom>
      <diagonal/>
    </border>
    <border>
      <left style="medium">
        <color indexed="64"/>
      </left>
      <right style="thick">
        <color indexed="64"/>
      </right>
      <top/>
      <bottom/>
      <diagonal/>
    </border>
    <border>
      <left style="medium">
        <color indexed="64"/>
      </left>
      <right style="medium">
        <color indexed="64"/>
      </right>
      <top style="thick">
        <color indexed="64"/>
      </top>
      <bottom style="thick">
        <color indexed="64"/>
      </bottom>
      <diagonal/>
    </border>
    <border>
      <left style="thin">
        <color indexed="64"/>
      </left>
      <right style="medium">
        <color indexed="64"/>
      </right>
      <top/>
      <bottom style="thin">
        <color indexed="64"/>
      </bottom>
      <diagonal/>
    </border>
    <border>
      <left style="hair">
        <color indexed="64"/>
      </left>
      <right style="hair">
        <color indexed="64"/>
      </right>
      <top style="hair">
        <color indexed="64"/>
      </top>
      <bottom/>
      <diagonal/>
    </border>
    <border>
      <left/>
      <right/>
      <top style="hair">
        <color indexed="64"/>
      </top>
      <bottom/>
      <diagonal/>
    </border>
    <border>
      <left/>
      <right style="hair">
        <color indexed="64"/>
      </right>
      <top style="hair">
        <color indexed="64"/>
      </top>
      <bottom/>
      <diagonal/>
    </border>
    <border>
      <left style="thin">
        <color indexed="64"/>
      </left>
      <right style="medium">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style="thin">
        <color indexed="64"/>
      </left>
      <right style="thick">
        <color indexed="64"/>
      </right>
      <top style="thick">
        <color indexed="64"/>
      </top>
      <bottom style="thick">
        <color indexed="64"/>
      </bottom>
      <diagonal/>
    </border>
    <border>
      <left/>
      <right style="thin">
        <color indexed="64"/>
      </right>
      <top style="thick">
        <color indexed="64"/>
      </top>
      <bottom style="thick">
        <color indexed="64"/>
      </bottom>
      <diagonal/>
    </border>
    <border>
      <left/>
      <right style="thin">
        <color indexed="64"/>
      </right>
      <top style="thick">
        <color indexed="64"/>
      </top>
      <bottom/>
      <diagonal/>
    </border>
    <border>
      <left/>
      <right style="thin">
        <color indexed="64"/>
      </right>
      <top/>
      <bottom style="thick">
        <color indexed="64"/>
      </bottom>
      <diagonal/>
    </border>
    <border>
      <left style="thin">
        <color indexed="64"/>
      </left>
      <right/>
      <top/>
      <bottom style="thick">
        <color indexed="64"/>
      </bottom>
      <diagonal/>
    </border>
    <border>
      <left style="thick">
        <color indexed="64"/>
      </left>
      <right style="medium">
        <color indexed="64"/>
      </right>
      <top style="thick">
        <color indexed="64"/>
      </top>
      <bottom style="thick">
        <color indexed="64"/>
      </bottom>
      <diagonal/>
    </border>
    <border>
      <left style="thin">
        <color indexed="64"/>
      </left>
      <right/>
      <top/>
      <bottom style="thin">
        <color indexed="64"/>
      </bottom>
      <diagonal/>
    </border>
    <border>
      <left/>
      <right style="thin">
        <color indexed="64"/>
      </right>
      <top/>
      <bottom style="thin">
        <color indexed="64"/>
      </bottom>
      <diagonal/>
    </border>
    <border>
      <left style="thick">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style="thick">
        <color rgb="FF999999"/>
      </top>
      <bottom/>
      <diagonal/>
    </border>
    <border>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style="thick">
        <color indexed="64"/>
      </left>
      <right style="thick">
        <color indexed="64"/>
      </right>
      <top style="thick">
        <color indexed="64"/>
      </top>
      <bottom style="thin">
        <color indexed="64"/>
      </bottom>
      <diagonal/>
    </border>
    <border>
      <left style="thin">
        <color indexed="64"/>
      </left>
      <right style="thick">
        <color indexed="64"/>
      </right>
      <top style="thin">
        <color indexed="64"/>
      </top>
      <bottom style="thick">
        <color indexed="64"/>
      </bottom>
      <diagonal/>
    </border>
    <border>
      <left/>
      <right style="thin">
        <color indexed="64"/>
      </right>
      <top style="thin">
        <color indexed="64"/>
      </top>
      <bottom style="thick">
        <color indexed="64"/>
      </bottom>
      <diagonal/>
    </border>
    <border>
      <left style="medium">
        <color indexed="64"/>
      </left>
      <right style="thin">
        <color indexed="64"/>
      </right>
      <top/>
      <bottom/>
      <diagonal/>
    </border>
    <border>
      <left style="hair">
        <color indexed="64"/>
      </left>
      <right/>
      <top/>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double">
        <color indexed="52"/>
      </bottom>
      <diagonal/>
    </border>
    <border>
      <left/>
      <right/>
      <top/>
      <bottom style="medium">
        <color auto="1"/>
      </bottom>
      <diagonal/>
    </border>
  </borders>
  <cellStyleXfs count="224">
    <xf numFmtId="0" fontId="0" fillId="0" borderId="0"/>
    <xf numFmtId="9" fontId="15" fillId="0" borderId="0" applyFont="0" applyFill="0" applyBorder="0" applyAlignment="0" applyProtection="0"/>
    <xf numFmtId="0" fontId="23" fillId="0" borderId="0"/>
    <xf numFmtId="9" fontId="23" fillId="0" borderId="0" applyFont="0" applyFill="0" applyBorder="0" applyAlignment="0" applyProtection="0"/>
    <xf numFmtId="0" fontId="14" fillId="0" borderId="0"/>
    <xf numFmtId="0" fontId="27" fillId="0" borderId="0"/>
    <xf numFmtId="0" fontId="33" fillId="0" borderId="0"/>
    <xf numFmtId="0" fontId="34" fillId="0" borderId="0"/>
    <xf numFmtId="0" fontId="27" fillId="0" borderId="0"/>
    <xf numFmtId="0" fontId="71" fillId="0" borderId="0"/>
    <xf numFmtId="0" fontId="27" fillId="0" borderId="0"/>
    <xf numFmtId="0" fontId="78" fillId="0" borderId="0" applyNumberFormat="0" applyFill="0" applyBorder="0" applyAlignment="0" applyProtection="0">
      <alignment vertical="top"/>
      <protection locked="0"/>
    </xf>
    <xf numFmtId="0" fontId="8" fillId="0" borderId="0"/>
    <xf numFmtId="164" fontId="23" fillId="0" borderId="0" applyFont="0" applyFill="0" applyBorder="0" applyAlignment="0" applyProtection="0"/>
    <xf numFmtId="0" fontId="68" fillId="0" borderId="0"/>
    <xf numFmtId="0" fontId="93" fillId="0" borderId="0"/>
    <xf numFmtId="0" fontId="27" fillId="0" borderId="0"/>
    <xf numFmtId="0" fontId="27" fillId="0" borderId="0"/>
    <xf numFmtId="0" fontId="95" fillId="0" borderId="0">
      <alignment horizontal="left" vertical="top"/>
    </xf>
    <xf numFmtId="0" fontId="95" fillId="0" borderId="0">
      <alignment horizontal="right" vertical="top"/>
    </xf>
    <xf numFmtId="0" fontId="96" fillId="0" borderId="0"/>
    <xf numFmtId="0" fontId="100" fillId="0" borderId="0" applyNumberFormat="0" applyFill="0" applyBorder="0" applyAlignment="0" applyProtection="0">
      <alignment vertical="top"/>
      <protection locked="0"/>
    </xf>
    <xf numFmtId="0" fontId="27" fillId="0" borderId="0"/>
    <xf numFmtId="0" fontId="7" fillId="0" borderId="0"/>
    <xf numFmtId="0" fontId="15" fillId="0" borderId="0"/>
    <xf numFmtId="0" fontId="15" fillId="0" borderId="0"/>
    <xf numFmtId="0" fontId="15" fillId="0" borderId="0"/>
    <xf numFmtId="0" fontId="15" fillId="0" borderId="0"/>
    <xf numFmtId="0" fontId="108" fillId="0" borderId="0"/>
    <xf numFmtId="0" fontId="109" fillId="12" borderId="0" applyNumberFormat="0" applyBorder="0" applyAlignment="0" applyProtection="0"/>
    <xf numFmtId="0" fontId="109" fillId="13" borderId="0" applyNumberFormat="0" applyBorder="0" applyAlignment="0" applyProtection="0"/>
    <xf numFmtId="0" fontId="109" fillId="14" borderId="0" applyNumberFormat="0" applyBorder="0" applyAlignment="0" applyProtection="0"/>
    <xf numFmtId="0" fontId="109" fillId="15" borderId="0" applyNumberFormat="0" applyBorder="0" applyAlignment="0" applyProtection="0"/>
    <xf numFmtId="0" fontId="109" fillId="16" borderId="0" applyNumberFormat="0" applyBorder="0" applyAlignment="0" applyProtection="0"/>
    <xf numFmtId="0" fontId="109" fillId="17" borderId="0" applyNumberFormat="0" applyBorder="0" applyAlignment="0" applyProtection="0"/>
    <xf numFmtId="0" fontId="109" fillId="12" borderId="0" applyNumberFormat="0" applyBorder="0" applyAlignment="0" applyProtection="0"/>
    <xf numFmtId="0" fontId="109" fillId="12" borderId="0" applyNumberFormat="0" applyBorder="0" applyAlignment="0" applyProtection="0"/>
    <xf numFmtId="0" fontId="109" fillId="12" borderId="0" applyNumberFormat="0" applyBorder="0" applyAlignment="0" applyProtection="0"/>
    <xf numFmtId="0" fontId="109" fillId="13" borderId="0" applyNumberFormat="0" applyBorder="0" applyAlignment="0" applyProtection="0"/>
    <xf numFmtId="0" fontId="109" fillId="13" borderId="0" applyNumberFormat="0" applyBorder="0" applyAlignment="0" applyProtection="0"/>
    <xf numFmtId="0" fontId="109" fillId="13" borderId="0" applyNumberFormat="0" applyBorder="0" applyAlignment="0" applyProtection="0"/>
    <xf numFmtId="0" fontId="109" fillId="14" borderId="0" applyNumberFormat="0" applyBorder="0" applyAlignment="0" applyProtection="0"/>
    <xf numFmtId="0" fontId="109" fillId="14" borderId="0" applyNumberFormat="0" applyBorder="0" applyAlignment="0" applyProtection="0"/>
    <xf numFmtId="0" fontId="109" fillId="14" borderId="0" applyNumberFormat="0" applyBorder="0" applyAlignment="0" applyProtection="0"/>
    <xf numFmtId="0" fontId="109" fillId="15" borderId="0" applyNumberFormat="0" applyBorder="0" applyAlignment="0" applyProtection="0"/>
    <xf numFmtId="0" fontId="109" fillId="15" borderId="0" applyNumberFormat="0" applyBorder="0" applyAlignment="0" applyProtection="0"/>
    <xf numFmtId="0" fontId="109" fillId="15" borderId="0" applyNumberFormat="0" applyBorder="0" applyAlignment="0" applyProtection="0"/>
    <xf numFmtId="0" fontId="109" fillId="16" borderId="0" applyNumberFormat="0" applyBorder="0" applyAlignment="0" applyProtection="0"/>
    <xf numFmtId="0" fontId="109" fillId="16" borderId="0" applyNumberFormat="0" applyBorder="0" applyAlignment="0" applyProtection="0"/>
    <xf numFmtId="0" fontId="109" fillId="16" borderId="0" applyNumberFormat="0" applyBorder="0" applyAlignment="0" applyProtection="0"/>
    <xf numFmtId="0" fontId="109" fillId="17" borderId="0" applyNumberFormat="0" applyBorder="0" applyAlignment="0" applyProtection="0"/>
    <xf numFmtId="0" fontId="109" fillId="17" borderId="0" applyNumberFormat="0" applyBorder="0" applyAlignment="0" applyProtection="0"/>
    <xf numFmtId="0" fontId="109" fillId="17" borderId="0" applyNumberFormat="0" applyBorder="0" applyAlignment="0" applyProtection="0"/>
    <xf numFmtId="0" fontId="109" fillId="18" borderId="0" applyNumberFormat="0" applyBorder="0" applyAlignment="0" applyProtection="0"/>
    <xf numFmtId="0" fontId="109" fillId="19" borderId="0" applyNumberFormat="0" applyBorder="0" applyAlignment="0" applyProtection="0"/>
    <xf numFmtId="0" fontId="109" fillId="20" borderId="0" applyNumberFormat="0" applyBorder="0" applyAlignment="0" applyProtection="0"/>
    <xf numFmtId="0" fontId="109" fillId="15" borderId="0" applyNumberFormat="0" applyBorder="0" applyAlignment="0" applyProtection="0"/>
    <xf numFmtId="0" fontId="109" fillId="18" borderId="0" applyNumberFormat="0" applyBorder="0" applyAlignment="0" applyProtection="0"/>
    <xf numFmtId="0" fontId="109" fillId="21" borderId="0" applyNumberFormat="0" applyBorder="0" applyAlignment="0" applyProtection="0"/>
    <xf numFmtId="0" fontId="109" fillId="18" borderId="0" applyNumberFormat="0" applyBorder="0" applyAlignment="0" applyProtection="0"/>
    <xf numFmtId="0" fontId="109" fillId="18" borderId="0" applyNumberFormat="0" applyBorder="0" applyAlignment="0" applyProtection="0"/>
    <xf numFmtId="0" fontId="109" fillId="18" borderId="0" applyNumberFormat="0" applyBorder="0" applyAlignment="0" applyProtection="0"/>
    <xf numFmtId="0" fontId="109" fillId="19" borderId="0" applyNumberFormat="0" applyBorder="0" applyAlignment="0" applyProtection="0"/>
    <xf numFmtId="0" fontId="109" fillId="19" borderId="0" applyNumberFormat="0" applyBorder="0" applyAlignment="0" applyProtection="0"/>
    <xf numFmtId="0" fontId="109" fillId="19" borderId="0" applyNumberFormat="0" applyBorder="0" applyAlignment="0" applyProtection="0"/>
    <xf numFmtId="0" fontId="109" fillId="20" borderId="0" applyNumberFormat="0" applyBorder="0" applyAlignment="0" applyProtection="0"/>
    <xf numFmtId="0" fontId="109" fillId="20" borderId="0" applyNumberFormat="0" applyBorder="0" applyAlignment="0" applyProtection="0"/>
    <xf numFmtId="0" fontId="109" fillId="20" borderId="0" applyNumberFormat="0" applyBorder="0" applyAlignment="0" applyProtection="0"/>
    <xf numFmtId="0" fontId="110" fillId="20" borderId="0" applyNumberFormat="0" applyBorder="0" applyAlignment="0" applyProtection="0"/>
    <xf numFmtId="0" fontId="109" fillId="15" borderId="0" applyNumberFormat="0" applyBorder="0" applyAlignment="0" applyProtection="0"/>
    <xf numFmtId="0" fontId="109" fillId="15" borderId="0" applyNumberFormat="0" applyBorder="0" applyAlignment="0" applyProtection="0"/>
    <xf numFmtId="0" fontId="109" fillId="15" borderId="0" applyNumberFormat="0" applyBorder="0" applyAlignment="0" applyProtection="0"/>
    <xf numFmtId="0" fontId="109" fillId="18" borderId="0" applyNumberFormat="0" applyBorder="0" applyAlignment="0" applyProtection="0"/>
    <xf numFmtId="0" fontId="109" fillId="18" borderId="0" applyNumberFormat="0" applyBorder="0" applyAlignment="0" applyProtection="0"/>
    <xf numFmtId="0" fontId="109" fillId="18" borderId="0" applyNumberFormat="0" applyBorder="0" applyAlignment="0" applyProtection="0"/>
    <xf numFmtId="0" fontId="109" fillId="21" borderId="0" applyNumberFormat="0" applyBorder="0" applyAlignment="0" applyProtection="0"/>
    <xf numFmtId="0" fontId="109" fillId="21" borderId="0" applyNumberFormat="0" applyBorder="0" applyAlignment="0" applyProtection="0"/>
    <xf numFmtId="0" fontId="109" fillId="21" borderId="0" applyNumberFormat="0" applyBorder="0" applyAlignment="0" applyProtection="0"/>
    <xf numFmtId="0" fontId="111" fillId="22" borderId="0" applyNumberFormat="0" applyBorder="0" applyAlignment="0" applyProtection="0"/>
    <xf numFmtId="0" fontId="111" fillId="19" borderId="0" applyNumberFormat="0" applyBorder="0" applyAlignment="0" applyProtection="0"/>
    <xf numFmtId="0" fontId="111" fillId="20" borderId="0" applyNumberFormat="0" applyBorder="0" applyAlignment="0" applyProtection="0"/>
    <xf numFmtId="0" fontId="111" fillId="23" borderId="0" applyNumberFormat="0" applyBorder="0" applyAlignment="0" applyProtection="0"/>
    <xf numFmtId="0" fontId="111" fillId="24" borderId="0" applyNumberFormat="0" applyBorder="0" applyAlignment="0" applyProtection="0"/>
    <xf numFmtId="0" fontId="111" fillId="25" borderId="0" applyNumberFormat="0" applyBorder="0" applyAlignment="0" applyProtection="0"/>
    <xf numFmtId="0" fontId="111" fillId="22" borderId="0" applyNumberFormat="0" applyBorder="0" applyAlignment="0" applyProtection="0"/>
    <xf numFmtId="0" fontId="111" fillId="22" borderId="0" applyNumberFormat="0" applyBorder="0" applyAlignment="0" applyProtection="0"/>
    <xf numFmtId="0" fontId="111" fillId="22"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3" borderId="0" applyNumberFormat="0" applyBorder="0" applyAlignment="0" applyProtection="0"/>
    <xf numFmtId="0" fontId="111" fillId="23" borderId="0" applyNumberFormat="0" applyBorder="0" applyAlignment="0" applyProtection="0"/>
    <xf numFmtId="0" fontId="111" fillId="23" borderId="0" applyNumberFormat="0" applyBorder="0" applyAlignment="0" applyProtection="0"/>
    <xf numFmtId="0" fontId="111" fillId="24" borderId="0" applyNumberFormat="0" applyBorder="0" applyAlignment="0" applyProtection="0"/>
    <xf numFmtId="0" fontId="111" fillId="24" borderId="0" applyNumberFormat="0" applyBorder="0" applyAlignment="0" applyProtection="0"/>
    <xf numFmtId="0" fontId="111" fillId="24" borderId="0" applyNumberFormat="0" applyBorder="0" applyAlignment="0" applyProtection="0"/>
    <xf numFmtId="0" fontId="111" fillId="25" borderId="0" applyNumberFormat="0" applyBorder="0" applyAlignment="0" applyProtection="0"/>
    <xf numFmtId="0" fontId="111" fillId="25" borderId="0" applyNumberFormat="0" applyBorder="0" applyAlignment="0" applyProtection="0"/>
    <xf numFmtId="0" fontId="111" fillId="25" borderId="0" applyNumberFormat="0" applyBorder="0" applyAlignment="0" applyProtection="0"/>
    <xf numFmtId="0" fontId="111" fillId="26" borderId="0" applyNumberFormat="0" applyBorder="0" applyAlignment="0" applyProtection="0"/>
    <xf numFmtId="0" fontId="111" fillId="26" borderId="0" applyNumberFormat="0" applyBorder="0" applyAlignment="0" applyProtection="0"/>
    <xf numFmtId="0" fontId="111" fillId="26" borderId="0" applyNumberFormat="0" applyBorder="0" applyAlignment="0" applyProtection="0"/>
    <xf numFmtId="0" fontId="111" fillId="27" borderId="0" applyNumberFormat="0" applyBorder="0" applyAlignment="0" applyProtection="0"/>
    <xf numFmtId="0" fontId="111" fillId="27" borderId="0" applyNumberFormat="0" applyBorder="0" applyAlignment="0" applyProtection="0"/>
    <xf numFmtId="0" fontId="111" fillId="27" borderId="0" applyNumberFormat="0" applyBorder="0" applyAlignment="0" applyProtection="0"/>
    <xf numFmtId="0" fontId="111" fillId="28" borderId="0" applyNumberFormat="0" applyBorder="0" applyAlignment="0" applyProtection="0"/>
    <xf numFmtId="0" fontId="111" fillId="28" borderId="0" applyNumberFormat="0" applyBorder="0" applyAlignment="0" applyProtection="0"/>
    <xf numFmtId="0" fontId="111" fillId="28" borderId="0" applyNumberFormat="0" applyBorder="0" applyAlignment="0" applyProtection="0"/>
    <xf numFmtId="0" fontId="111" fillId="23" borderId="0" applyNumberFormat="0" applyBorder="0" applyAlignment="0" applyProtection="0"/>
    <xf numFmtId="0" fontId="111" fillId="23" borderId="0" applyNumberFormat="0" applyBorder="0" applyAlignment="0" applyProtection="0"/>
    <xf numFmtId="0" fontId="111" fillId="23" borderId="0" applyNumberFormat="0" applyBorder="0" applyAlignment="0" applyProtection="0"/>
    <xf numFmtId="0" fontId="111" fillId="24" borderId="0" applyNumberFormat="0" applyBorder="0" applyAlignment="0" applyProtection="0"/>
    <xf numFmtId="0" fontId="111" fillId="24" borderId="0" applyNumberFormat="0" applyBorder="0" applyAlignment="0" applyProtection="0"/>
    <xf numFmtId="0" fontId="111" fillId="24" borderId="0" applyNumberFormat="0" applyBorder="0" applyAlignment="0" applyProtection="0"/>
    <xf numFmtId="0" fontId="111" fillId="29" borderId="0" applyNumberFormat="0" applyBorder="0" applyAlignment="0" applyProtection="0"/>
    <xf numFmtId="0" fontId="111" fillId="29" borderId="0" applyNumberFormat="0" applyBorder="0" applyAlignment="0" applyProtection="0"/>
    <xf numFmtId="0" fontId="111" fillId="29" borderId="0" applyNumberFormat="0" applyBorder="0" applyAlignment="0" applyProtection="0"/>
    <xf numFmtId="0" fontId="108" fillId="0" borderId="0"/>
    <xf numFmtId="0" fontId="68" fillId="0" borderId="0"/>
    <xf numFmtId="0" fontId="112" fillId="0" borderId="0"/>
    <xf numFmtId="0" fontId="113" fillId="0" borderId="0" applyNumberFormat="0" applyFill="0" applyBorder="0" applyAlignment="0" applyProtection="0"/>
    <xf numFmtId="0" fontId="114" fillId="13" borderId="0" applyNumberFormat="0" applyBorder="0" applyAlignment="0" applyProtection="0"/>
    <xf numFmtId="0" fontId="114" fillId="13" borderId="0" applyNumberFormat="0" applyBorder="0" applyAlignment="0" applyProtection="0"/>
    <xf numFmtId="0" fontId="114" fillId="13" borderId="0" applyNumberFormat="0" applyBorder="0" applyAlignment="0" applyProtection="0"/>
    <xf numFmtId="0" fontId="115" fillId="30" borderId="147" applyNumberFormat="0" applyAlignment="0" applyProtection="0"/>
    <xf numFmtId="0" fontId="115" fillId="30" borderId="147" applyNumberFormat="0" applyAlignment="0" applyProtection="0"/>
    <xf numFmtId="0" fontId="115" fillId="30" borderId="147" applyNumberFormat="0" applyAlignment="0" applyProtection="0"/>
    <xf numFmtId="0" fontId="115" fillId="30" borderId="147" applyNumberFormat="0" applyAlignment="0" applyProtection="0"/>
    <xf numFmtId="0" fontId="116" fillId="0" borderId="148" applyNumberFormat="0" applyFill="0" applyAlignment="0" applyProtection="0"/>
    <xf numFmtId="177" fontId="68" fillId="0" borderId="0" applyFont="0" applyFill="0" applyBorder="0" applyAlignment="0" applyProtection="0"/>
    <xf numFmtId="0" fontId="68" fillId="31" borderId="149" applyNumberFormat="0" applyFont="0" applyAlignment="0" applyProtection="0"/>
    <xf numFmtId="0" fontId="117" fillId="17" borderId="147" applyNumberFormat="0" applyAlignment="0" applyProtection="0"/>
    <xf numFmtId="178" fontId="68" fillId="0" borderId="0" applyFon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179" fontId="119" fillId="0" borderId="0"/>
    <xf numFmtId="180" fontId="119" fillId="0" borderId="0"/>
    <xf numFmtId="181" fontId="119" fillId="0" borderId="0"/>
    <xf numFmtId="0" fontId="120" fillId="14" borderId="0" applyNumberFormat="0" applyBorder="0" applyAlignment="0" applyProtection="0"/>
    <xf numFmtId="0" fontId="120" fillId="14" borderId="0" applyNumberFormat="0" applyBorder="0" applyAlignment="0" applyProtection="0"/>
    <xf numFmtId="0" fontId="120" fillId="14" borderId="0" applyNumberFormat="0" applyBorder="0" applyAlignment="0" applyProtection="0"/>
    <xf numFmtId="0" fontId="121" fillId="0" borderId="150" applyNumberFormat="0" applyFill="0" applyAlignment="0" applyProtection="0"/>
    <xf numFmtId="0" fontId="121" fillId="0" borderId="150" applyNumberFormat="0" applyFill="0" applyAlignment="0" applyProtection="0"/>
    <xf numFmtId="0" fontId="121" fillId="0" borderId="150" applyNumberFormat="0" applyFill="0" applyAlignment="0" applyProtection="0"/>
    <xf numFmtId="0" fontId="122" fillId="0" borderId="151" applyNumberFormat="0" applyFill="0" applyAlignment="0" applyProtection="0"/>
    <xf numFmtId="0" fontId="122" fillId="0" borderId="151" applyNumberFormat="0" applyFill="0" applyAlignment="0" applyProtection="0"/>
    <xf numFmtId="0" fontId="122" fillId="0" borderId="151" applyNumberFormat="0" applyFill="0" applyAlignment="0" applyProtection="0"/>
    <xf numFmtId="0" fontId="123" fillId="0" borderId="152" applyNumberFormat="0" applyFill="0" applyAlignment="0" applyProtection="0"/>
    <xf numFmtId="0" fontId="123" fillId="0" borderId="152" applyNumberFormat="0" applyFill="0" applyAlignment="0" applyProtection="0"/>
    <xf numFmtId="0" fontId="123" fillId="0" borderId="152" applyNumberFormat="0" applyFill="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4" fillId="32" borderId="153" applyNumberFormat="0" applyAlignment="0" applyProtection="0"/>
    <xf numFmtId="0" fontId="124" fillId="32" borderId="153" applyNumberFormat="0" applyAlignment="0" applyProtection="0"/>
    <xf numFmtId="0" fontId="124" fillId="32" borderId="153" applyNumberFormat="0" applyAlignment="0" applyProtection="0"/>
    <xf numFmtId="0" fontId="117" fillId="17" borderId="147" applyNumberFormat="0" applyAlignment="0" applyProtection="0"/>
    <xf numFmtId="0" fontId="117" fillId="17" borderId="147" applyNumberFormat="0" applyAlignment="0" applyProtection="0"/>
    <xf numFmtId="0" fontId="117" fillId="17" borderId="147" applyNumberFormat="0" applyAlignment="0" applyProtection="0"/>
    <xf numFmtId="0" fontId="114" fillId="13" borderId="0" applyNumberFormat="0" applyBorder="0" applyAlignment="0" applyProtection="0"/>
    <xf numFmtId="0" fontId="116" fillId="0" borderId="148" applyNumberFormat="0" applyFill="0" applyAlignment="0" applyProtection="0"/>
    <xf numFmtId="0" fontId="116" fillId="0" borderId="148" applyNumberFormat="0" applyFill="0" applyAlignment="0" applyProtection="0"/>
    <xf numFmtId="0" fontId="116" fillId="0" borderId="148" applyNumberFormat="0" applyFill="0" applyAlignment="0" applyProtection="0"/>
    <xf numFmtId="0" fontId="125" fillId="33" borderId="0" applyNumberFormat="0" applyBorder="0" applyAlignment="0" applyProtection="0"/>
    <xf numFmtId="0" fontId="125" fillId="33" borderId="0" applyNumberFormat="0" applyBorder="0" applyAlignment="0" applyProtection="0"/>
    <xf numFmtId="0" fontId="125" fillId="33" borderId="0" applyNumberFormat="0" applyBorder="0" applyAlignment="0" applyProtection="0"/>
    <xf numFmtId="0" fontId="125" fillId="33" borderId="0" applyNumberFormat="0" applyBorder="0" applyAlignment="0" applyProtection="0"/>
    <xf numFmtId="0" fontId="110" fillId="0" borderId="0"/>
    <xf numFmtId="0" fontId="109" fillId="0" borderId="0"/>
    <xf numFmtId="0" fontId="68" fillId="0" borderId="0"/>
    <xf numFmtId="0" fontId="68" fillId="0" borderId="0"/>
    <xf numFmtId="0" fontId="126" fillId="0" borderId="0"/>
    <xf numFmtId="0" fontId="109" fillId="0" borderId="0"/>
    <xf numFmtId="0" fontId="110" fillId="0" borderId="0"/>
    <xf numFmtId="0" fontId="68" fillId="0" borderId="0"/>
    <xf numFmtId="0" fontId="15" fillId="0" borderId="0"/>
    <xf numFmtId="0" fontId="109" fillId="31" borderId="149" applyNumberFormat="0" applyFont="0" applyAlignment="0" applyProtection="0"/>
    <xf numFmtId="0" fontId="109" fillId="31" borderId="149" applyNumberFormat="0" applyFont="0" applyAlignment="0" applyProtection="0"/>
    <xf numFmtId="0" fontId="109" fillId="31" borderId="149" applyNumberFormat="0" applyFont="0" applyAlignment="0" applyProtection="0"/>
    <xf numFmtId="0" fontId="127" fillId="30" borderId="154" applyNumberFormat="0" applyAlignment="0" applyProtection="0"/>
    <xf numFmtId="0" fontId="127" fillId="30" borderId="154" applyNumberFormat="0" applyAlignment="0" applyProtection="0"/>
    <xf numFmtId="0" fontId="127" fillId="30" borderId="154" applyNumberFormat="0" applyAlignment="0" applyProtection="0"/>
    <xf numFmtId="9" fontId="109" fillId="0" borderId="0" applyFont="0" applyFill="0" applyBorder="0" applyAlignment="0" applyProtection="0"/>
    <xf numFmtId="0" fontId="120" fillId="14" borderId="0" applyNumberFormat="0" applyBorder="0" applyAlignment="0" applyProtection="0"/>
    <xf numFmtId="0" fontId="127" fillId="30" borderId="154" applyNumberFormat="0" applyAlignment="0" applyProtection="0"/>
    <xf numFmtId="37" fontId="108" fillId="0" borderId="0"/>
    <xf numFmtId="0" fontId="119" fillId="0" borderId="0"/>
    <xf numFmtId="0" fontId="11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1" fillId="0" borderId="150" applyNumberFormat="0" applyFill="0" applyAlignment="0" applyProtection="0"/>
    <xf numFmtId="0" fontId="122" fillId="0" borderId="151" applyNumberFormat="0" applyFill="0" applyAlignment="0" applyProtection="0"/>
    <xf numFmtId="0" fontId="123" fillId="0" borderId="152" applyNumberFormat="0" applyFill="0" applyAlignment="0" applyProtection="0"/>
    <xf numFmtId="0" fontId="123" fillId="0" borderId="0" applyNumberFormat="0" applyFill="0" applyBorder="0" applyAlignment="0" applyProtection="0"/>
    <xf numFmtId="0" fontId="129" fillId="0" borderId="0" applyNumberFormat="0" applyFill="0" applyBorder="0" applyAlignment="0" applyProtection="0"/>
    <xf numFmtId="0" fontId="130" fillId="0" borderId="155" applyNumberFormat="0" applyFill="0" applyAlignment="0" applyProtection="0"/>
    <xf numFmtId="0" fontId="130" fillId="0" borderId="155" applyNumberFormat="0" applyFill="0" applyAlignment="0" applyProtection="0"/>
    <xf numFmtId="0" fontId="130" fillId="0" borderId="155" applyNumberFormat="0" applyFill="0" applyAlignment="0" applyProtection="0"/>
    <xf numFmtId="0" fontId="124" fillId="32" borderId="153" applyNumberFormat="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27" fillId="0" borderId="0">
      <alignment vertical="center"/>
    </xf>
    <xf numFmtId="0" fontId="23"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31" fillId="0" borderId="0"/>
    <xf numFmtId="0" fontId="15" fillId="0" borderId="0"/>
    <xf numFmtId="0" fontId="116" fillId="0" borderId="156" applyNumberFormat="0" applyFill="0" applyAlignment="0" applyProtection="0"/>
    <xf numFmtId="0" fontId="116" fillId="0" borderId="156" applyNumberFormat="0" applyFill="0" applyAlignment="0" applyProtection="0"/>
    <xf numFmtId="0" fontId="116" fillId="0" borderId="156" applyNumberFormat="0" applyFill="0" applyAlignment="0" applyProtection="0"/>
    <xf numFmtId="0" fontId="116" fillId="0" borderId="156" applyNumberFormat="0" applyFill="0" applyAlignment="0" applyProtection="0"/>
    <xf numFmtId="0" fontId="7" fillId="0" borderId="0"/>
  </cellStyleXfs>
  <cellXfs count="2709">
    <xf numFmtId="0" fontId="0" fillId="0" borderId="0" xfId="0"/>
    <xf numFmtId="0" fontId="16" fillId="0" borderId="0" xfId="0" applyFont="1" applyAlignment="1">
      <alignment horizontal="left"/>
    </xf>
    <xf numFmtId="0" fontId="17" fillId="0" borderId="0" xfId="0" applyFont="1"/>
    <xf numFmtId="0" fontId="16" fillId="0" borderId="0" xfId="0" applyFont="1" applyAlignment="1">
      <alignment horizontal="justify"/>
    </xf>
    <xf numFmtId="0" fontId="0" fillId="0" borderId="0" xfId="0" applyAlignment="1">
      <alignment wrapText="1"/>
    </xf>
    <xf numFmtId="0" fontId="17" fillId="0" borderId="0" xfId="0" applyFont="1" applyAlignment="1">
      <alignment horizontal="left"/>
    </xf>
    <xf numFmtId="0" fontId="17" fillId="0" borderId="0" xfId="0" applyFont="1" applyAlignment="1">
      <alignment horizontal="justify"/>
    </xf>
    <xf numFmtId="0" fontId="0" fillId="0" borderId="43" xfId="0" applyBorder="1" applyAlignment="1">
      <alignment horizontal="center"/>
    </xf>
    <xf numFmtId="0" fontId="0" fillId="0" borderId="43" xfId="0" applyBorder="1"/>
    <xf numFmtId="0" fontId="18" fillId="0" borderId="0" xfId="0" applyFont="1"/>
    <xf numFmtId="0" fontId="19" fillId="0" borderId="1" xfId="0" applyFont="1" applyBorder="1" applyAlignment="1">
      <alignment horizontal="center" vertical="center" wrapText="1"/>
    </xf>
    <xf numFmtId="0" fontId="19" fillId="0" borderId="2" xfId="0" applyFont="1" applyBorder="1" applyAlignment="1">
      <alignment horizontal="center" vertical="center" wrapText="1"/>
    </xf>
    <xf numFmtId="0" fontId="20" fillId="0" borderId="3" xfId="0" applyFont="1" applyBorder="1" applyAlignment="1">
      <alignment vertical="center" wrapText="1"/>
    </xf>
    <xf numFmtId="3" fontId="20" fillId="0" borderId="4" xfId="0" applyNumberFormat="1" applyFont="1" applyBorder="1" applyAlignment="1">
      <alignment horizontal="right" vertical="center" wrapText="1"/>
    </xf>
    <xf numFmtId="0" fontId="20" fillId="0" borderId="5" xfId="0" applyFont="1" applyBorder="1" applyAlignment="1">
      <alignment vertical="center" wrapText="1"/>
    </xf>
    <xf numFmtId="3" fontId="20" fillId="0" borderId="6" xfId="0" applyNumberFormat="1" applyFont="1" applyBorder="1" applyAlignment="1">
      <alignment horizontal="right" vertical="center" wrapText="1"/>
    </xf>
    <xf numFmtId="0" fontId="20" fillId="0" borderId="7" xfId="0" applyFont="1" applyBorder="1" applyAlignment="1">
      <alignment vertical="center" wrapText="1"/>
    </xf>
    <xf numFmtId="3" fontId="20" fillId="0" borderId="8" xfId="0" applyNumberFormat="1" applyFont="1" applyBorder="1" applyAlignment="1">
      <alignment horizontal="right" vertical="center" wrapText="1"/>
    </xf>
    <xf numFmtId="0" fontId="20" fillId="0" borderId="0" xfId="0" applyFont="1"/>
    <xf numFmtId="0" fontId="19" fillId="0" borderId="1" xfId="0" applyFont="1" applyBorder="1" applyAlignment="1">
      <alignment horizontal="center" vertical="center" wrapText="1"/>
    </xf>
    <xf numFmtId="0" fontId="20" fillId="0" borderId="0" xfId="0" applyFont="1" applyAlignment="1">
      <alignment vertical="center"/>
    </xf>
    <xf numFmtId="0" fontId="19" fillId="0" borderId="8" xfId="0" applyFont="1" applyBorder="1" applyAlignment="1">
      <alignment horizontal="center" vertical="center" wrapText="1"/>
    </xf>
    <xf numFmtId="3" fontId="20" fillId="0" borderId="13" xfId="0" applyNumberFormat="1" applyFont="1" applyBorder="1" applyAlignment="1">
      <alignment horizontal="right" vertical="center" wrapText="1"/>
    </xf>
    <xf numFmtId="9" fontId="20" fillId="0" borderId="13" xfId="1" applyFont="1" applyBorder="1" applyAlignment="1">
      <alignment horizontal="right" vertical="center" wrapText="1"/>
    </xf>
    <xf numFmtId="9" fontId="20" fillId="0" borderId="6" xfId="1" applyFont="1" applyBorder="1" applyAlignment="1">
      <alignment horizontal="right" vertical="center" wrapText="1"/>
    </xf>
    <xf numFmtId="0" fontId="19" fillId="0" borderId="7" xfId="0" applyFont="1" applyBorder="1" applyAlignment="1">
      <alignment vertical="center" wrapText="1"/>
    </xf>
    <xf numFmtId="3" fontId="20" fillId="0" borderId="14" xfId="0" applyNumberFormat="1" applyFont="1" applyBorder="1" applyAlignment="1">
      <alignment horizontal="right" vertical="center" wrapText="1"/>
    </xf>
    <xf numFmtId="9" fontId="20" fillId="0" borderId="14" xfId="0" applyNumberFormat="1" applyFont="1" applyBorder="1" applyAlignment="1">
      <alignment horizontal="right" vertical="center" wrapText="1"/>
    </xf>
    <xf numFmtId="9" fontId="20" fillId="0" borderId="14" xfId="1" applyFont="1" applyBorder="1" applyAlignment="1">
      <alignment horizontal="right" vertical="center" wrapText="1"/>
    </xf>
    <xf numFmtId="9" fontId="20" fillId="0" borderId="8" xfId="1" applyFont="1" applyBorder="1" applyAlignment="1">
      <alignment horizontal="right" vertical="center" wrapText="1"/>
    </xf>
    <xf numFmtId="0" fontId="19" fillId="0" borderId="7" xfId="0" applyFont="1" applyBorder="1" applyAlignment="1">
      <alignment horizontal="center" vertical="center" wrapText="1"/>
    </xf>
    <xf numFmtId="0" fontId="20" fillId="0" borderId="13" xfId="0" applyFont="1" applyBorder="1" applyAlignment="1">
      <alignment vertical="center" wrapText="1"/>
    </xf>
    <xf numFmtId="9" fontId="20" fillId="0" borderId="13" xfId="1" applyNumberFormat="1" applyFont="1" applyBorder="1" applyAlignment="1">
      <alignment horizontal="right" vertical="center" wrapText="1"/>
    </xf>
    <xf numFmtId="9" fontId="20" fillId="0" borderId="6" xfId="1" applyNumberFormat="1" applyFont="1" applyBorder="1" applyAlignment="1">
      <alignment horizontal="right" vertical="center" wrapText="1"/>
    </xf>
    <xf numFmtId="0" fontId="20" fillId="0" borderId="14" xfId="0" applyFont="1" applyBorder="1" applyAlignment="1">
      <alignment horizontal="center" vertical="center" wrapText="1"/>
    </xf>
    <xf numFmtId="9" fontId="20" fillId="0" borderId="14" xfId="1" applyNumberFormat="1" applyFont="1" applyBorder="1" applyAlignment="1">
      <alignment horizontal="right" vertical="center" wrapText="1"/>
    </xf>
    <xf numFmtId="9" fontId="20" fillId="0" borderId="8" xfId="1" applyNumberFormat="1" applyFont="1" applyBorder="1" applyAlignment="1">
      <alignment horizontal="right" vertical="center" wrapText="1"/>
    </xf>
    <xf numFmtId="0" fontId="0" fillId="0" borderId="0" xfId="0" applyAlignment="1">
      <alignment vertical="center"/>
    </xf>
    <xf numFmtId="0" fontId="19" fillId="0" borderId="10" xfId="0" applyFont="1" applyBorder="1" applyAlignment="1">
      <alignment horizontal="center" vertical="center" wrapText="1"/>
    </xf>
    <xf numFmtId="0" fontId="0" fillId="0" borderId="0" xfId="0" applyAlignment="1"/>
    <xf numFmtId="0" fontId="19" fillId="0" borderId="12" xfId="0" applyFont="1" applyBorder="1" applyAlignment="1">
      <alignment horizontal="center" vertical="center" wrapText="1"/>
    </xf>
    <xf numFmtId="0" fontId="20" fillId="0" borderId="15" xfId="0" applyFont="1" applyBorder="1" applyAlignment="1">
      <alignment vertical="center" wrapText="1"/>
    </xf>
    <xf numFmtId="0" fontId="20" fillId="0" borderId="11" xfId="0" applyFont="1" applyBorder="1" applyAlignment="1">
      <alignment vertical="center" wrapText="1"/>
    </xf>
    <xf numFmtId="0" fontId="20" fillId="0" borderId="10" xfId="0" applyFont="1" applyBorder="1" applyAlignment="1">
      <alignment vertical="center" wrapText="1"/>
    </xf>
    <xf numFmtId="0" fontId="19" fillId="0" borderId="5" xfId="0" applyFont="1" applyBorder="1" applyAlignment="1">
      <alignment vertical="center" wrapText="1"/>
    </xf>
    <xf numFmtId="3" fontId="20" fillId="0" borderId="16" xfId="0" applyNumberFormat="1" applyFont="1" applyBorder="1" applyAlignment="1">
      <alignment horizontal="right" vertical="center" wrapText="1"/>
    </xf>
    <xf numFmtId="3" fontId="20" fillId="0" borderId="17" xfId="0" applyNumberFormat="1" applyFont="1" applyBorder="1" applyAlignment="1">
      <alignment horizontal="right" vertical="center" wrapText="1"/>
    </xf>
    <xf numFmtId="3" fontId="20" fillId="0" borderId="18" xfId="0" applyNumberFormat="1" applyFont="1" applyBorder="1" applyAlignment="1">
      <alignment horizontal="right" vertical="center" wrapText="1"/>
    </xf>
    <xf numFmtId="0" fontId="20" fillId="0" borderId="0" xfId="0" applyFont="1" applyAlignment="1">
      <alignment vertical="center" wrapText="1"/>
    </xf>
    <xf numFmtId="0" fontId="20" fillId="0" borderId="0" xfId="0" applyFont="1" applyAlignment="1">
      <alignment horizontal="left" vertical="center"/>
    </xf>
    <xf numFmtId="0" fontId="19" fillId="0" borderId="2" xfId="0" applyFont="1" applyBorder="1" applyAlignment="1">
      <alignment horizontal="center" vertical="center" wrapText="1"/>
    </xf>
    <xf numFmtId="0" fontId="19" fillId="0" borderId="10" xfId="0" applyFont="1" applyBorder="1" applyAlignment="1">
      <alignment horizontal="center" vertical="center"/>
    </xf>
    <xf numFmtId="0" fontId="19" fillId="0" borderId="15" xfId="0" applyFont="1" applyBorder="1" applyAlignment="1">
      <alignment vertical="center"/>
    </xf>
    <xf numFmtId="0" fontId="19" fillId="0" borderId="11" xfId="0" applyFont="1" applyBorder="1" applyAlignment="1">
      <alignment vertical="center" wrapText="1"/>
    </xf>
    <xf numFmtId="0" fontId="19" fillId="0" borderId="10" xfId="0" applyFont="1" applyBorder="1" applyAlignment="1">
      <alignment vertical="center" wrapText="1"/>
    </xf>
    <xf numFmtId="9" fontId="20" fillId="0" borderId="13" xfId="1" applyFont="1" applyBorder="1" applyAlignment="1">
      <alignment horizontal="center" vertical="center" wrapText="1"/>
    </xf>
    <xf numFmtId="9" fontId="20" fillId="0" borderId="14" xfId="1" applyFont="1" applyBorder="1" applyAlignment="1">
      <alignment horizontal="center" vertical="center" wrapText="1"/>
    </xf>
    <xf numFmtId="0" fontId="19" fillId="0" borderId="28" xfId="0" applyFont="1" applyBorder="1" applyAlignment="1">
      <alignment horizontal="center" vertical="center" wrapText="1"/>
    </xf>
    <xf numFmtId="3" fontId="19" fillId="0" borderId="14" xfId="0" applyNumberFormat="1" applyFont="1" applyBorder="1" applyAlignment="1">
      <alignment horizontal="right" vertical="center" wrapText="1"/>
    </xf>
    <xf numFmtId="0" fontId="19" fillId="0" borderId="32" xfId="0" applyFont="1" applyBorder="1" applyAlignment="1">
      <alignment horizontal="center" vertical="center" wrapText="1"/>
    </xf>
    <xf numFmtId="3" fontId="19" fillId="0" borderId="8" xfId="0" applyNumberFormat="1" applyFont="1" applyBorder="1" applyAlignment="1">
      <alignment horizontal="right" vertical="center" wrapText="1"/>
    </xf>
    <xf numFmtId="0" fontId="20" fillId="0" borderId="14" xfId="0" applyFont="1" applyBorder="1" applyAlignment="1">
      <alignment horizontal="right" vertical="center" wrapText="1"/>
    </xf>
    <xf numFmtId="0" fontId="20" fillId="0" borderId="13" xfId="0" applyFont="1" applyBorder="1" applyAlignment="1">
      <alignment horizontal="center" vertical="center" wrapText="1"/>
    </xf>
    <xf numFmtId="0" fontId="19" fillId="0" borderId="0" xfId="0" applyFont="1" applyAlignment="1">
      <alignment horizontal="justify"/>
    </xf>
    <xf numFmtId="0" fontId="19" fillId="0" borderId="15" xfId="0" applyFont="1" applyBorder="1" applyAlignment="1">
      <alignment vertical="center" wrapText="1"/>
    </xf>
    <xf numFmtId="3" fontId="20" fillId="0" borderId="13" xfId="0" applyNumberFormat="1" applyFont="1" applyBorder="1" applyAlignment="1">
      <alignment horizontal="right" vertical="center" wrapText="1" indent="1"/>
    </xf>
    <xf numFmtId="3" fontId="20" fillId="0" borderId="6" xfId="0" applyNumberFormat="1" applyFont="1" applyBorder="1" applyAlignment="1">
      <alignment horizontal="right" vertical="center" wrapText="1" indent="1"/>
    </xf>
    <xf numFmtId="3" fontId="19" fillId="0" borderId="14" xfId="0" applyNumberFormat="1" applyFont="1" applyBorder="1" applyAlignment="1">
      <alignment horizontal="right" vertical="center" wrapText="1" indent="1"/>
    </xf>
    <xf numFmtId="3" fontId="19" fillId="0" borderId="8" xfId="0" applyNumberFormat="1" applyFont="1" applyBorder="1" applyAlignment="1">
      <alignment horizontal="right" vertical="center" wrapText="1" indent="1"/>
    </xf>
    <xf numFmtId="0" fontId="19" fillId="0" borderId="15" xfId="0" applyFont="1" applyBorder="1" applyAlignment="1">
      <alignment horizontal="center" vertical="center" wrapText="1"/>
    </xf>
    <xf numFmtId="0" fontId="19" fillId="0" borderId="10" xfId="0" applyFont="1" applyBorder="1" applyAlignment="1">
      <alignment horizontal="center" vertical="center" wrapText="1"/>
    </xf>
    <xf numFmtId="0" fontId="20" fillId="0" borderId="5" xfId="0" applyFont="1" applyBorder="1" applyAlignment="1">
      <alignment vertical="center"/>
    </xf>
    <xf numFmtId="0" fontId="19" fillId="0" borderId="7" xfId="0" applyFont="1" applyBorder="1" applyAlignment="1">
      <alignment vertical="center"/>
    </xf>
    <xf numFmtId="0" fontId="19" fillId="0" borderId="32" xfId="0" applyFont="1" applyBorder="1" applyAlignment="1">
      <alignment vertical="center" wrapText="1"/>
    </xf>
    <xf numFmtId="0" fontId="20" fillId="0" borderId="3" xfId="0" applyFont="1" applyBorder="1" applyAlignment="1">
      <alignment vertical="center"/>
    </xf>
    <xf numFmtId="0" fontId="19" fillId="0" borderId="1" xfId="0" applyFont="1" applyBorder="1" applyAlignment="1">
      <alignment horizontal="center" vertical="center"/>
    </xf>
    <xf numFmtId="0" fontId="19" fillId="0" borderId="2" xfId="0" applyFont="1" applyBorder="1" applyAlignment="1">
      <alignment horizontal="center" vertical="center"/>
    </xf>
    <xf numFmtId="3" fontId="20" fillId="0" borderId="4" xfId="0" applyNumberFormat="1" applyFont="1" applyBorder="1" applyAlignment="1">
      <alignment horizontal="right" vertical="center"/>
    </xf>
    <xf numFmtId="3" fontId="20" fillId="0" borderId="8" xfId="0" applyNumberFormat="1" applyFont="1" applyBorder="1" applyAlignment="1">
      <alignment horizontal="right" vertical="center"/>
    </xf>
    <xf numFmtId="3" fontId="20" fillId="0" borderId="13" xfId="0" applyNumberFormat="1" applyFont="1" applyBorder="1" applyAlignment="1">
      <alignment horizontal="right" vertical="center"/>
    </xf>
    <xf numFmtId="3" fontId="20" fillId="0" borderId="6" xfId="0" applyNumberFormat="1" applyFont="1" applyBorder="1" applyAlignment="1">
      <alignment horizontal="right" vertical="center"/>
    </xf>
    <xf numFmtId="3" fontId="19" fillId="0" borderId="14" xfId="0" applyNumberFormat="1" applyFont="1" applyBorder="1" applyAlignment="1">
      <alignment horizontal="right" vertical="center"/>
    </xf>
    <xf numFmtId="3" fontId="19" fillId="0" borderId="8" xfId="0" applyNumberFormat="1" applyFont="1" applyBorder="1" applyAlignment="1">
      <alignment horizontal="right" vertical="center"/>
    </xf>
    <xf numFmtId="0" fontId="19" fillId="0" borderId="10" xfId="0" applyFont="1" applyBorder="1" applyAlignment="1">
      <alignment vertical="center"/>
    </xf>
    <xf numFmtId="0" fontId="19" fillId="0" borderId="32" xfId="0" applyFont="1" applyBorder="1" applyAlignment="1">
      <alignment horizontal="center" vertical="center"/>
    </xf>
    <xf numFmtId="3" fontId="20" fillId="0" borderId="14" xfId="0" applyNumberFormat="1" applyFont="1" applyBorder="1" applyAlignment="1">
      <alignment horizontal="right" vertical="center"/>
    </xf>
    <xf numFmtId="0" fontId="19" fillId="0" borderId="7" xfId="0" applyFont="1" applyBorder="1" applyAlignment="1">
      <alignment horizontal="left" vertical="center" wrapText="1"/>
    </xf>
    <xf numFmtId="0" fontId="19" fillId="0" borderId="11" xfId="0" applyFont="1" applyBorder="1" applyAlignment="1">
      <alignment vertical="center"/>
    </xf>
    <xf numFmtId="0" fontId="19" fillId="0" borderId="8" xfId="0" applyFont="1" applyBorder="1" applyAlignment="1">
      <alignment horizontal="center" vertical="center"/>
    </xf>
    <xf numFmtId="0" fontId="20" fillId="0" borderId="8" xfId="0" applyFont="1" applyBorder="1" applyAlignment="1">
      <alignment horizontal="right" vertical="center"/>
    </xf>
    <xf numFmtId="0" fontId="20" fillId="0" borderId="30" xfId="0" applyFont="1" applyBorder="1" applyAlignment="1">
      <alignment vertical="center" wrapText="1"/>
    </xf>
    <xf numFmtId="0" fontId="20" fillId="0" borderId="46" xfId="0" applyFont="1" applyBorder="1" applyAlignment="1">
      <alignment vertical="center" wrapText="1"/>
    </xf>
    <xf numFmtId="0" fontId="19" fillId="0" borderId="14" xfId="0" applyFont="1" applyBorder="1" applyAlignment="1">
      <alignment horizontal="center" vertical="center" wrapText="1"/>
    </xf>
    <xf numFmtId="0" fontId="20" fillId="0" borderId="13" xfId="0" applyFont="1" applyBorder="1" applyAlignment="1">
      <alignment horizontal="right" vertical="center"/>
    </xf>
    <xf numFmtId="0" fontId="20" fillId="0" borderId="6" xfId="0" applyFont="1" applyBorder="1" applyAlignment="1">
      <alignment horizontal="right" vertical="center"/>
    </xf>
    <xf numFmtId="0" fontId="20" fillId="0" borderId="14" xfId="0" applyFont="1" applyBorder="1" applyAlignment="1">
      <alignment horizontal="right" vertical="center"/>
    </xf>
    <xf numFmtId="0" fontId="20" fillId="0" borderId="0" xfId="0" applyFont="1" applyBorder="1" applyAlignment="1">
      <alignment vertical="center" wrapText="1"/>
    </xf>
    <xf numFmtId="0" fontId="20" fillId="0" borderId="0" xfId="0" applyFont="1" applyBorder="1" applyAlignment="1">
      <alignment horizontal="right" vertical="center"/>
    </xf>
    <xf numFmtId="0" fontId="20" fillId="0" borderId="48" xfId="0" applyFont="1" applyBorder="1" applyAlignment="1">
      <alignment horizontal="right" vertical="center"/>
    </xf>
    <xf numFmtId="0" fontId="19" fillId="0" borderId="0" xfId="0" applyFont="1" applyAlignment="1">
      <alignment vertical="center"/>
    </xf>
    <xf numFmtId="0" fontId="19" fillId="0" borderId="25" xfId="0" applyFont="1" applyBorder="1" applyAlignment="1">
      <alignment vertical="center"/>
    </xf>
    <xf numFmtId="0" fontId="19" fillId="0" borderId="33" xfId="0" applyFont="1" applyBorder="1" applyAlignment="1">
      <alignment vertical="center"/>
    </xf>
    <xf numFmtId="0" fontId="19" fillId="0" borderId="20" xfId="0" applyFont="1" applyBorder="1" applyAlignment="1">
      <alignment horizontal="center" vertical="center" wrapText="1"/>
    </xf>
    <xf numFmtId="0" fontId="19" fillId="0" borderId="5" xfId="0" applyFont="1" applyBorder="1" applyAlignment="1">
      <alignment vertical="center"/>
    </xf>
    <xf numFmtId="0" fontId="19" fillId="0" borderId="9" xfId="0" applyFont="1" applyBorder="1" applyAlignment="1">
      <alignment vertical="center" wrapText="1"/>
    </xf>
    <xf numFmtId="0" fontId="19" fillId="0" borderId="34" xfId="0" applyFont="1" applyBorder="1" applyAlignment="1">
      <alignment vertical="center" wrapText="1"/>
    </xf>
    <xf numFmtId="3" fontId="20" fillId="0" borderId="13" xfId="0" applyNumberFormat="1" applyFont="1" applyBorder="1" applyAlignment="1">
      <alignment horizontal="center" vertical="center"/>
    </xf>
    <xf numFmtId="3" fontId="20" fillId="0" borderId="14" xfId="0" applyNumberFormat="1" applyFont="1" applyBorder="1" applyAlignment="1">
      <alignment horizontal="center" vertical="center"/>
    </xf>
    <xf numFmtId="0" fontId="20" fillId="0" borderId="5" xfId="0" applyFont="1" applyBorder="1" applyAlignment="1">
      <alignment horizontal="left" vertical="center"/>
    </xf>
    <xf numFmtId="0" fontId="20" fillId="0" borderId="7" xfId="0" applyFont="1" applyBorder="1" applyAlignment="1">
      <alignment horizontal="left" vertical="center"/>
    </xf>
    <xf numFmtId="0" fontId="20" fillId="0" borderId="13" xfId="0" applyFont="1" applyBorder="1" applyAlignment="1">
      <alignment horizontal="center" vertical="center"/>
    </xf>
    <xf numFmtId="0" fontId="19" fillId="0" borderId="27" xfId="0" applyFont="1" applyBorder="1" applyAlignment="1">
      <alignment horizontal="center" vertical="center"/>
    </xf>
    <xf numFmtId="0" fontId="20" fillId="0" borderId="14" xfId="0" applyFont="1" applyBorder="1" applyAlignment="1">
      <alignment horizontal="center" vertical="center"/>
    </xf>
    <xf numFmtId="9" fontId="20" fillId="0" borderId="13" xfId="1" applyFont="1" applyBorder="1" applyAlignment="1">
      <alignment horizontal="right" vertical="center"/>
    </xf>
    <xf numFmtId="0" fontId="19" fillId="0" borderId="27" xfId="0" applyFont="1" applyBorder="1" applyAlignment="1">
      <alignment horizontal="right" vertical="center"/>
    </xf>
    <xf numFmtId="0" fontId="19" fillId="0" borderId="26" xfId="0" applyFont="1" applyBorder="1" applyAlignment="1">
      <alignment horizontal="right" vertical="center"/>
    </xf>
    <xf numFmtId="9" fontId="20" fillId="0" borderId="14" xfId="1" applyFont="1" applyBorder="1" applyAlignment="1">
      <alignment horizontal="right" vertical="center"/>
    </xf>
    <xf numFmtId="14" fontId="20" fillId="0" borderId="13" xfId="0" applyNumberFormat="1" applyFont="1" applyBorder="1" applyAlignment="1">
      <alignment horizontal="right" vertical="center"/>
    </xf>
    <xf numFmtId="9" fontId="20" fillId="0" borderId="6" xfId="1" applyFont="1" applyBorder="1" applyAlignment="1">
      <alignment horizontal="right" vertical="center"/>
    </xf>
    <xf numFmtId="0" fontId="20" fillId="0" borderId="34" xfId="0" applyFont="1" applyBorder="1" applyAlignment="1">
      <alignment vertical="center" wrapText="1"/>
    </xf>
    <xf numFmtId="3" fontId="20" fillId="0" borderId="17" xfId="0" applyNumberFormat="1" applyFont="1" applyBorder="1" applyAlignment="1">
      <alignment horizontal="right" vertical="center"/>
    </xf>
    <xf numFmtId="3" fontId="20" fillId="0" borderId="24" xfId="0" applyNumberFormat="1" applyFont="1" applyBorder="1" applyAlignment="1">
      <alignment horizontal="right" vertical="center"/>
    </xf>
    <xf numFmtId="0" fontId="20" fillId="0" borderId="9" xfId="0" applyFont="1" applyBorder="1" applyAlignment="1">
      <alignment vertical="center" wrapText="1"/>
    </xf>
    <xf numFmtId="0" fontId="20" fillId="0" borderId="6" xfId="0" applyFont="1" applyBorder="1" applyAlignment="1">
      <alignment horizontal="center" vertical="center"/>
    </xf>
    <xf numFmtId="0" fontId="20" fillId="0" borderId="8" xfId="0" applyFont="1" applyBorder="1" applyAlignment="1">
      <alignment horizontal="center" vertical="center"/>
    </xf>
    <xf numFmtId="3" fontId="21" fillId="0" borderId="6" xfId="0" applyNumberFormat="1" applyFont="1" applyBorder="1" applyAlignment="1">
      <alignment horizontal="right" vertical="center"/>
    </xf>
    <xf numFmtId="3" fontId="20" fillId="0" borderId="12" xfId="0" applyNumberFormat="1" applyFont="1" applyBorder="1" applyAlignment="1">
      <alignment horizontal="right" vertical="center"/>
    </xf>
    <xf numFmtId="3" fontId="20" fillId="0" borderId="26" xfId="0" applyNumberFormat="1" applyFont="1" applyBorder="1" applyAlignment="1">
      <alignment horizontal="right" vertical="center"/>
    </xf>
    <xf numFmtId="0" fontId="21" fillId="0" borderId="5" xfId="0" applyFont="1" applyBorder="1" applyAlignment="1">
      <alignment vertical="center" wrapText="1"/>
    </xf>
    <xf numFmtId="0" fontId="20" fillId="0" borderId="28" xfId="0" applyFont="1" applyBorder="1" applyAlignment="1">
      <alignment vertical="center" wrapText="1"/>
    </xf>
    <xf numFmtId="0" fontId="20" fillId="0" borderId="33" xfId="0" applyFont="1" applyBorder="1" applyAlignment="1">
      <alignment vertical="center" wrapText="1"/>
    </xf>
    <xf numFmtId="0" fontId="0" fillId="0" borderId="0" xfId="0" applyAlignment="1">
      <alignment horizontal="center"/>
    </xf>
    <xf numFmtId="0" fontId="20" fillId="0" borderId="39" xfId="0" applyFont="1" applyBorder="1" applyAlignment="1">
      <alignment horizontal="left" vertical="center"/>
    </xf>
    <xf numFmtId="0" fontId="20" fillId="0" borderId="41" xfId="0" applyFont="1" applyBorder="1" applyAlignment="1">
      <alignment horizontal="left" vertical="center"/>
    </xf>
    <xf numFmtId="0" fontId="20" fillId="0" borderId="42" xfId="0" applyFont="1" applyBorder="1" applyAlignment="1">
      <alignment horizontal="left" vertical="center"/>
    </xf>
    <xf numFmtId="0" fontId="20" fillId="0" borderId="40" xfId="0" applyFont="1" applyBorder="1" applyAlignment="1">
      <alignment horizontal="center" vertical="center"/>
    </xf>
    <xf numFmtId="0" fontId="19" fillId="0" borderId="1" xfId="0" applyFont="1" applyBorder="1" applyAlignment="1">
      <alignment horizontal="center" vertical="center" wrapText="1"/>
    </xf>
    <xf numFmtId="0" fontId="19" fillId="0" borderId="2" xfId="0" applyFont="1" applyBorder="1" applyAlignment="1">
      <alignment horizontal="center" vertical="center" wrapText="1"/>
    </xf>
    <xf numFmtId="0" fontId="19" fillId="0" borderId="15" xfId="0" applyFont="1" applyBorder="1" applyAlignment="1">
      <alignment horizontal="left" vertical="center"/>
    </xf>
    <xf numFmtId="0" fontId="20" fillId="0" borderId="5" xfId="0" applyFont="1" applyBorder="1" applyAlignment="1">
      <alignment horizontal="left" vertical="center" wrapText="1"/>
    </xf>
    <xf numFmtId="0" fontId="20" fillId="0" borderId="7" xfId="0" applyFont="1" applyBorder="1" applyAlignment="1">
      <alignment horizontal="left" vertical="center" wrapText="1"/>
    </xf>
    <xf numFmtId="0" fontId="19" fillId="0" borderId="5" xfId="0" applyFont="1" applyBorder="1" applyAlignment="1">
      <alignment horizontal="left" vertical="center" wrapText="1"/>
    </xf>
    <xf numFmtId="0" fontId="20" fillId="0" borderId="7" xfId="0" applyFont="1" applyBorder="1" applyAlignment="1">
      <alignment vertical="center"/>
    </xf>
    <xf numFmtId="3" fontId="20" fillId="0" borderId="49" xfId="0" applyNumberFormat="1" applyFont="1" applyBorder="1" applyAlignment="1">
      <alignment horizontal="right" vertical="center"/>
    </xf>
    <xf numFmtId="3" fontId="20" fillId="0" borderId="16" xfId="0" applyNumberFormat="1" applyFont="1" applyBorder="1" applyAlignment="1">
      <alignment horizontal="right" vertical="center"/>
    </xf>
    <xf numFmtId="3" fontId="20" fillId="0" borderId="31" xfId="0" applyNumberFormat="1" applyFont="1" applyBorder="1" applyAlignment="1">
      <alignment horizontal="right" vertical="center"/>
    </xf>
    <xf numFmtId="3" fontId="20" fillId="0" borderId="18" xfId="0" applyNumberFormat="1" applyFont="1" applyBorder="1" applyAlignment="1">
      <alignment horizontal="right" vertical="center"/>
    </xf>
    <xf numFmtId="3" fontId="20" fillId="0" borderId="50" xfId="0" applyNumberFormat="1" applyFont="1" applyBorder="1" applyAlignment="1">
      <alignment horizontal="right" vertical="center"/>
    </xf>
    <xf numFmtId="3" fontId="19" fillId="0" borderId="18" xfId="0" applyNumberFormat="1" applyFont="1" applyBorder="1" applyAlignment="1">
      <alignment horizontal="right" vertical="center"/>
    </xf>
    <xf numFmtId="3" fontId="19" fillId="0" borderId="50" xfId="0" applyNumberFormat="1" applyFont="1" applyBorder="1" applyAlignment="1">
      <alignment horizontal="right" vertical="center"/>
    </xf>
    <xf numFmtId="0" fontId="19" fillId="0" borderId="7" xfId="0" applyFont="1" applyBorder="1" applyAlignment="1">
      <alignment horizontal="left" vertical="center"/>
    </xf>
    <xf numFmtId="3" fontId="19" fillId="0" borderId="13" xfId="0" applyNumberFormat="1" applyFont="1" applyBorder="1" applyAlignment="1">
      <alignment horizontal="right" vertical="center"/>
    </xf>
    <xf numFmtId="3" fontId="19" fillId="0" borderId="6" xfId="0" applyNumberFormat="1" applyFont="1" applyBorder="1" applyAlignment="1">
      <alignment horizontal="right" vertical="center"/>
    </xf>
    <xf numFmtId="3" fontId="20" fillId="0" borderId="29" xfId="0" applyNumberFormat="1" applyFont="1" applyBorder="1" applyAlignment="1">
      <alignment horizontal="right" vertical="center"/>
    </xf>
    <xf numFmtId="3" fontId="20" fillId="0" borderId="53" xfId="0" applyNumberFormat="1" applyFont="1" applyBorder="1" applyAlignment="1">
      <alignment horizontal="right" vertical="center"/>
    </xf>
    <xf numFmtId="0" fontId="20" fillId="0" borderId="9" xfId="0" applyFont="1" applyBorder="1" applyAlignment="1">
      <alignment vertical="center"/>
    </xf>
    <xf numFmtId="0" fontId="20" fillId="0" borderId="34" xfId="0" applyFont="1" applyBorder="1" applyAlignment="1">
      <alignment vertical="center"/>
    </xf>
    <xf numFmtId="0" fontId="20" fillId="0" borderId="28" xfId="0" applyFont="1" applyBorder="1" applyAlignment="1">
      <alignment vertical="center"/>
    </xf>
    <xf numFmtId="0" fontId="20" fillId="0" borderId="33" xfId="0" applyFont="1" applyBorder="1" applyAlignment="1">
      <alignment vertical="center"/>
    </xf>
    <xf numFmtId="0" fontId="19" fillId="0" borderId="26" xfId="0" applyFont="1" applyBorder="1" applyAlignment="1">
      <alignment horizontal="center" vertical="center" wrapText="1"/>
    </xf>
    <xf numFmtId="0" fontId="20" fillId="0" borderId="0" xfId="0" applyFont="1" applyAlignment="1">
      <alignment horizontal="left" vertical="center" wrapText="1"/>
    </xf>
    <xf numFmtId="3" fontId="20" fillId="0" borderId="45" xfId="0" applyNumberFormat="1" applyFont="1" applyBorder="1" applyAlignment="1">
      <alignment horizontal="right" vertical="center"/>
    </xf>
    <xf numFmtId="3" fontId="20" fillId="0" borderId="44" xfId="0" applyNumberFormat="1" applyFont="1" applyBorder="1" applyAlignment="1">
      <alignment horizontal="right" vertical="center"/>
    </xf>
    <xf numFmtId="3" fontId="20" fillId="0" borderId="52" xfId="0" applyNumberFormat="1" applyFont="1" applyBorder="1" applyAlignment="1">
      <alignment horizontal="right" vertical="center"/>
    </xf>
    <xf numFmtId="3" fontId="20" fillId="0" borderId="9" xfId="0" applyNumberFormat="1" applyFont="1" applyBorder="1" applyAlignment="1">
      <alignment horizontal="right" vertical="center"/>
    </xf>
    <xf numFmtId="0" fontId="20" fillId="0" borderId="17" xfId="0" applyFont="1" applyBorder="1" applyAlignment="1">
      <alignment horizontal="right" vertical="center"/>
    </xf>
    <xf numFmtId="0" fontId="20" fillId="0" borderId="24" xfId="0" applyFont="1" applyBorder="1" applyAlignment="1">
      <alignment horizontal="right" vertical="center"/>
    </xf>
    <xf numFmtId="9" fontId="20" fillId="0" borderId="8" xfId="1" applyFont="1" applyBorder="1" applyAlignment="1">
      <alignment horizontal="right" vertical="center"/>
    </xf>
    <xf numFmtId="3" fontId="20" fillId="0" borderId="6" xfId="0" applyNumberFormat="1" applyFont="1" applyBorder="1" applyAlignment="1">
      <alignment horizontal="center" vertical="center"/>
    </xf>
    <xf numFmtId="3" fontId="20" fillId="0" borderId="36" xfId="0" applyNumberFormat="1" applyFont="1" applyBorder="1" applyAlignment="1">
      <alignment horizontal="right" vertical="center"/>
    </xf>
    <xf numFmtId="3" fontId="20" fillId="0" borderId="37" xfId="0" applyNumberFormat="1" applyFont="1" applyBorder="1" applyAlignment="1">
      <alignment horizontal="right" vertical="center"/>
    </xf>
    <xf numFmtId="3" fontId="20" fillId="0" borderId="38" xfId="0" applyNumberFormat="1" applyFont="1" applyBorder="1" applyAlignment="1">
      <alignment horizontal="right" vertical="center"/>
    </xf>
    <xf numFmtId="0" fontId="19" fillId="0" borderId="0" xfId="0" applyFont="1" applyAlignment="1">
      <alignment horizontal="justify" vertical="center"/>
    </xf>
    <xf numFmtId="3" fontId="20" fillId="0" borderId="38" xfId="0" applyNumberFormat="1" applyFont="1" applyBorder="1" applyAlignment="1">
      <alignment horizontal="right" vertical="center" wrapText="1"/>
    </xf>
    <xf numFmtId="3" fontId="20" fillId="0" borderId="26" xfId="0" applyNumberFormat="1" applyFont="1" applyBorder="1" applyAlignment="1">
      <alignment horizontal="right" vertical="center" wrapText="1"/>
    </xf>
    <xf numFmtId="0" fontId="19" fillId="0" borderId="7"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10" xfId="0" applyFont="1" applyBorder="1" applyAlignment="1">
      <alignment horizontal="center" vertical="center" wrapText="1"/>
    </xf>
    <xf numFmtId="0" fontId="24" fillId="0" borderId="0" xfId="2" applyFont="1"/>
    <xf numFmtId="0" fontId="23" fillId="0" borderId="0" xfId="2"/>
    <xf numFmtId="0" fontId="24" fillId="0" borderId="0" xfId="2" applyNumberFormat="1" applyFont="1" applyAlignment="1"/>
    <xf numFmtId="49" fontId="24" fillId="0" borderId="0" xfId="2" applyNumberFormat="1" applyFont="1" applyAlignment="1" applyProtection="1"/>
    <xf numFmtId="0" fontId="24" fillId="0" borderId="0" xfId="2" applyNumberFormat="1" applyFont="1" applyBorder="1" applyAlignment="1"/>
    <xf numFmtId="0" fontId="24" fillId="0" borderId="0" xfId="2" applyNumberFormat="1" applyFont="1" applyBorder="1" applyAlignment="1">
      <alignment horizontal="left"/>
    </xf>
    <xf numFmtId="0" fontId="24" fillId="0" borderId="0" xfId="2" applyNumberFormat="1" applyFont="1" applyAlignment="1">
      <alignment horizontal="left" vertical="center"/>
    </xf>
    <xf numFmtId="0" fontId="24" fillId="0" borderId="0" xfId="2" applyFont="1" applyAlignment="1">
      <alignment vertical="center"/>
    </xf>
    <xf numFmtId="0" fontId="22" fillId="0" borderId="0" xfId="2" applyFont="1"/>
    <xf numFmtId="0" fontId="23" fillId="0" borderId="0" xfId="2" applyAlignment="1">
      <alignment horizontal="right"/>
    </xf>
    <xf numFmtId="0" fontId="25" fillId="3" borderId="0" xfId="2" applyFont="1" applyFill="1" applyAlignment="1">
      <alignment horizontal="centerContinuous"/>
    </xf>
    <xf numFmtId="0" fontId="24" fillId="3" borderId="0" xfId="2" applyFont="1" applyFill="1" applyAlignment="1">
      <alignment horizontal="centerContinuous"/>
    </xf>
    <xf numFmtId="9" fontId="23" fillId="0" borderId="0" xfId="2" applyNumberFormat="1"/>
    <xf numFmtId="165" fontId="23" fillId="0" borderId="0" xfId="2" applyNumberFormat="1"/>
    <xf numFmtId="10" fontId="23" fillId="0" borderId="0" xfId="2" applyNumberFormat="1"/>
    <xf numFmtId="10" fontId="27" fillId="0" borderId="0" xfId="3" applyNumberFormat="1" applyFont="1" applyFill="1"/>
    <xf numFmtId="0" fontId="26" fillId="0" borderId="0" xfId="2" applyFont="1" applyAlignment="1">
      <alignment horizontal="left"/>
    </xf>
    <xf numFmtId="0" fontId="24" fillId="0" borderId="0" xfId="2" applyFont="1" applyAlignment="1">
      <alignment horizontal="centerContinuous"/>
    </xf>
    <xf numFmtId="0" fontId="24" fillId="3" borderId="55" xfId="2" applyFont="1" applyFill="1" applyBorder="1" applyAlignment="1">
      <alignment horizontal="center"/>
    </xf>
    <xf numFmtId="0" fontId="24" fillId="3" borderId="57" xfId="2" applyFont="1" applyFill="1" applyBorder="1" applyAlignment="1">
      <alignment horizontal="centerContinuous"/>
    </xf>
    <xf numFmtId="0" fontId="24" fillId="3" borderId="57" xfId="2" applyFont="1" applyFill="1" applyBorder="1" applyAlignment="1">
      <alignment horizontal="center" wrapText="1"/>
    </xf>
    <xf numFmtId="0" fontId="24" fillId="0" borderId="0" xfId="2" applyFont="1" applyAlignment="1">
      <alignment horizontal="center"/>
    </xf>
    <xf numFmtId="0" fontId="24" fillId="3" borderId="59" xfId="2" applyFont="1" applyFill="1" applyBorder="1" applyAlignment="1">
      <alignment horizontal="center" vertical="top"/>
    </xf>
    <xf numFmtId="0" fontId="24" fillId="3" borderId="0" xfId="2" applyFont="1" applyFill="1" applyBorder="1" applyAlignment="1">
      <alignment horizontal="center" vertical="top"/>
    </xf>
    <xf numFmtId="0" fontId="24" fillId="0" borderId="0" xfId="2" applyFont="1" applyAlignment="1">
      <alignment horizontal="center" vertical="top"/>
    </xf>
    <xf numFmtId="0" fontId="24" fillId="3" borderId="60" xfId="2" applyFont="1" applyFill="1" applyBorder="1" applyAlignment="1">
      <alignment horizontal="center" vertical="center"/>
    </xf>
    <xf numFmtId="0" fontId="25" fillId="2" borderId="0" xfId="2" applyFont="1" applyFill="1" applyAlignment="1">
      <alignment vertical="center"/>
    </xf>
    <xf numFmtId="0" fontId="25" fillId="2" borderId="62" xfId="2" quotePrefix="1" applyFont="1" applyFill="1" applyBorder="1" applyAlignment="1" applyProtection="1">
      <alignment horizontal="center" vertical="center"/>
    </xf>
    <xf numFmtId="3" fontId="25" fillId="0" borderId="0" xfId="2" applyNumberFormat="1" applyFont="1" applyAlignment="1">
      <alignment vertical="center"/>
    </xf>
    <xf numFmtId="0" fontId="25" fillId="0" borderId="0" xfId="2" applyFont="1" applyAlignment="1">
      <alignment vertical="center"/>
    </xf>
    <xf numFmtId="0" fontId="25" fillId="2" borderId="62" xfId="2" applyFont="1" applyFill="1" applyBorder="1" applyAlignment="1" applyProtection="1">
      <alignment vertical="center"/>
    </xf>
    <xf numFmtId="0" fontId="25" fillId="2" borderId="62" xfId="2" applyFont="1" applyFill="1" applyBorder="1" applyAlignment="1" applyProtection="1">
      <alignment horizontal="left" vertical="center"/>
    </xf>
    <xf numFmtId="0" fontId="24" fillId="3" borderId="62" xfId="2" applyFont="1" applyFill="1" applyBorder="1" applyAlignment="1" applyProtection="1">
      <alignment horizontal="left" vertical="center"/>
    </xf>
    <xf numFmtId="0" fontId="24" fillId="0" borderId="62" xfId="2" quotePrefix="1" applyFont="1" applyBorder="1" applyAlignment="1" applyProtection="1">
      <alignment horizontal="center" vertical="center"/>
    </xf>
    <xf numFmtId="166" fontId="24" fillId="0" borderId="0" xfId="2" applyNumberFormat="1" applyFont="1" applyAlignment="1">
      <alignment vertical="center"/>
    </xf>
    <xf numFmtId="0" fontId="24" fillId="2" borderId="62" xfId="2" applyFont="1" applyFill="1" applyBorder="1" applyAlignment="1" applyProtection="1">
      <alignment horizontal="left" vertical="center"/>
    </xf>
    <xf numFmtId="0" fontId="25" fillId="3" borderId="62" xfId="2" applyFont="1" applyFill="1" applyBorder="1" applyAlignment="1" applyProtection="1">
      <alignment horizontal="left" vertical="center"/>
    </xf>
    <xf numFmtId="3" fontId="29" fillId="0" borderId="0" xfId="2" applyNumberFormat="1" applyFont="1" applyAlignment="1">
      <alignment vertical="center" wrapText="1"/>
    </xf>
    <xf numFmtId="0" fontId="31" fillId="0" borderId="0" xfId="2" applyFont="1" applyAlignment="1">
      <alignment vertical="center"/>
    </xf>
    <xf numFmtId="0" fontId="24" fillId="0" borderId="62" xfId="2" applyFont="1" applyFill="1" applyBorder="1" applyAlignment="1" applyProtection="1">
      <alignment horizontal="left" vertical="center"/>
    </xf>
    <xf numFmtId="0" fontId="24" fillId="0" borderId="62" xfId="2" quotePrefix="1" applyFont="1" applyFill="1" applyBorder="1" applyAlignment="1" applyProtection="1">
      <alignment horizontal="center" vertical="center"/>
    </xf>
    <xf numFmtId="0" fontId="24" fillId="2" borderId="62" xfId="2" applyFont="1" applyFill="1" applyBorder="1" applyAlignment="1" applyProtection="1">
      <alignment vertical="center"/>
    </xf>
    <xf numFmtId="0" fontId="24" fillId="2" borderId="62" xfId="2" applyFont="1" applyFill="1" applyBorder="1" applyAlignment="1" applyProtection="1">
      <alignment horizontal="center" vertical="center"/>
    </xf>
    <xf numFmtId="0" fontId="24" fillId="3" borderId="0" xfId="2" applyFont="1" applyFill="1" applyAlignment="1">
      <alignment vertical="center"/>
    </xf>
    <xf numFmtId="167" fontId="24" fillId="0" borderId="0" xfId="2" applyNumberFormat="1" applyFont="1" applyAlignment="1">
      <alignment vertical="center"/>
    </xf>
    <xf numFmtId="0" fontId="24" fillId="3" borderId="55" xfId="2" applyFont="1" applyFill="1" applyBorder="1" applyAlignment="1" applyProtection="1">
      <alignment horizontal="center" vertical="center"/>
    </xf>
    <xf numFmtId="167" fontId="24" fillId="3" borderId="55" xfId="2" applyNumberFormat="1" applyFont="1" applyFill="1" applyBorder="1" applyAlignment="1" applyProtection="1">
      <alignment horizontal="center" vertical="center"/>
    </xf>
    <xf numFmtId="167" fontId="24" fillId="3" borderId="0" xfId="2" applyNumberFormat="1" applyFont="1" applyFill="1" applyAlignment="1">
      <alignment vertical="center"/>
    </xf>
    <xf numFmtId="0" fontId="24" fillId="3" borderId="59" xfId="2" applyFont="1" applyFill="1" applyBorder="1" applyAlignment="1" applyProtection="1">
      <alignment horizontal="center" vertical="center"/>
    </xf>
    <xf numFmtId="167" fontId="24" fillId="3" borderId="59" xfId="2" applyNumberFormat="1" applyFont="1" applyFill="1" applyBorder="1" applyAlignment="1" applyProtection="1">
      <alignment horizontal="center" vertical="center"/>
    </xf>
    <xf numFmtId="0" fontId="24" fillId="3" borderId="60" xfId="2" applyFont="1" applyFill="1" applyBorder="1" applyAlignment="1" applyProtection="1">
      <alignment horizontal="center" vertical="center"/>
    </xf>
    <xf numFmtId="1" fontId="24" fillId="3" borderId="60" xfId="2" applyNumberFormat="1" applyFont="1" applyFill="1" applyBorder="1" applyAlignment="1" applyProtection="1">
      <alignment horizontal="center" vertical="center"/>
    </xf>
    <xf numFmtId="0" fontId="24" fillId="0" borderId="0" xfId="2" applyFont="1" applyAlignment="1">
      <alignment vertical="top"/>
    </xf>
    <xf numFmtId="37" fontId="25" fillId="2" borderId="62" xfId="2" applyNumberFormat="1" applyFont="1" applyFill="1" applyBorder="1" applyAlignment="1" applyProtection="1">
      <alignment vertical="center"/>
    </xf>
    <xf numFmtId="37" fontId="25" fillId="2" borderId="62" xfId="2" quotePrefix="1" applyNumberFormat="1" applyFont="1" applyFill="1" applyBorder="1" applyAlignment="1" applyProtection="1">
      <alignment horizontal="center" vertical="center"/>
    </xf>
    <xf numFmtId="167" fontId="25" fillId="3" borderId="0" xfId="2" applyNumberFormat="1" applyFont="1" applyFill="1" applyAlignment="1">
      <alignment vertical="center"/>
    </xf>
    <xf numFmtId="37" fontId="24" fillId="3" borderId="62" xfId="2" applyNumberFormat="1" applyFont="1" applyFill="1" applyBorder="1" applyAlignment="1" applyProtection="1">
      <alignment vertical="center"/>
    </xf>
    <xf numFmtId="37" fontId="24" fillId="0" borderId="62" xfId="2" quotePrefix="1" applyNumberFormat="1" applyFont="1" applyBorder="1" applyAlignment="1" applyProtection="1">
      <alignment horizontal="center" vertical="center"/>
    </xf>
    <xf numFmtId="37" fontId="25" fillId="5" borderId="62" xfId="2" applyNumberFormat="1" applyFont="1" applyFill="1" applyBorder="1" applyAlignment="1" applyProtection="1">
      <alignment vertical="center"/>
    </xf>
    <xf numFmtId="37" fontId="25" fillId="5" borderId="62" xfId="2" quotePrefix="1" applyNumberFormat="1" applyFont="1" applyFill="1" applyBorder="1" applyAlignment="1" applyProtection="1">
      <alignment horizontal="center" vertical="center"/>
    </xf>
    <xf numFmtId="0" fontId="25" fillId="3" borderId="0" xfId="2" applyFont="1" applyFill="1" applyAlignment="1">
      <alignment vertical="center"/>
    </xf>
    <xf numFmtId="167" fontId="32" fillId="3" borderId="0" xfId="2" applyNumberFormat="1" applyFont="1" applyFill="1" applyAlignment="1">
      <alignment vertical="center"/>
    </xf>
    <xf numFmtId="37" fontId="24" fillId="4" borderId="62" xfId="2" applyNumberFormat="1" applyFont="1" applyFill="1" applyBorder="1" applyAlignment="1" applyProtection="1">
      <alignment vertical="center"/>
    </xf>
    <xf numFmtId="37" fontId="24" fillId="4" borderId="62" xfId="2" quotePrefix="1" applyNumberFormat="1" applyFont="1" applyFill="1" applyBorder="1" applyAlignment="1" applyProtection="1">
      <alignment horizontal="center" vertical="center"/>
    </xf>
    <xf numFmtId="37" fontId="28" fillId="2" borderId="62" xfId="2" applyNumberFormat="1" applyFont="1" applyFill="1" applyBorder="1" applyAlignment="1" applyProtection="1">
      <alignment vertical="center"/>
    </xf>
    <xf numFmtId="37" fontId="28" fillId="2" borderId="62" xfId="2" quotePrefix="1" applyNumberFormat="1" applyFont="1" applyFill="1" applyBorder="1" applyAlignment="1" applyProtection="1">
      <alignment horizontal="center" vertical="center"/>
    </xf>
    <xf numFmtId="37" fontId="24" fillId="2" borderId="62" xfId="2" applyNumberFormat="1" applyFont="1" applyFill="1" applyBorder="1" applyAlignment="1" applyProtection="1">
      <alignment vertical="center"/>
    </xf>
    <xf numFmtId="37" fontId="24" fillId="2" borderId="62" xfId="2" quotePrefix="1" applyNumberFormat="1" applyFont="1" applyFill="1" applyBorder="1" applyAlignment="1" applyProtection="1">
      <alignment horizontal="center" vertical="center"/>
    </xf>
    <xf numFmtId="0" fontId="24" fillId="0" borderId="0" xfId="2" applyFont="1" applyAlignment="1" applyProtection="1">
      <alignment horizontal="left"/>
    </xf>
    <xf numFmtId="0" fontId="24" fillId="0" borderId="0" xfId="2" applyFont="1" applyAlignment="1" applyProtection="1">
      <alignment horizontal="center"/>
    </xf>
    <xf numFmtId="37" fontId="24" fillId="0" borderId="0" xfId="2" applyNumberFormat="1" applyFont="1" applyProtection="1"/>
    <xf numFmtId="0" fontId="25" fillId="0" borderId="0" xfId="2" applyNumberFormat="1" applyFont="1" applyAlignment="1" applyProtection="1"/>
    <xf numFmtId="0" fontId="24" fillId="0" borderId="0" xfId="2" applyNumberFormat="1" applyFont="1" applyBorder="1" applyAlignment="1">
      <alignment vertical="center"/>
    </xf>
    <xf numFmtId="3" fontId="24" fillId="0" borderId="0" xfId="2" applyNumberFormat="1" applyFont="1" applyBorder="1" applyAlignment="1">
      <alignment horizontal="right" vertical="center"/>
    </xf>
    <xf numFmtId="15" fontId="24" fillId="0" borderId="0" xfId="2" applyNumberFormat="1" applyFont="1" applyBorder="1" applyAlignment="1">
      <alignment horizontal="left" vertical="center"/>
    </xf>
    <xf numFmtId="0" fontId="25" fillId="0" borderId="0" xfId="2" applyFont="1"/>
    <xf numFmtId="3" fontId="24" fillId="3" borderId="0" xfId="2" applyNumberFormat="1" applyFont="1" applyFill="1" applyAlignment="1">
      <alignment horizontal="centerContinuous"/>
    </xf>
    <xf numFmtId="0" fontId="24" fillId="3" borderId="0" xfId="2" applyFont="1" applyFill="1" applyBorder="1" applyAlignment="1">
      <alignment horizontal="centerContinuous"/>
    </xf>
    <xf numFmtId="0" fontId="26" fillId="0" borderId="0" xfId="2" applyFont="1" applyAlignment="1">
      <alignment horizontal="centerContinuous"/>
    </xf>
    <xf numFmtId="3" fontId="24" fillId="0" borderId="0" xfId="2" applyNumberFormat="1" applyFont="1" applyAlignment="1">
      <alignment horizontal="centerContinuous"/>
    </xf>
    <xf numFmtId="0" fontId="24" fillId="0" borderId="61" xfId="2" applyFont="1" applyBorder="1" applyAlignment="1">
      <alignment horizontal="centerContinuous"/>
    </xf>
    <xf numFmtId="0" fontId="24" fillId="0" borderId="55" xfId="2" applyFont="1" applyBorder="1" applyAlignment="1">
      <alignment horizontal="center"/>
    </xf>
    <xf numFmtId="0" fontId="24" fillId="0" borderId="56" xfId="2" applyFont="1" applyBorder="1" applyAlignment="1">
      <alignment horizontal="center"/>
    </xf>
    <xf numFmtId="3" fontId="24" fillId="0" borderId="56" xfId="2" applyNumberFormat="1" applyFont="1" applyBorder="1" applyAlignment="1">
      <alignment horizontal="centerContinuous"/>
    </xf>
    <xf numFmtId="0" fontId="24" fillId="0" borderId="57" xfId="2" applyFont="1" applyBorder="1" applyAlignment="1">
      <alignment horizontal="centerContinuous"/>
    </xf>
    <xf numFmtId="0" fontId="24" fillId="0" borderId="59" xfId="2" applyFont="1" applyBorder="1" applyAlignment="1">
      <alignment horizontal="center" vertical="top"/>
    </xf>
    <xf numFmtId="0" fontId="24" fillId="0" borderId="0" xfId="2" applyFont="1" applyBorder="1" applyAlignment="1">
      <alignment horizontal="center" vertical="top"/>
    </xf>
    <xf numFmtId="3" fontId="24" fillId="0" borderId="55" xfId="2" applyNumberFormat="1" applyFont="1" applyBorder="1" applyAlignment="1">
      <alignment horizontal="center" vertical="top"/>
    </xf>
    <xf numFmtId="0" fontId="24" fillId="0" borderId="55" xfId="2" applyFont="1" applyBorder="1" applyAlignment="1">
      <alignment horizontal="center" vertical="top"/>
    </xf>
    <xf numFmtId="0" fontId="24" fillId="0" borderId="60" xfId="2" applyFont="1" applyBorder="1" applyAlignment="1">
      <alignment horizontal="center"/>
    </xf>
    <xf numFmtId="0" fontId="24" fillId="0" borderId="61" xfId="2" applyFont="1" applyBorder="1" applyAlignment="1">
      <alignment horizontal="center"/>
    </xf>
    <xf numFmtId="3" fontId="24" fillId="0" borderId="60" xfId="2" applyNumberFormat="1" applyFont="1" applyBorder="1" applyAlignment="1">
      <alignment horizontal="center"/>
    </xf>
    <xf numFmtId="0" fontId="24" fillId="3" borderId="62" xfId="2" applyFont="1" applyFill="1" applyBorder="1" applyAlignment="1">
      <alignment vertical="center"/>
    </xf>
    <xf numFmtId="0" fontId="24" fillId="0" borderId="62" xfId="2" applyFont="1" applyBorder="1" applyAlignment="1">
      <alignment vertical="center"/>
    </xf>
    <xf numFmtId="0" fontId="24" fillId="0" borderId="62" xfId="2" quotePrefix="1" applyFont="1" applyBorder="1" applyAlignment="1">
      <alignment horizontal="center" vertical="center"/>
    </xf>
    <xf numFmtId="0" fontId="35" fillId="2" borderId="62" xfId="2" applyFont="1" applyFill="1" applyBorder="1" applyAlignment="1">
      <alignment vertical="center"/>
    </xf>
    <xf numFmtId="0" fontId="35" fillId="2" borderId="62" xfId="2" quotePrefix="1" applyFont="1" applyFill="1" applyBorder="1" applyAlignment="1">
      <alignment horizontal="center" vertical="center"/>
    </xf>
    <xf numFmtId="0" fontId="35" fillId="0" borderId="0" xfId="2" applyFont="1" applyAlignment="1">
      <alignment vertical="center"/>
    </xf>
    <xf numFmtId="0" fontId="25" fillId="2" borderId="62" xfId="2" applyFont="1" applyFill="1" applyBorder="1" applyAlignment="1">
      <alignment vertical="center"/>
    </xf>
    <xf numFmtId="0" fontId="25" fillId="2" borderId="62" xfId="2" quotePrefix="1" applyFont="1" applyFill="1" applyBorder="1" applyAlignment="1">
      <alignment horizontal="center" vertical="center"/>
    </xf>
    <xf numFmtId="0" fontId="24" fillId="2" borderId="62" xfId="2" applyFont="1" applyFill="1" applyBorder="1" applyAlignment="1">
      <alignment vertical="center"/>
    </xf>
    <xf numFmtId="0" fontId="28" fillId="2" borderId="62" xfId="2" applyFont="1" applyFill="1" applyBorder="1" applyAlignment="1">
      <alignment vertical="center"/>
    </xf>
    <xf numFmtId="0" fontId="24" fillId="2" borderId="62" xfId="2" quotePrefix="1" applyFont="1" applyFill="1" applyBorder="1" applyAlignment="1">
      <alignment horizontal="center" vertical="center"/>
    </xf>
    <xf numFmtId="0" fontId="24" fillId="0" borderId="62" xfId="2" applyFont="1" applyFill="1" applyBorder="1" applyAlignment="1">
      <alignment vertical="center"/>
    </xf>
    <xf numFmtId="0" fontId="35" fillId="2" borderId="62" xfId="2" applyFont="1" applyFill="1" applyBorder="1" applyAlignment="1">
      <alignment vertical="center" wrapText="1"/>
    </xf>
    <xf numFmtId="0" fontId="28" fillId="2" borderId="62" xfId="2" quotePrefix="1" applyFont="1" applyFill="1" applyBorder="1" applyAlignment="1">
      <alignment horizontal="center" vertical="center"/>
    </xf>
    <xf numFmtId="49" fontId="24" fillId="0" borderId="62" xfId="2" applyNumberFormat="1" applyFont="1" applyFill="1" applyBorder="1" applyAlignment="1">
      <alignment vertical="center"/>
    </xf>
    <xf numFmtId="0" fontId="35" fillId="3" borderId="0" xfId="2" applyFont="1" applyFill="1" applyAlignment="1">
      <alignment vertical="center"/>
    </xf>
    <xf numFmtId="49" fontId="24" fillId="2" borderId="62" xfId="2" applyNumberFormat="1" applyFont="1" applyFill="1" applyBorder="1" applyAlignment="1">
      <alignment vertical="center"/>
    </xf>
    <xf numFmtId="0" fontId="25" fillId="5" borderId="62" xfId="2" applyFont="1" applyFill="1" applyBorder="1" applyAlignment="1">
      <alignment vertical="center"/>
    </xf>
    <xf numFmtId="0" fontId="35" fillId="5" borderId="62" xfId="2" applyFont="1" applyFill="1" applyBorder="1" applyAlignment="1">
      <alignment vertical="center"/>
    </xf>
    <xf numFmtId="0" fontId="28" fillId="5" borderId="62" xfId="2" quotePrefix="1" applyFont="1" applyFill="1" applyBorder="1" applyAlignment="1">
      <alignment horizontal="center" vertical="center"/>
    </xf>
    <xf numFmtId="3" fontId="24" fillId="0" borderId="0" xfId="2" applyNumberFormat="1" applyFont="1"/>
    <xf numFmtId="0" fontId="36" fillId="0" borderId="0" xfId="7" applyFont="1" applyAlignment="1">
      <alignment horizontal="left"/>
    </xf>
    <xf numFmtId="0" fontId="37" fillId="0" borderId="0" xfId="6" applyFont="1" applyFill="1" applyAlignment="1">
      <alignment horizontal="center"/>
    </xf>
    <xf numFmtId="0" fontId="36" fillId="0" borderId="0" xfId="7" applyFont="1"/>
    <xf numFmtId="0" fontId="38" fillId="0" borderId="0" xfId="7" applyFont="1"/>
    <xf numFmtId="0" fontId="38" fillId="0" borderId="0" xfId="7" applyNumberFormat="1" applyFont="1"/>
    <xf numFmtId="0" fontId="39" fillId="0" borderId="0" xfId="7" applyFont="1"/>
    <xf numFmtId="0" fontId="40" fillId="0" borderId="0" xfId="7" applyFont="1"/>
    <xf numFmtId="0" fontId="41" fillId="0" borderId="0" xfId="7" applyFont="1" applyAlignment="1">
      <alignment horizontal="center"/>
    </xf>
    <xf numFmtId="0" fontId="42" fillId="0" borderId="0" xfId="7" applyFont="1" applyAlignment="1">
      <alignment horizontal="center"/>
    </xf>
    <xf numFmtId="0" fontId="43" fillId="0" borderId="0" xfId="7" applyFont="1" applyAlignment="1">
      <alignment horizontal="left"/>
    </xf>
    <xf numFmtId="0" fontId="38" fillId="0" borderId="0" xfId="7" applyFont="1" applyAlignment="1">
      <alignment horizontal="center"/>
    </xf>
    <xf numFmtId="0" fontId="44" fillId="0" borderId="0" xfId="7" applyFont="1" applyAlignment="1">
      <alignment horizontal="left"/>
    </xf>
    <xf numFmtId="0" fontId="43" fillId="0" borderId="0" xfId="7" applyFont="1" applyBorder="1" applyAlignment="1">
      <alignment horizontal="center"/>
    </xf>
    <xf numFmtId="0" fontId="43" fillId="0" borderId="0" xfId="7" applyFont="1" applyBorder="1" applyAlignment="1">
      <alignment horizontal="left"/>
    </xf>
    <xf numFmtId="0" fontId="46" fillId="0" borderId="0" xfId="7" applyFont="1"/>
    <xf numFmtId="0" fontId="46" fillId="0" borderId="0" xfId="7" applyFont="1" applyFill="1" applyBorder="1" applyAlignment="1">
      <alignment horizontal="left"/>
    </xf>
    <xf numFmtId="0" fontId="42" fillId="0" borderId="66" xfId="7" applyFont="1" applyFill="1" applyBorder="1" applyAlignment="1">
      <alignment horizontal="left" vertical="center"/>
    </xf>
    <xf numFmtId="168" fontId="42" fillId="5" borderId="43" xfId="7" applyNumberFormat="1" applyFont="1" applyFill="1" applyBorder="1" applyAlignment="1">
      <alignment horizontal="right" vertical="center"/>
    </xf>
    <xf numFmtId="0" fontId="38" fillId="0" borderId="66" xfId="7" applyFont="1" applyFill="1" applyBorder="1" applyAlignment="1">
      <alignment horizontal="left"/>
    </xf>
    <xf numFmtId="0" fontId="38" fillId="0" borderId="43" xfId="7" applyFont="1" applyFill="1" applyBorder="1" applyAlignment="1">
      <alignment horizontal="left"/>
    </xf>
    <xf numFmtId="168" fontId="38" fillId="0" borderId="43" xfId="7" applyNumberFormat="1" applyFont="1" applyFill="1" applyBorder="1" applyAlignment="1">
      <alignment horizontal="right"/>
    </xf>
    <xf numFmtId="0" fontId="38" fillId="0" borderId="66" xfId="7" applyFont="1" applyBorder="1" applyAlignment="1">
      <alignment horizontal="left"/>
    </xf>
    <xf numFmtId="0" fontId="38" fillId="0" borderId="43" xfId="7" applyFont="1" applyBorder="1" applyAlignment="1">
      <alignment horizontal="left"/>
    </xf>
    <xf numFmtId="168" fontId="38" fillId="0" borderId="43" xfId="5" applyNumberFormat="1" applyFont="1" applyFill="1" applyBorder="1" applyAlignment="1">
      <alignment horizontal="right" vertical="center"/>
    </xf>
    <xf numFmtId="0" fontId="46" fillId="0" borderId="0" xfId="7" applyFont="1" applyBorder="1" applyAlignment="1">
      <alignment horizontal="left"/>
    </xf>
    <xf numFmtId="168" fontId="38" fillId="0" borderId="43" xfId="7" applyNumberFormat="1" applyFont="1" applyBorder="1" applyAlignment="1">
      <alignment horizontal="right"/>
    </xf>
    <xf numFmtId="0" fontId="38" fillId="0" borderId="0" xfId="7" applyNumberFormat="1" applyFont="1" applyFill="1"/>
    <xf numFmtId="0" fontId="45" fillId="0" borderId="0" xfId="7" applyFont="1" applyFill="1" applyBorder="1" applyAlignment="1">
      <alignment horizontal="left"/>
    </xf>
    <xf numFmtId="0" fontId="42" fillId="0" borderId="0" xfId="7" applyNumberFormat="1" applyFont="1" applyFill="1"/>
    <xf numFmtId="0" fontId="45" fillId="0" borderId="0" xfId="7" applyFont="1" applyFill="1"/>
    <xf numFmtId="168" fontId="38" fillId="3" borderId="43" xfId="5" applyNumberFormat="1" applyFont="1" applyFill="1" applyBorder="1" applyAlignment="1">
      <alignment horizontal="right" vertical="center"/>
    </xf>
    <xf numFmtId="3" fontId="46" fillId="0" borderId="0" xfId="7" applyNumberFormat="1" applyFont="1" applyFill="1" applyBorder="1"/>
    <xf numFmtId="3" fontId="38" fillId="0" borderId="0" xfId="7" applyNumberFormat="1" applyFont="1" applyFill="1" applyBorder="1"/>
    <xf numFmtId="0" fontId="38" fillId="0" borderId="0" xfId="7" applyFont="1" applyFill="1" applyBorder="1"/>
    <xf numFmtId="0" fontId="46" fillId="0" borderId="0" xfId="7" applyFont="1" applyFill="1" applyAlignment="1">
      <alignment horizontal="left"/>
    </xf>
    <xf numFmtId="0" fontId="46" fillId="0" borderId="0" xfId="7" applyFont="1" applyFill="1"/>
    <xf numFmtId="3" fontId="38" fillId="0" borderId="0" xfId="7" applyNumberFormat="1" applyFont="1" applyFill="1"/>
    <xf numFmtId="0" fontId="38" fillId="0" borderId="0" xfId="7" applyFont="1" applyFill="1"/>
    <xf numFmtId="0" fontId="47" fillId="6" borderId="0" xfId="7" applyFont="1" applyFill="1"/>
    <xf numFmtId="3" fontId="48" fillId="6" borderId="0" xfId="7" applyNumberFormat="1" applyFont="1" applyFill="1"/>
    <xf numFmtId="0" fontId="36" fillId="0" borderId="0" xfId="7" applyFont="1" applyFill="1" applyAlignment="1">
      <alignment horizontal="left"/>
    </xf>
    <xf numFmtId="0" fontId="36" fillId="0" borderId="0" xfId="7" applyFont="1" applyFill="1"/>
    <xf numFmtId="0" fontId="36" fillId="0" borderId="0" xfId="7" applyFont="1" applyFill="1" applyBorder="1" applyAlignment="1">
      <alignment horizontal="left"/>
    </xf>
    <xf numFmtId="3" fontId="0" fillId="0" borderId="0" xfId="0" applyNumberFormat="1"/>
    <xf numFmtId="0" fontId="0" fillId="0" borderId="75" xfId="0" applyBorder="1"/>
    <xf numFmtId="0" fontId="0" fillId="0" borderId="0" xfId="0" applyBorder="1"/>
    <xf numFmtId="3" fontId="0" fillId="0" borderId="0" xfId="0" applyNumberFormat="1" applyBorder="1"/>
    <xf numFmtId="3" fontId="0" fillId="0" borderId="75" xfId="0" applyNumberFormat="1" applyBorder="1"/>
    <xf numFmtId="0" fontId="18" fillId="0" borderId="77" xfId="0" applyFont="1" applyBorder="1" applyAlignment="1">
      <alignment horizontal="center"/>
    </xf>
    <xf numFmtId="0" fontId="0" fillId="0" borderId="77" xfId="0" applyBorder="1"/>
    <xf numFmtId="3" fontId="0" fillId="0" borderId="77" xfId="0" applyNumberFormat="1" applyBorder="1"/>
    <xf numFmtId="0" fontId="0" fillId="0" borderId="76" xfId="0" applyBorder="1"/>
    <xf numFmtId="0" fontId="18" fillId="0" borderId="75" xfId="0" applyFont="1" applyBorder="1"/>
    <xf numFmtId="0" fontId="0" fillId="0" borderId="77" xfId="0" applyBorder="1" applyAlignment="1">
      <alignment wrapText="1"/>
    </xf>
    <xf numFmtId="0" fontId="18" fillId="0" borderId="0" xfId="0" applyFont="1" applyBorder="1" applyAlignment="1"/>
    <xf numFmtId="0" fontId="19" fillId="0" borderId="78" xfId="0" applyFont="1" applyBorder="1" applyAlignment="1">
      <alignment horizontal="center" vertical="center" wrapText="1"/>
    </xf>
    <xf numFmtId="0" fontId="19" fillId="0" borderId="79" xfId="0" applyFont="1" applyBorder="1" applyAlignment="1">
      <alignment horizontal="center" vertical="center" wrapText="1"/>
    </xf>
    <xf numFmtId="0" fontId="18" fillId="0" borderId="76" xfId="0" applyFont="1" applyBorder="1" applyAlignment="1"/>
    <xf numFmtId="3" fontId="0" fillId="0" borderId="76" xfId="0" applyNumberFormat="1" applyBorder="1"/>
    <xf numFmtId="0" fontId="18" fillId="0" borderId="76" xfId="0" applyFont="1" applyBorder="1" applyAlignment="1">
      <alignment horizontal="center"/>
    </xf>
    <xf numFmtId="0" fontId="19" fillId="0" borderId="0" xfId="0" applyFont="1" applyBorder="1" applyAlignment="1">
      <alignment horizontal="center" vertical="center" wrapText="1"/>
    </xf>
    <xf numFmtId="3" fontId="20" fillId="0" borderId="83" xfId="0" applyNumberFormat="1" applyFont="1" applyBorder="1" applyAlignment="1">
      <alignment horizontal="right" vertical="center"/>
    </xf>
    <xf numFmtId="3" fontId="20" fillId="0" borderId="30" xfId="0" applyNumberFormat="1" applyFont="1" applyBorder="1" applyAlignment="1">
      <alignment horizontal="right" vertical="center"/>
    </xf>
    <xf numFmtId="3" fontId="20" fillId="0" borderId="46" xfId="0" applyNumberFormat="1" applyFont="1" applyBorder="1" applyAlignment="1">
      <alignment horizontal="right" vertical="center"/>
    </xf>
    <xf numFmtId="3" fontId="0" fillId="0" borderId="80" xfId="0" applyNumberFormat="1" applyBorder="1"/>
    <xf numFmtId="0" fontId="20" fillId="0" borderId="77" xfId="0" applyFont="1" applyBorder="1" applyAlignment="1">
      <alignment vertical="center"/>
    </xf>
    <xf numFmtId="0" fontId="20" fillId="0" borderId="75" xfId="0" applyFont="1" applyBorder="1" applyAlignment="1">
      <alignment vertical="center"/>
    </xf>
    <xf numFmtId="0" fontId="20" fillId="0" borderId="76" xfId="0" applyFont="1" applyBorder="1" applyAlignment="1">
      <alignment vertical="center"/>
    </xf>
    <xf numFmtId="3" fontId="20" fillId="0" borderId="76" xfId="0" applyNumberFormat="1" applyFont="1" applyBorder="1" applyAlignment="1">
      <alignment vertical="center"/>
    </xf>
    <xf numFmtId="0" fontId="20" fillId="7" borderId="76" xfId="0" applyFont="1" applyFill="1" applyBorder="1" applyAlignment="1">
      <alignment vertical="center"/>
    </xf>
    <xf numFmtId="0" fontId="0" fillId="0" borderId="0" xfId="0" applyBorder="1" applyAlignment="1">
      <alignment wrapText="1"/>
    </xf>
    <xf numFmtId="0" fontId="0" fillId="0" borderId="75" xfId="0" applyBorder="1" applyAlignment="1">
      <alignment wrapText="1"/>
    </xf>
    <xf numFmtId="0" fontId="0" fillId="0" borderId="76" xfId="0" applyBorder="1" applyAlignment="1">
      <alignment wrapText="1"/>
    </xf>
    <xf numFmtId="0" fontId="0" fillId="0" borderId="77" xfId="0" applyBorder="1" applyAlignment="1">
      <alignment horizontal="center"/>
    </xf>
    <xf numFmtId="3" fontId="20" fillId="0" borderId="77" xfId="0" applyNumberFormat="1" applyFont="1" applyBorder="1" applyAlignment="1">
      <alignment vertical="center"/>
    </xf>
    <xf numFmtId="0" fontId="20" fillId="7" borderId="77" xfId="0" applyFont="1" applyFill="1" applyBorder="1" applyAlignment="1">
      <alignment vertical="center"/>
    </xf>
    <xf numFmtId="3" fontId="20" fillId="0" borderId="75" xfId="0" applyNumberFormat="1" applyFont="1" applyBorder="1" applyAlignment="1">
      <alignment vertical="center"/>
    </xf>
    <xf numFmtId="0" fontId="20" fillId="7" borderId="75" xfId="0" applyFont="1" applyFill="1" applyBorder="1" applyAlignment="1">
      <alignment vertical="center"/>
    </xf>
    <xf numFmtId="0" fontId="16" fillId="0" borderId="0" xfId="0" applyFont="1" applyAlignment="1">
      <alignment horizontal="left" vertical="center"/>
    </xf>
    <xf numFmtId="0" fontId="0" fillId="0" borderId="77" xfId="0" applyNumberFormat="1" applyBorder="1" applyAlignment="1">
      <alignment horizontal="centerContinuous"/>
    </xf>
    <xf numFmtId="0" fontId="0" fillId="0" borderId="75" xfId="0" applyNumberFormat="1" applyBorder="1" applyAlignment="1">
      <alignment horizontal="centerContinuous"/>
    </xf>
    <xf numFmtId="0" fontId="19" fillId="0" borderId="32" xfId="0" applyNumberFormat="1" applyFont="1" applyBorder="1" applyAlignment="1">
      <alignment horizontal="centerContinuous" vertical="center" wrapText="1"/>
    </xf>
    <xf numFmtId="0" fontId="0" fillId="0" borderId="75" xfId="0" applyNumberFormat="1" applyBorder="1" applyAlignment="1">
      <alignment horizontal="right"/>
    </xf>
    <xf numFmtId="0" fontId="0" fillId="0" borderId="77" xfId="0" applyNumberFormat="1" applyBorder="1" applyAlignment="1">
      <alignment horizontal="right"/>
    </xf>
    <xf numFmtId="0" fontId="25" fillId="0" borderId="0" xfId="2" applyNumberFormat="1" applyFont="1" applyAlignment="1">
      <alignment horizontal="center"/>
    </xf>
    <xf numFmtId="0" fontId="25" fillId="0" borderId="0" xfId="2" applyFont="1" applyAlignment="1">
      <alignment horizontal="right"/>
    </xf>
    <xf numFmtId="0" fontId="16" fillId="0" borderId="0" xfId="0" applyFont="1" applyAlignment="1">
      <alignment horizontal="left" wrapText="1"/>
    </xf>
    <xf numFmtId="0" fontId="0" fillId="7" borderId="75" xfId="0" applyFill="1" applyBorder="1"/>
    <xf numFmtId="0" fontId="0" fillId="7" borderId="77" xfId="0" applyFill="1" applyBorder="1"/>
    <xf numFmtId="3" fontId="0" fillId="0" borderId="75" xfId="0" applyNumberFormat="1" applyFill="1" applyBorder="1"/>
    <xf numFmtId="3" fontId="0" fillId="0" borderId="77" xfId="0" applyNumberFormat="1" applyFill="1" applyBorder="1"/>
    <xf numFmtId="0" fontId="0" fillId="0" borderId="75" xfId="0" applyFill="1" applyBorder="1"/>
    <xf numFmtId="0" fontId="0" fillId="0" borderId="77" xfId="0" applyFill="1" applyBorder="1"/>
    <xf numFmtId="0" fontId="0" fillId="0" borderId="75" xfId="0" applyBorder="1" applyAlignment="1">
      <alignment horizontal="center"/>
    </xf>
    <xf numFmtId="0" fontId="0" fillId="0" borderId="86" xfId="0" applyBorder="1"/>
    <xf numFmtId="0" fontId="19" fillId="0" borderId="10" xfId="0" applyFont="1" applyBorder="1" applyAlignment="1">
      <alignment horizontal="center" vertical="center" wrapText="1"/>
    </xf>
    <xf numFmtId="0" fontId="19" fillId="0" borderId="10" xfId="0" applyFont="1" applyBorder="1" applyAlignment="1">
      <alignment horizontal="center" vertical="center" wrapText="1"/>
    </xf>
    <xf numFmtId="3" fontId="0" fillId="7" borderId="76" xfId="0" applyNumberFormat="1" applyFill="1" applyBorder="1"/>
    <xf numFmtId="0" fontId="19" fillId="0" borderId="7" xfId="0" applyFont="1" applyBorder="1" applyAlignment="1">
      <alignment horizontal="center" vertical="center" wrapText="1"/>
    </xf>
    <xf numFmtId="0" fontId="27" fillId="0" borderId="0" xfId="8" applyFill="1" applyAlignment="1">
      <alignment vertical="center"/>
    </xf>
    <xf numFmtId="0" fontId="60" fillId="0" borderId="0" xfId="8" applyFont="1" applyFill="1" applyAlignment="1">
      <alignment horizontal="left" vertical="center"/>
    </xf>
    <xf numFmtId="0" fontId="64" fillId="0" borderId="0" xfId="8" applyFont="1" applyFill="1" applyAlignment="1">
      <alignment horizontal="left" vertical="center"/>
    </xf>
    <xf numFmtId="0" fontId="64" fillId="0" borderId="13" xfId="8" applyFont="1" applyFill="1" applyBorder="1" applyAlignment="1">
      <alignment horizontal="left" vertical="center"/>
    </xf>
    <xf numFmtId="0" fontId="64" fillId="0" borderId="97" xfId="8" applyFont="1" applyFill="1" applyBorder="1" applyAlignment="1">
      <alignment horizontal="left" vertical="center"/>
    </xf>
    <xf numFmtId="0" fontId="60" fillId="0" borderId="97" xfId="8" applyFont="1" applyFill="1" applyBorder="1" applyAlignment="1">
      <alignment horizontal="left" vertical="center"/>
    </xf>
    <xf numFmtId="0" fontId="60" fillId="0" borderId="96" xfId="8" applyFont="1" applyFill="1" applyBorder="1" applyAlignment="1">
      <alignment horizontal="left" vertical="center"/>
    </xf>
    <xf numFmtId="0" fontId="57" fillId="0" borderId="0" xfId="8" applyFont="1" applyFill="1" applyAlignment="1">
      <alignment horizontal="left" vertical="center"/>
    </xf>
    <xf numFmtId="0" fontId="64" fillId="0" borderId="29" xfId="8" applyFont="1" applyFill="1" applyBorder="1" applyAlignment="1">
      <alignment horizontal="left" vertical="center"/>
    </xf>
    <xf numFmtId="0" fontId="64" fillId="0" borderId="0" xfId="8" applyFont="1" applyFill="1" applyBorder="1" applyAlignment="1">
      <alignment horizontal="left" vertical="center"/>
    </xf>
    <xf numFmtId="0" fontId="57" fillId="0" borderId="0" xfId="8" applyFont="1" applyFill="1" applyBorder="1" applyAlignment="1">
      <alignment horizontal="left" vertical="center"/>
    </xf>
    <xf numFmtId="0" fontId="57" fillId="0" borderId="95" xfId="8" applyFont="1" applyFill="1" applyBorder="1" applyAlignment="1">
      <alignment horizontal="left" vertical="center"/>
    </xf>
    <xf numFmtId="0" fontId="60" fillId="0" borderId="0" xfId="8" applyFont="1" applyFill="1" applyBorder="1" applyAlignment="1">
      <alignment horizontal="left" vertical="center"/>
    </xf>
    <xf numFmtId="0" fontId="60" fillId="0" borderId="95" xfId="8" applyFont="1" applyFill="1" applyBorder="1" applyAlignment="1">
      <alignment horizontal="left" vertical="center"/>
    </xf>
    <xf numFmtId="0" fontId="27" fillId="0" borderId="0" xfId="8" applyFill="1" applyBorder="1" applyAlignment="1">
      <alignment vertical="center"/>
    </xf>
    <xf numFmtId="0" fontId="27" fillId="0" borderId="95" xfId="8" applyFill="1" applyBorder="1" applyAlignment="1">
      <alignment vertical="center"/>
    </xf>
    <xf numFmtId="0" fontId="64" fillId="0" borderId="94" xfId="8" applyFont="1" applyFill="1" applyBorder="1" applyAlignment="1">
      <alignment horizontal="left" vertical="center"/>
    </xf>
    <xf numFmtId="0" fontId="64" fillId="0" borderId="93" xfId="8" applyFont="1" applyFill="1" applyBorder="1" applyAlignment="1">
      <alignment horizontal="left" vertical="center"/>
    </xf>
    <xf numFmtId="0" fontId="57" fillId="0" borderId="93" xfId="8" applyFont="1" applyFill="1" applyBorder="1" applyAlignment="1">
      <alignment horizontal="left" vertical="center"/>
    </xf>
    <xf numFmtId="0" fontId="70" fillId="0" borderId="92" xfId="8" applyFont="1" applyFill="1" applyBorder="1" applyAlignment="1">
      <alignment horizontal="left" vertical="center"/>
    </xf>
    <xf numFmtId="0" fontId="57" fillId="0" borderId="105" xfId="8" applyFont="1" applyFill="1" applyBorder="1" applyAlignment="1">
      <alignment horizontal="left" vertical="center"/>
    </xf>
    <xf numFmtId="0" fontId="57" fillId="0" borderId="97" xfId="8" applyFont="1" applyFill="1" applyBorder="1" applyAlignment="1">
      <alignment horizontal="left" vertical="center"/>
    </xf>
    <xf numFmtId="0" fontId="57" fillId="0" borderId="96" xfId="8" applyFont="1" applyFill="1" applyBorder="1" applyAlignment="1">
      <alignment horizontal="left" vertical="center"/>
    </xf>
    <xf numFmtId="0" fontId="27" fillId="0" borderId="77" xfId="8" applyBorder="1" applyAlignment="1">
      <alignment horizontal="center" vertical="center"/>
    </xf>
    <xf numFmtId="0" fontId="27" fillId="0" borderId="0" xfId="8" applyAlignment="1">
      <alignment horizontal="center" vertical="center"/>
    </xf>
    <xf numFmtId="0" fontId="60" fillId="0" borderId="75" xfId="8" applyFont="1" applyFill="1" applyBorder="1" applyAlignment="1">
      <alignment horizontal="center" vertical="center"/>
    </xf>
    <xf numFmtId="0" fontId="60" fillId="0" borderId="77" xfId="8" applyFont="1" applyFill="1" applyBorder="1" applyAlignment="1">
      <alignment horizontal="center" vertical="center"/>
    </xf>
    <xf numFmtId="1" fontId="64" fillId="0" borderId="0" xfId="8" applyNumberFormat="1" applyFont="1" applyFill="1" applyBorder="1" applyAlignment="1">
      <alignment horizontal="center" vertical="center"/>
    </xf>
    <xf numFmtId="169" fontId="64" fillId="0" borderId="0" xfId="8" applyNumberFormat="1" applyFont="1" applyFill="1" applyBorder="1" applyAlignment="1">
      <alignment horizontal="center" vertical="center"/>
    </xf>
    <xf numFmtId="170" fontId="64" fillId="0" borderId="0" xfId="8" applyNumberFormat="1" applyFont="1" applyFill="1" applyBorder="1" applyAlignment="1">
      <alignment horizontal="center" vertical="center"/>
    </xf>
    <xf numFmtId="170" fontId="64" fillId="0" borderId="95" xfId="8" applyNumberFormat="1" applyFont="1" applyFill="1" applyBorder="1" applyAlignment="1">
      <alignment horizontal="center" vertical="center"/>
    </xf>
    <xf numFmtId="0" fontId="27" fillId="0" borderId="29" xfId="8" applyFill="1" applyBorder="1" applyAlignment="1"/>
    <xf numFmtId="0" fontId="27" fillId="0" borderId="0" xfId="8" applyFill="1" applyBorder="1" applyAlignment="1"/>
    <xf numFmtId="0" fontId="60" fillId="0" borderId="75" xfId="8" applyFont="1" applyFill="1" applyBorder="1" applyAlignment="1">
      <alignment vertical="top" wrapText="1"/>
    </xf>
    <xf numFmtId="0" fontId="60" fillId="0" borderId="77" xfId="8" applyFont="1" applyFill="1" applyBorder="1" applyAlignment="1">
      <alignment vertical="top" wrapText="1"/>
    </xf>
    <xf numFmtId="0" fontId="60" fillId="0" borderId="0" xfId="8" applyFont="1" applyFill="1" applyBorder="1" applyAlignment="1">
      <alignment vertical="top" wrapText="1"/>
    </xf>
    <xf numFmtId="0" fontId="60" fillId="0" borderId="0" xfId="8" applyFont="1" applyFill="1" applyBorder="1" applyAlignment="1">
      <alignment vertical="center" wrapText="1"/>
    </xf>
    <xf numFmtId="0" fontId="60" fillId="0" borderId="77" xfId="8" applyFont="1" applyFill="1" applyBorder="1" applyAlignment="1">
      <alignment vertical="center" wrapText="1"/>
    </xf>
    <xf numFmtId="1" fontId="60" fillId="0" borderId="0" xfId="8" applyNumberFormat="1" applyFont="1" applyFill="1" applyBorder="1" applyAlignment="1">
      <alignment horizontal="left" vertical="center"/>
    </xf>
    <xf numFmtId="0" fontId="60" fillId="0" borderId="85" xfId="8" applyFont="1" applyFill="1" applyBorder="1" applyAlignment="1">
      <alignment vertical="center" wrapText="1"/>
    </xf>
    <xf numFmtId="1" fontId="60" fillId="0" borderId="99" xfId="8" applyNumberFormat="1" applyFont="1" applyFill="1" applyBorder="1" applyAlignment="1">
      <alignment horizontal="left" vertical="center"/>
    </xf>
    <xf numFmtId="0" fontId="60" fillId="0" borderId="99" xfId="8" applyFont="1" applyFill="1" applyBorder="1" applyAlignment="1">
      <alignment horizontal="left" vertical="center"/>
    </xf>
    <xf numFmtId="0" fontId="60" fillId="0" borderId="98" xfId="8" applyFont="1" applyFill="1" applyBorder="1" applyAlignment="1">
      <alignment horizontal="left" vertical="center"/>
    </xf>
    <xf numFmtId="0" fontId="59" fillId="0" borderId="77" xfId="8" applyFont="1" applyFill="1" applyBorder="1" applyAlignment="1">
      <alignment horizontal="center" vertical="center" wrapText="1"/>
    </xf>
    <xf numFmtId="0" fontId="69" fillId="0" borderId="0" xfId="8" applyFont="1" applyFill="1" applyAlignment="1">
      <alignment horizontal="left" vertical="center"/>
    </xf>
    <xf numFmtId="0" fontId="69" fillId="0" borderId="103" xfId="8" applyFont="1" applyFill="1" applyBorder="1" applyAlignment="1">
      <alignment horizontal="left" vertical="center"/>
    </xf>
    <xf numFmtId="0" fontId="27" fillId="0" borderId="93" xfId="8" applyFill="1" applyBorder="1" applyAlignment="1">
      <alignment vertical="center"/>
    </xf>
    <xf numFmtId="0" fontId="60" fillId="0" borderId="92" xfId="8" applyFont="1" applyFill="1" applyBorder="1" applyAlignment="1">
      <alignment vertical="center"/>
    </xf>
    <xf numFmtId="0" fontId="64" fillId="0" borderId="13" xfId="8" applyFont="1" applyFill="1" applyBorder="1" applyAlignment="1">
      <alignment horizontal="center" vertical="center"/>
    </xf>
    <xf numFmtId="0" fontId="64" fillId="0" borderId="97" xfId="8" applyFont="1" applyFill="1" applyBorder="1" applyAlignment="1">
      <alignment horizontal="center" vertical="center"/>
    </xf>
    <xf numFmtId="0" fontId="64" fillId="0" borderId="96" xfId="8" applyFont="1" applyFill="1" applyBorder="1" applyAlignment="1">
      <alignment horizontal="center" vertical="center"/>
    </xf>
    <xf numFmtId="0" fontId="64" fillId="0" borderId="0" xfId="8" applyFont="1" applyFill="1" applyBorder="1" applyAlignment="1">
      <alignment horizontal="center" vertical="center"/>
    </xf>
    <xf numFmtId="0" fontId="64" fillId="0" borderId="0" xfId="8" applyFont="1" applyFill="1" applyBorder="1" applyAlignment="1">
      <alignment vertical="center"/>
    </xf>
    <xf numFmtId="0" fontId="67" fillId="0" borderId="0" xfId="8" applyFont="1" applyFill="1" applyBorder="1" applyAlignment="1">
      <alignment vertical="center"/>
    </xf>
    <xf numFmtId="0" fontId="64" fillId="0" borderId="95" xfId="8" applyFont="1" applyFill="1" applyBorder="1" applyAlignment="1">
      <alignment vertical="center"/>
    </xf>
    <xf numFmtId="0" fontId="60" fillId="0" borderId="0" xfId="8" applyFont="1" applyFill="1" applyBorder="1" applyAlignment="1">
      <alignment vertical="center"/>
    </xf>
    <xf numFmtId="0" fontId="60" fillId="0" borderId="95" xfId="8" applyFont="1" applyFill="1" applyBorder="1" applyAlignment="1">
      <alignment vertical="center"/>
    </xf>
    <xf numFmtId="0" fontId="68" fillId="0" borderId="0" xfId="8" applyFont="1" applyFill="1" applyAlignment="1">
      <alignment vertical="center"/>
    </xf>
    <xf numFmtId="0" fontId="64" fillId="0" borderId="29" xfId="8" applyFont="1" applyFill="1" applyBorder="1" applyAlignment="1">
      <alignment horizontal="center" vertical="center"/>
    </xf>
    <xf numFmtId="0" fontId="64" fillId="0" borderId="95" xfId="8" applyFont="1" applyFill="1" applyBorder="1" applyAlignment="1">
      <alignment horizontal="center" vertical="center"/>
    </xf>
    <xf numFmtId="0" fontId="61" fillId="0" borderId="0" xfId="8" applyFont="1" applyFill="1" applyAlignment="1">
      <alignment vertical="center"/>
    </xf>
    <xf numFmtId="0" fontId="65" fillId="0" borderId="102" xfId="8" applyFont="1" applyFill="1" applyBorder="1" applyAlignment="1">
      <alignment horizontal="left" vertical="center"/>
    </xf>
    <xf numFmtId="0" fontId="65" fillId="0" borderId="88" xfId="8" applyFont="1" applyFill="1" applyBorder="1" applyAlignment="1">
      <alignment horizontal="left" vertical="center"/>
    </xf>
    <xf numFmtId="0" fontId="61" fillId="0" borderId="88" xfId="8" applyFont="1" applyFill="1" applyBorder="1" applyAlignment="1">
      <alignment vertical="center"/>
    </xf>
    <xf numFmtId="0" fontId="61" fillId="0" borderId="101" xfId="8" applyFont="1" applyFill="1" applyBorder="1" applyAlignment="1">
      <alignment vertical="center"/>
    </xf>
    <xf numFmtId="0" fontId="59" fillId="0" borderId="100" xfId="8" applyFont="1" applyFill="1" applyBorder="1" applyAlignment="1">
      <alignment horizontal="center" vertical="center"/>
    </xf>
    <xf numFmtId="0" fontId="59" fillId="0" borderId="99" xfId="8" applyFont="1" applyFill="1" applyBorder="1" applyAlignment="1">
      <alignment horizontal="center" vertical="center"/>
    </xf>
    <xf numFmtId="0" fontId="59" fillId="0" borderId="98" xfId="8" applyFont="1" applyFill="1" applyBorder="1" applyAlignment="1">
      <alignment horizontal="center" vertical="center"/>
    </xf>
    <xf numFmtId="0" fontId="65" fillId="0" borderId="100" xfId="8" applyFont="1" applyFill="1" applyBorder="1" applyAlignment="1">
      <alignment horizontal="left" vertical="center"/>
    </xf>
    <xf numFmtId="0" fontId="65" fillId="0" borderId="99" xfId="8" applyFont="1" applyFill="1" applyBorder="1" applyAlignment="1">
      <alignment horizontal="left" vertical="center"/>
    </xf>
    <xf numFmtId="0" fontId="65" fillId="0" borderId="99" xfId="8" applyFont="1" applyFill="1" applyBorder="1" applyAlignment="1">
      <alignment vertical="center"/>
    </xf>
    <xf numFmtId="0" fontId="65" fillId="0" borderId="98" xfId="8" applyFont="1" applyFill="1" applyBorder="1" applyAlignment="1">
      <alignment vertical="center"/>
    </xf>
    <xf numFmtId="0" fontId="63" fillId="0" borderId="0" xfId="8" applyFont="1" applyFill="1" applyAlignment="1">
      <alignment horizontal="left" vertical="center"/>
    </xf>
    <xf numFmtId="0" fontId="63" fillId="0" borderId="93" xfId="8" applyFont="1" applyFill="1" applyBorder="1" applyAlignment="1">
      <alignment horizontal="left" vertical="center"/>
    </xf>
    <xf numFmtId="0" fontId="60" fillId="0" borderId="92" xfId="8" applyFont="1" applyFill="1" applyBorder="1" applyAlignment="1">
      <alignment horizontal="left" vertical="center"/>
    </xf>
    <xf numFmtId="0" fontId="63" fillId="0" borderId="0" xfId="8" applyFont="1" applyFill="1" applyBorder="1" applyAlignment="1">
      <alignment horizontal="left" vertical="center"/>
    </xf>
    <xf numFmtId="0" fontId="60" fillId="0" borderId="97" xfId="8" applyFont="1" applyFill="1" applyBorder="1" applyAlignment="1">
      <alignment horizontal="left"/>
    </xf>
    <xf numFmtId="0" fontId="63" fillId="0" borderId="97" xfId="8" applyFont="1" applyFill="1" applyBorder="1" applyAlignment="1">
      <alignment horizontal="left" vertical="center"/>
    </xf>
    <xf numFmtId="0" fontId="63" fillId="0" borderId="13" xfId="8" applyFont="1" applyFill="1" applyBorder="1" applyAlignment="1">
      <alignment horizontal="left" vertical="center"/>
    </xf>
    <xf numFmtId="0" fontId="64" fillId="0" borderId="96" xfId="8" applyFont="1" applyFill="1" applyBorder="1" applyAlignment="1">
      <alignment horizontal="left" vertical="center"/>
    </xf>
    <xf numFmtId="0" fontId="60" fillId="0" borderId="0" xfId="8" applyFont="1" applyFill="1" applyBorder="1" applyAlignment="1">
      <alignment horizontal="left"/>
    </xf>
    <xf numFmtId="0" fontId="63" fillId="0" borderId="29" xfId="8" applyFont="1" applyFill="1" applyBorder="1" applyAlignment="1">
      <alignment horizontal="left" vertical="center"/>
    </xf>
    <xf numFmtId="0" fontId="64" fillId="0" borderId="0" xfId="8" applyFont="1" applyFill="1" applyBorder="1" applyAlignment="1">
      <alignment horizontal="left"/>
    </xf>
    <xf numFmtId="0" fontId="26" fillId="0" borderId="0" xfId="8" applyFont="1" applyFill="1" applyBorder="1" applyAlignment="1">
      <alignment horizontal="left"/>
    </xf>
    <xf numFmtId="0" fontId="59" fillId="0" borderId="0" xfId="8" applyFont="1" applyFill="1" applyBorder="1" applyAlignment="1">
      <alignment horizontal="center" vertical="center"/>
    </xf>
    <xf numFmtId="0" fontId="64" fillId="0" borderId="0" xfId="8" applyFont="1" applyFill="1" applyBorder="1" applyAlignment="1">
      <alignment horizontal="center"/>
    </xf>
    <xf numFmtId="0" fontId="64" fillId="0" borderId="95" xfId="8" applyFont="1" applyFill="1" applyBorder="1" applyAlignment="1" applyProtection="1">
      <alignment horizontal="center" vertical="center"/>
      <protection locked="0"/>
    </xf>
    <xf numFmtId="0" fontId="63" fillId="0" borderId="96" xfId="8" applyFont="1" applyFill="1" applyBorder="1" applyAlignment="1">
      <alignment horizontal="left"/>
    </xf>
    <xf numFmtId="0" fontId="66" fillId="0" borderId="0" xfId="8" applyFont="1" applyFill="1" applyBorder="1" applyAlignment="1">
      <alignment horizontal="center" vertical="center"/>
    </xf>
    <xf numFmtId="0" fontId="63" fillId="0" borderId="94" xfId="8" applyFont="1" applyFill="1" applyBorder="1" applyAlignment="1">
      <alignment horizontal="left" vertical="center"/>
    </xf>
    <xf numFmtId="0" fontId="60" fillId="0" borderId="93" xfId="8" applyFont="1" applyFill="1" applyBorder="1" applyAlignment="1">
      <alignment horizontal="left" vertical="center"/>
    </xf>
    <xf numFmtId="0" fontId="65" fillId="0" borderId="93" xfId="8" applyFont="1" applyFill="1" applyBorder="1" applyAlignment="1">
      <alignment horizontal="left" vertical="center"/>
    </xf>
    <xf numFmtId="0" fontId="62" fillId="0" borderId="0" xfId="8" applyFont="1" applyFill="1" applyAlignment="1">
      <alignment horizontal="left" vertical="center"/>
    </xf>
    <xf numFmtId="0" fontId="62" fillId="0" borderId="13" xfId="8" applyFont="1" applyFill="1" applyBorder="1" applyAlignment="1">
      <alignment horizontal="left" vertical="center"/>
    </xf>
    <xf numFmtId="0" fontId="62" fillId="0" borderId="97" xfId="8" applyFont="1" applyFill="1" applyBorder="1" applyAlignment="1">
      <alignment horizontal="left" vertical="center"/>
    </xf>
    <xf numFmtId="0" fontId="62" fillId="0" borderId="96" xfId="8" applyFont="1" applyFill="1" applyBorder="1" applyAlignment="1">
      <alignment horizontal="left" vertical="center"/>
    </xf>
    <xf numFmtId="0" fontId="60" fillId="0" borderId="29" xfId="8" applyFont="1" applyFill="1" applyBorder="1" applyAlignment="1">
      <alignment horizontal="left" vertical="center"/>
    </xf>
    <xf numFmtId="0" fontId="61" fillId="0" borderId="0" xfId="8" applyFont="1" applyFill="1" applyAlignment="1">
      <alignment horizontal="left" vertical="center"/>
    </xf>
    <xf numFmtId="0" fontId="61" fillId="0" borderId="94" xfId="8" applyFont="1" applyFill="1" applyBorder="1" applyAlignment="1">
      <alignment horizontal="left" vertical="center"/>
    </xf>
    <xf numFmtId="0" fontId="61" fillId="0" borderId="93" xfId="8" applyFont="1" applyFill="1" applyBorder="1" applyAlignment="1">
      <alignment horizontal="left" vertical="center"/>
    </xf>
    <xf numFmtId="0" fontId="61" fillId="0" borderId="92" xfId="8" applyFont="1" applyFill="1" applyBorder="1" applyAlignment="1">
      <alignment horizontal="left" vertical="center"/>
    </xf>
    <xf numFmtId="0" fontId="27" fillId="0" borderId="17" xfId="8" applyFill="1" applyBorder="1" applyAlignment="1">
      <alignment vertical="center"/>
    </xf>
    <xf numFmtId="0" fontId="27" fillId="0" borderId="91" xfId="8" applyFill="1" applyBorder="1" applyAlignment="1">
      <alignment vertical="center"/>
    </xf>
    <xf numFmtId="0" fontId="60" fillId="0" borderId="91" xfId="8" quotePrefix="1" applyFont="1" applyFill="1" applyBorder="1" applyAlignment="1">
      <alignment horizontal="left" vertical="center"/>
    </xf>
    <xf numFmtId="0" fontId="59" fillId="0" borderId="91" xfId="8" applyFont="1" applyFill="1" applyBorder="1" applyAlignment="1">
      <alignment horizontal="center" vertical="center"/>
    </xf>
    <xf numFmtId="0" fontId="57" fillId="0" borderId="90" xfId="8" applyFont="1" applyFill="1" applyBorder="1" applyAlignment="1">
      <alignment vertical="center"/>
    </xf>
    <xf numFmtId="0" fontId="58" fillId="0" borderId="0" xfId="8" applyFont="1" applyFill="1" applyAlignment="1">
      <alignment horizontal="left" vertical="center"/>
    </xf>
    <xf numFmtId="0" fontId="27" fillId="0" borderId="89" xfId="8" applyFont="1" applyFill="1" applyBorder="1" applyAlignment="1">
      <alignment horizontal="left" vertical="center"/>
    </xf>
    <xf numFmtId="0" fontId="57" fillId="0" borderId="88" xfId="8" applyFont="1" applyFill="1" applyBorder="1" applyAlignment="1">
      <alignment horizontal="left" vertical="center"/>
    </xf>
    <xf numFmtId="0" fontId="27" fillId="0" borderId="87" xfId="8" applyFont="1" applyFill="1" applyBorder="1" applyAlignment="1">
      <alignment horizontal="left" vertical="center"/>
    </xf>
    <xf numFmtId="0" fontId="55" fillId="0" borderId="0" xfId="8" applyFont="1" applyFill="1" applyAlignment="1">
      <alignment horizontal="left" vertical="center"/>
    </xf>
    <xf numFmtId="0" fontId="56" fillId="0" borderId="0" xfId="8" quotePrefix="1" applyFont="1" applyFill="1" applyAlignment="1">
      <alignment horizontal="left" vertical="center"/>
    </xf>
    <xf numFmtId="0" fontId="60" fillId="0" borderId="0" xfId="8" applyFont="1" applyFill="1" applyAlignment="1">
      <alignment vertical="center"/>
    </xf>
    <xf numFmtId="49" fontId="73" fillId="0" borderId="43" xfId="8" applyNumberFormat="1" applyFont="1" applyFill="1" applyBorder="1" applyAlignment="1">
      <alignment horizontal="center" vertical="top"/>
    </xf>
    <xf numFmtId="0" fontId="73" fillId="0" borderId="72" xfId="8" applyFont="1" applyFill="1" applyBorder="1" applyAlignment="1">
      <alignment horizontal="right" vertical="top" wrapText="1"/>
    </xf>
    <xf numFmtId="0" fontId="73" fillId="0" borderId="66" xfId="8" applyFont="1" applyFill="1" applyBorder="1" applyAlignment="1">
      <alignment horizontal="right" vertical="top" wrapText="1"/>
    </xf>
    <xf numFmtId="0" fontId="73" fillId="0" borderId="66" xfId="8" applyFont="1" applyFill="1" applyBorder="1" applyAlignment="1">
      <alignment horizontal="left" vertical="top" wrapText="1"/>
    </xf>
    <xf numFmtId="0" fontId="74" fillId="0" borderId="66" xfId="8" applyFont="1" applyFill="1" applyBorder="1" applyAlignment="1">
      <alignment horizontal="left" vertical="top" wrapText="1"/>
    </xf>
    <xf numFmtId="0" fontId="74" fillId="0" borderId="66" xfId="8" quotePrefix="1" applyFont="1" applyFill="1" applyBorder="1" applyAlignment="1">
      <alignment horizontal="left" vertical="top" wrapText="1"/>
    </xf>
    <xf numFmtId="0" fontId="75" fillId="0" borderId="64" xfId="8" applyFont="1" applyFill="1" applyBorder="1" applyAlignment="1">
      <alignment horizontal="center" wrapText="1"/>
    </xf>
    <xf numFmtId="0" fontId="75" fillId="0" borderId="63" xfId="8" applyFont="1" applyFill="1" applyBorder="1" applyAlignment="1">
      <alignment horizontal="center" wrapText="1"/>
    </xf>
    <xf numFmtId="49" fontId="74" fillId="0" borderId="73" xfId="8" applyNumberFormat="1" applyFont="1" applyFill="1" applyBorder="1" applyAlignment="1">
      <alignment horizontal="center" vertical="top"/>
    </xf>
    <xf numFmtId="0" fontId="74" fillId="0" borderId="72" xfId="8" applyFont="1" applyFill="1" applyBorder="1" applyAlignment="1">
      <alignment horizontal="left" vertical="top" wrapText="1"/>
    </xf>
    <xf numFmtId="49" fontId="74" fillId="0" borderId="43" xfId="8" applyNumberFormat="1" applyFont="1" applyFill="1" applyBorder="1" applyAlignment="1">
      <alignment horizontal="center" vertical="top"/>
    </xf>
    <xf numFmtId="0" fontId="76" fillId="0" borderId="66" xfId="8" applyFont="1" applyFill="1" applyBorder="1" applyAlignment="1">
      <alignment horizontal="right" vertical="top" wrapText="1"/>
    </xf>
    <xf numFmtId="0" fontId="60" fillId="0" borderId="0" xfId="8" applyFont="1" applyFill="1"/>
    <xf numFmtId="0" fontId="74" fillId="0" borderId="66" xfId="8" applyFont="1" applyFill="1" applyBorder="1" applyAlignment="1">
      <alignment horizontal="left" vertical="top"/>
    </xf>
    <xf numFmtId="0" fontId="75" fillId="0" borderId="71" xfId="8" applyFont="1" applyFill="1" applyBorder="1" applyAlignment="1">
      <alignment horizontal="center" wrapText="1"/>
    </xf>
    <xf numFmtId="0" fontId="75" fillId="0" borderId="70" xfId="8" applyFont="1" applyFill="1" applyBorder="1" applyAlignment="1">
      <alignment horizontal="center" wrapText="1"/>
    </xf>
    <xf numFmtId="0" fontId="60" fillId="0" borderId="0" xfId="8" applyFont="1" applyFill="1" applyAlignment="1">
      <alignment vertical="center" wrapText="1"/>
    </xf>
    <xf numFmtId="0" fontId="72" fillId="0" borderId="114" xfId="8" applyFont="1" applyFill="1" applyBorder="1" applyAlignment="1">
      <alignment horizontal="right" vertical="center" wrapText="1"/>
    </xf>
    <xf numFmtId="0" fontId="61" fillId="0" borderId="0" xfId="8" applyFont="1" applyFill="1" applyAlignment="1">
      <alignment vertical="center" wrapText="1"/>
    </xf>
    <xf numFmtId="0" fontId="59" fillId="0" borderId="89" xfId="8" applyFont="1" applyFill="1" applyBorder="1" applyAlignment="1">
      <alignment horizontal="left" vertical="center"/>
    </xf>
    <xf numFmtId="0" fontId="59" fillId="0" borderId="88" xfId="8" applyFont="1" applyFill="1" applyBorder="1" applyAlignment="1">
      <alignment horizontal="left" vertical="center"/>
    </xf>
    <xf numFmtId="0" fontId="72" fillId="0" borderId="87" xfId="8" applyFont="1" applyFill="1" applyBorder="1" applyAlignment="1">
      <alignment horizontal="left" vertical="center"/>
    </xf>
    <xf numFmtId="0" fontId="59" fillId="0" borderId="43" xfId="8" applyFont="1" applyFill="1" applyBorder="1" applyAlignment="1">
      <alignment horizontal="center" vertical="center"/>
    </xf>
    <xf numFmtId="0" fontId="60" fillId="0" borderId="43" xfId="8" applyFont="1" applyFill="1" applyBorder="1" applyAlignment="1">
      <alignment horizontal="center" vertical="center"/>
    </xf>
    <xf numFmtId="0" fontId="64" fillId="0" borderId="77" xfId="8" applyFont="1" applyFill="1" applyBorder="1" applyAlignment="1">
      <alignment horizontal="left" vertical="center"/>
    </xf>
    <xf numFmtId="0" fontId="60" fillId="0" borderId="77" xfId="8" applyFont="1" applyFill="1" applyBorder="1" applyAlignment="1">
      <alignment horizontal="left" vertical="center"/>
    </xf>
    <xf numFmtId="172" fontId="60" fillId="0" borderId="0" xfId="8" applyNumberFormat="1" applyFont="1" applyFill="1" applyAlignment="1">
      <alignment horizontal="left" vertical="center"/>
    </xf>
    <xf numFmtId="0" fontId="67" fillId="0" borderId="0" xfId="8" applyFont="1" applyFill="1" applyAlignment="1">
      <alignment vertical="center"/>
    </xf>
    <xf numFmtId="0" fontId="27" fillId="0" borderId="0" xfId="8" applyFont="1" applyFill="1" applyAlignment="1">
      <alignment vertical="center"/>
    </xf>
    <xf numFmtId="0" fontId="27" fillId="0" borderId="0" xfId="8" applyFont="1" applyFill="1" applyBorder="1" applyAlignment="1">
      <alignment horizontal="left" vertical="center"/>
    </xf>
    <xf numFmtId="0" fontId="57" fillId="0" borderId="89" xfId="8" applyFont="1" applyFill="1" applyBorder="1" applyAlignment="1">
      <alignment horizontal="left" vertical="center"/>
    </xf>
    <xf numFmtId="0" fontId="27" fillId="0" borderId="102" xfId="8" applyFont="1" applyFill="1" applyBorder="1" applyAlignment="1">
      <alignment horizontal="left" vertical="center"/>
    </xf>
    <xf numFmtId="0" fontId="73" fillId="0" borderId="0" xfId="8" applyFont="1" applyFill="1" applyAlignment="1">
      <alignment vertical="center"/>
    </xf>
    <xf numFmtId="0" fontId="74" fillId="0" borderId="0" xfId="8" applyFont="1" applyFill="1" applyAlignment="1">
      <alignment vertical="center"/>
    </xf>
    <xf numFmtId="0" fontId="74" fillId="0" borderId="109" xfId="8" applyFont="1" applyFill="1" applyBorder="1" applyAlignment="1">
      <alignment horizontal="left" vertical="top" wrapText="1"/>
    </xf>
    <xf numFmtId="0" fontId="74" fillId="0" borderId="108" xfId="8" applyFont="1" applyFill="1" applyBorder="1" applyAlignment="1">
      <alignment horizontal="left" vertical="top" wrapText="1"/>
    </xf>
    <xf numFmtId="171" fontId="72" fillId="0" borderId="67" xfId="8" applyNumberFormat="1" applyFont="1" applyFill="1" applyBorder="1" applyAlignment="1">
      <alignment horizontal="right" vertical="center"/>
    </xf>
    <xf numFmtId="0" fontId="73" fillId="0" borderId="89" xfId="8" applyFont="1" applyFill="1" applyBorder="1" applyAlignment="1">
      <alignment horizontal="left" vertical="top" wrapText="1"/>
    </xf>
    <xf numFmtId="0" fontId="73" fillId="0" borderId="87" xfId="8" applyFont="1" applyFill="1" applyBorder="1" applyAlignment="1">
      <alignment horizontal="left" vertical="top" wrapText="1"/>
    </xf>
    <xf numFmtId="0" fontId="74" fillId="0" borderId="89" xfId="8" applyFont="1" applyFill="1" applyBorder="1" applyAlignment="1">
      <alignment horizontal="left" vertical="top" wrapText="1"/>
    </xf>
    <xf numFmtId="0" fontId="74" fillId="0" borderId="87" xfId="8" applyFont="1" applyFill="1" applyBorder="1" applyAlignment="1">
      <alignment horizontal="left" vertical="top" wrapText="1"/>
    </xf>
    <xf numFmtId="49" fontId="74" fillId="0" borderId="71" xfId="8" applyNumberFormat="1" applyFont="1" applyFill="1" applyBorder="1" applyAlignment="1">
      <alignment horizontal="center" vertical="top"/>
    </xf>
    <xf numFmtId="0" fontId="74" fillId="0" borderId="85" xfId="8" applyFont="1" applyFill="1" applyBorder="1" applyAlignment="1">
      <alignment horizontal="left" vertical="top" wrapText="1"/>
    </xf>
    <xf numFmtId="0" fontId="74" fillId="0" borderId="84" xfId="8" applyFont="1" applyFill="1" applyBorder="1" applyAlignment="1">
      <alignment horizontal="left" vertical="top" wrapText="1"/>
    </xf>
    <xf numFmtId="0" fontId="74" fillId="0" borderId="70" xfId="8" applyFont="1" applyFill="1" applyBorder="1" applyAlignment="1">
      <alignment horizontal="left" vertical="top" wrapText="1"/>
    </xf>
    <xf numFmtId="0" fontId="73" fillId="0" borderId="66" xfId="8" quotePrefix="1" applyFont="1" applyFill="1" applyBorder="1" applyAlignment="1">
      <alignment horizontal="left" vertical="top" wrapText="1"/>
    </xf>
    <xf numFmtId="49" fontId="73" fillId="0" borderId="71" xfId="8" applyNumberFormat="1" applyFont="1" applyFill="1" applyBorder="1" applyAlignment="1">
      <alignment horizontal="center" vertical="top"/>
    </xf>
    <xf numFmtId="0" fontId="73" fillId="0" borderId="85" xfId="8" applyFont="1" applyFill="1" applyBorder="1" applyAlignment="1">
      <alignment horizontal="left" vertical="top" wrapText="1"/>
    </xf>
    <xf numFmtId="0" fontId="73" fillId="0" borderId="84" xfId="8" applyFont="1" applyFill="1" applyBorder="1" applyAlignment="1">
      <alignment horizontal="left" vertical="top" wrapText="1"/>
    </xf>
    <xf numFmtId="0" fontId="73" fillId="0" borderId="70" xfId="8" applyFont="1" applyFill="1" applyBorder="1" applyAlignment="1">
      <alignment horizontal="left" vertical="top" wrapText="1"/>
    </xf>
    <xf numFmtId="0" fontId="77" fillId="0" borderId="89" xfId="8" applyFont="1" applyFill="1" applyBorder="1" applyAlignment="1">
      <alignment horizontal="left" vertical="top" wrapText="1"/>
    </xf>
    <xf numFmtId="0" fontId="77" fillId="0" borderId="87" xfId="8" applyFont="1" applyFill="1" applyBorder="1" applyAlignment="1">
      <alignment horizontal="left" vertical="top" wrapText="1"/>
    </xf>
    <xf numFmtId="0" fontId="77" fillId="0" borderId="66" xfId="8" applyFont="1" applyFill="1" applyBorder="1" applyAlignment="1">
      <alignment horizontal="left" vertical="top" wrapText="1"/>
    </xf>
    <xf numFmtId="0" fontId="77" fillId="0" borderId="89" xfId="8" quotePrefix="1" applyFont="1" applyFill="1" applyBorder="1" applyAlignment="1">
      <alignment horizontal="left" vertical="top" wrapText="1"/>
    </xf>
    <xf numFmtId="0" fontId="77" fillId="0" borderId="87" xfId="8" quotePrefix="1" applyFont="1" applyFill="1" applyBorder="1" applyAlignment="1">
      <alignment horizontal="left" vertical="top" wrapText="1"/>
    </xf>
    <xf numFmtId="0" fontId="73" fillId="0" borderId="85" xfId="8" quotePrefix="1" applyFont="1" applyFill="1" applyBorder="1" applyAlignment="1">
      <alignment horizontal="left" vertical="top" wrapText="1"/>
    </xf>
    <xf numFmtId="0" fontId="73" fillId="0" borderId="84" xfId="8" quotePrefix="1" applyFont="1" applyFill="1" applyBorder="1" applyAlignment="1">
      <alignment horizontal="left" vertical="top" wrapText="1"/>
    </xf>
    <xf numFmtId="0" fontId="73" fillId="0" borderId="0" xfId="8" applyFont="1" applyFill="1" applyAlignment="1">
      <alignment vertical="center" wrapText="1"/>
    </xf>
    <xf numFmtId="49" fontId="73" fillId="0" borderId="73" xfId="8" applyNumberFormat="1" applyFont="1" applyFill="1" applyBorder="1" applyAlignment="1">
      <alignment horizontal="center" vertical="top"/>
    </xf>
    <xf numFmtId="0" fontId="73" fillId="0" borderId="109" xfId="8" applyFont="1" applyFill="1" applyBorder="1" applyAlignment="1">
      <alignment horizontal="left" vertical="top" wrapText="1"/>
    </xf>
    <xf numFmtId="0" fontId="73" fillId="0" borderId="108" xfId="8" applyFont="1" applyFill="1" applyBorder="1" applyAlignment="1">
      <alignment horizontal="left" vertical="top" wrapText="1"/>
    </xf>
    <xf numFmtId="0" fontId="73" fillId="0" borderId="72" xfId="8" applyFont="1" applyFill="1" applyBorder="1" applyAlignment="1">
      <alignment horizontal="left" vertical="top" wrapText="1"/>
    </xf>
    <xf numFmtId="0" fontId="74" fillId="0" borderId="0" xfId="8" applyFont="1" applyFill="1" applyAlignment="1">
      <alignment vertical="center" wrapText="1"/>
    </xf>
    <xf numFmtId="0" fontId="74" fillId="0" borderId="89" xfId="8" quotePrefix="1" applyFont="1" applyFill="1" applyBorder="1" applyAlignment="1">
      <alignment horizontal="left" vertical="top" wrapText="1"/>
    </xf>
    <xf numFmtId="0" fontId="74" fillId="0" borderId="87" xfId="8" quotePrefix="1" applyFont="1" applyFill="1" applyBorder="1" applyAlignment="1">
      <alignment horizontal="left" vertical="top" wrapText="1"/>
    </xf>
    <xf numFmtId="0" fontId="73" fillId="0" borderId="89" xfId="8" quotePrefix="1" applyFont="1" applyFill="1" applyBorder="1" applyAlignment="1">
      <alignment horizontal="left" vertical="top" wrapText="1"/>
    </xf>
    <xf numFmtId="0" fontId="73" fillId="0" borderId="87" xfId="8" quotePrefix="1" applyFont="1" applyFill="1" applyBorder="1" applyAlignment="1">
      <alignment horizontal="left" vertical="top" wrapText="1"/>
    </xf>
    <xf numFmtId="0" fontId="74" fillId="0" borderId="67" xfId="8" applyFont="1" applyFill="1" applyBorder="1" applyAlignment="1">
      <alignment horizontal="center" vertical="center" wrapText="1"/>
    </xf>
    <xf numFmtId="0" fontId="74" fillId="0" borderId="43" xfId="8" applyFont="1" applyFill="1" applyBorder="1" applyAlignment="1">
      <alignment horizontal="center" wrapText="1"/>
    </xf>
    <xf numFmtId="0" fontId="75" fillId="0" borderId="43" xfId="8" applyFont="1" applyFill="1" applyBorder="1" applyAlignment="1">
      <alignment horizontal="center" vertical="center" wrapText="1"/>
    </xf>
    <xf numFmtId="0" fontId="74" fillId="0" borderId="89" xfId="8" applyFont="1" applyFill="1" applyBorder="1" applyAlignment="1">
      <alignment horizontal="center" vertical="center" wrapText="1"/>
    </xf>
    <xf numFmtId="0" fontId="74" fillId="0" borderId="87" xfId="8" applyFont="1" applyFill="1" applyBorder="1" applyAlignment="1">
      <alignment horizontal="center" vertical="center" wrapText="1"/>
    </xf>
    <xf numFmtId="0" fontId="75" fillId="0" borderId="66" xfId="8" applyFont="1" applyFill="1" applyBorder="1" applyAlignment="1">
      <alignment horizontal="center" vertical="center" wrapText="1"/>
    </xf>
    <xf numFmtId="0" fontId="73" fillId="0" borderId="64" xfId="8" applyFont="1" applyFill="1" applyBorder="1" applyAlignment="1">
      <alignment horizontal="center" vertical="center"/>
    </xf>
    <xf numFmtId="0" fontId="73" fillId="0" borderId="112" xfId="8" applyFont="1" applyFill="1" applyBorder="1" applyAlignment="1">
      <alignment horizontal="center" vertical="center"/>
    </xf>
    <xf numFmtId="0" fontId="73" fillId="0" borderId="111" xfId="8" applyFont="1" applyFill="1" applyBorder="1" applyAlignment="1">
      <alignment horizontal="center" vertical="center"/>
    </xf>
    <xf numFmtId="0" fontId="73" fillId="0" borderId="63" xfId="8" applyFont="1" applyFill="1" applyBorder="1" applyAlignment="1">
      <alignment horizontal="center" vertical="center"/>
    </xf>
    <xf numFmtId="0" fontId="60" fillId="0" borderId="97" xfId="8" applyFont="1" applyFill="1" applyBorder="1" applyAlignment="1">
      <alignment vertical="center"/>
    </xf>
    <xf numFmtId="0" fontId="72" fillId="0" borderId="0" xfId="8" applyFont="1" applyFill="1" applyBorder="1" applyAlignment="1">
      <alignment horizontal="left" vertical="center"/>
    </xf>
    <xf numFmtId="0" fontId="54" fillId="8" borderId="0" xfId="0" applyFont="1" applyFill="1" applyAlignment="1"/>
    <xf numFmtId="0" fontId="80" fillId="0" borderId="0" xfId="0" applyFont="1" applyAlignment="1"/>
    <xf numFmtId="0" fontId="81" fillId="0" borderId="0" xfId="0" applyFont="1"/>
    <xf numFmtId="0" fontId="19" fillId="0" borderId="1" xfId="0" applyFont="1" applyBorder="1" applyAlignment="1">
      <alignment horizontal="center" vertical="center" wrapText="1"/>
    </xf>
    <xf numFmtId="0" fontId="19" fillId="0" borderId="2" xfId="0" applyFont="1" applyBorder="1" applyAlignment="1">
      <alignment horizontal="center" vertical="center" wrapText="1"/>
    </xf>
    <xf numFmtId="0" fontId="13" fillId="0" borderId="0" xfId="0" applyFont="1" applyAlignment="1"/>
    <xf numFmtId="0" fontId="20" fillId="0" borderId="0" xfId="0" applyFont="1" applyAlignment="1">
      <alignment wrapText="1"/>
    </xf>
    <xf numFmtId="0" fontId="20" fillId="0" borderId="134" xfId="0" applyFont="1" applyBorder="1" applyAlignment="1"/>
    <xf numFmtId="0" fontId="20" fillId="0" borderId="0" xfId="0" applyFont="1" applyAlignment="1"/>
    <xf numFmtId="0" fontId="19" fillId="0" borderId="1" xfId="0" applyFont="1" applyBorder="1" applyAlignment="1">
      <alignment horizontal="center" vertical="center" wrapText="1"/>
    </xf>
    <xf numFmtId="0" fontId="19" fillId="0" borderId="7" xfId="0" applyFont="1" applyBorder="1" applyAlignment="1">
      <alignment horizontal="center" vertical="center" wrapText="1"/>
    </xf>
    <xf numFmtId="0" fontId="19" fillId="0" borderId="10" xfId="0" applyFont="1" applyBorder="1" applyAlignment="1">
      <alignment horizontal="center" vertical="center" wrapText="1"/>
    </xf>
    <xf numFmtId="0" fontId="19" fillId="0" borderId="2" xfId="0" applyFont="1" applyBorder="1" applyAlignment="1">
      <alignment horizontal="center" vertical="center" wrapText="1"/>
    </xf>
    <xf numFmtId="0" fontId="19" fillId="0" borderId="1" xfId="0" applyFont="1" applyBorder="1" applyAlignment="1">
      <alignment horizontal="center" vertical="center"/>
    </xf>
    <xf numFmtId="0" fontId="12" fillId="0" borderId="0" xfId="0" applyFont="1" applyAlignment="1"/>
    <xf numFmtId="0" fontId="20" fillId="0" borderId="0" xfId="0" applyFont="1" applyAlignment="1">
      <alignment horizontal="center"/>
    </xf>
    <xf numFmtId="0" fontId="12" fillId="0" borderId="0" xfId="0" applyFont="1"/>
    <xf numFmtId="0" fontId="12" fillId="0" borderId="0" xfId="0" applyFont="1" applyAlignment="1">
      <alignment horizontal="left" wrapText="1"/>
    </xf>
    <xf numFmtId="0" fontId="83" fillId="8" borderId="0" xfId="0" applyFont="1" applyFill="1" applyAlignment="1"/>
    <xf numFmtId="0" fontId="81" fillId="0" borderId="0" xfId="0" applyFont="1" applyBorder="1"/>
    <xf numFmtId="0" fontId="81" fillId="0" borderId="97" xfId="0" applyFont="1" applyBorder="1"/>
    <xf numFmtId="0" fontId="12" fillId="0" borderId="0" xfId="0" applyFont="1" applyAlignment="1">
      <alignment horizontal="left" vertical="top" wrapText="1"/>
    </xf>
    <xf numFmtId="171" fontId="72" fillId="0" borderId="43" xfId="8" applyNumberFormat="1" applyFont="1" applyFill="1" applyBorder="1" applyAlignment="1">
      <alignment horizontal="right" vertical="center"/>
    </xf>
    <xf numFmtId="0" fontId="20" fillId="0" borderId="0" xfId="0" applyFont="1" applyBorder="1" applyAlignment="1">
      <alignment vertical="center"/>
    </xf>
    <xf numFmtId="0" fontId="20" fillId="0" borderId="75" xfId="0" applyFont="1" applyBorder="1"/>
    <xf numFmtId="0" fontId="20" fillId="0" borderId="0" xfId="0" applyFont="1" applyBorder="1"/>
    <xf numFmtId="3" fontId="20" fillId="0" borderId="77" xfId="0" applyNumberFormat="1" applyFont="1" applyBorder="1"/>
    <xf numFmtId="3" fontId="20" fillId="0" borderId="84" xfId="0" applyNumberFormat="1" applyFont="1" applyBorder="1"/>
    <xf numFmtId="3" fontId="20" fillId="0" borderId="99" xfId="0" applyNumberFormat="1" applyFont="1" applyBorder="1"/>
    <xf numFmtId="3" fontId="20" fillId="0" borderId="85" xfId="0" applyNumberFormat="1" applyFont="1" applyBorder="1"/>
    <xf numFmtId="0" fontId="20" fillId="0" borderId="115" xfId="0" applyFont="1" applyBorder="1"/>
    <xf numFmtId="0" fontId="20" fillId="0" borderId="119" xfId="0" applyFont="1" applyBorder="1"/>
    <xf numFmtId="3" fontId="20" fillId="0" borderId="118" xfId="0" applyNumberFormat="1" applyFont="1" applyBorder="1"/>
    <xf numFmtId="3" fontId="20" fillId="0" borderId="76" xfId="0" applyNumberFormat="1" applyFont="1" applyBorder="1"/>
    <xf numFmtId="3" fontId="20" fillId="7" borderId="76" xfId="0" applyNumberFormat="1" applyFont="1" applyFill="1" applyBorder="1"/>
    <xf numFmtId="3" fontId="20" fillId="0" borderId="71" xfId="0" applyNumberFormat="1" applyFont="1" applyBorder="1"/>
    <xf numFmtId="0" fontId="20" fillId="0" borderId="118" xfId="0" applyFont="1" applyBorder="1"/>
    <xf numFmtId="0" fontId="20" fillId="0" borderId="77" xfId="0" applyFont="1" applyBorder="1"/>
    <xf numFmtId="3" fontId="20" fillId="0" borderId="116" xfId="0" applyNumberFormat="1" applyFont="1" applyBorder="1"/>
    <xf numFmtId="3" fontId="20" fillId="0" borderId="75" xfId="0" applyNumberFormat="1" applyFont="1" applyBorder="1"/>
    <xf numFmtId="3" fontId="85" fillId="0" borderId="75" xfId="0" applyNumberFormat="1" applyFont="1" applyBorder="1"/>
    <xf numFmtId="3" fontId="85" fillId="0" borderId="77" xfId="0" applyNumberFormat="1" applyFont="1" applyBorder="1"/>
    <xf numFmtId="0" fontId="85" fillId="0" borderId="75" xfId="0" applyFont="1" applyBorder="1"/>
    <xf numFmtId="0" fontId="85" fillId="0" borderId="77" xfId="0" applyFont="1" applyBorder="1"/>
    <xf numFmtId="3" fontId="85" fillId="0" borderId="84" xfId="0" applyNumberFormat="1" applyFont="1" applyBorder="1"/>
    <xf numFmtId="3" fontId="85" fillId="0" borderId="85" xfId="0" applyNumberFormat="1" applyFont="1" applyBorder="1"/>
    <xf numFmtId="0" fontId="11" fillId="0" borderId="0" xfId="0" applyFont="1" applyAlignment="1">
      <alignment horizontal="left"/>
    </xf>
    <xf numFmtId="0" fontId="20" fillId="0" borderId="135" xfId="0" applyFont="1" applyBorder="1"/>
    <xf numFmtId="3" fontId="20" fillId="0" borderId="115" xfId="0" applyNumberFormat="1" applyFont="1" applyBorder="1"/>
    <xf numFmtId="0" fontId="20" fillId="0" borderId="0" xfId="0" applyFont="1" applyAlignment="1">
      <alignment horizontal="center" wrapText="1"/>
    </xf>
    <xf numFmtId="0" fontId="0" fillId="0" borderId="116" xfId="0" applyBorder="1"/>
    <xf numFmtId="0" fontId="20" fillId="0" borderId="84" xfId="0" applyFont="1" applyBorder="1"/>
    <xf numFmtId="0" fontId="20" fillId="0" borderId="85" xfId="0" applyFont="1" applyBorder="1"/>
    <xf numFmtId="0" fontId="20" fillId="0" borderId="76" xfId="0" applyFont="1" applyBorder="1"/>
    <xf numFmtId="0" fontId="20" fillId="0" borderId="116" xfId="0" applyFont="1" applyBorder="1" applyAlignment="1">
      <alignment vertical="center"/>
    </xf>
    <xf numFmtId="3" fontId="20" fillId="0" borderId="116" xfId="0" applyNumberFormat="1" applyFont="1" applyBorder="1" applyAlignment="1">
      <alignment vertical="center"/>
    </xf>
    <xf numFmtId="0" fontId="20" fillId="0" borderId="118" xfId="0" applyFont="1" applyBorder="1" applyAlignment="1">
      <alignment vertical="center"/>
    </xf>
    <xf numFmtId="0" fontId="20" fillId="0" borderId="85" xfId="0" applyFont="1" applyBorder="1" applyAlignment="1">
      <alignment vertical="center"/>
    </xf>
    <xf numFmtId="0" fontId="20" fillId="0" borderId="115" xfId="0" applyFont="1" applyBorder="1" applyAlignment="1">
      <alignment vertical="center"/>
    </xf>
    <xf numFmtId="0" fontId="85" fillId="0" borderId="115" xfId="0" applyFont="1" applyBorder="1"/>
    <xf numFmtId="0" fontId="85" fillId="0" borderId="118" xfId="0" applyFont="1" applyBorder="1"/>
    <xf numFmtId="3" fontId="20" fillId="0" borderId="115" xfId="0" applyNumberFormat="1" applyFont="1" applyBorder="1" applyAlignment="1">
      <alignment vertical="center"/>
    </xf>
    <xf numFmtId="3" fontId="20" fillId="0" borderId="118" xfId="0" applyNumberFormat="1" applyFont="1" applyBorder="1" applyAlignment="1">
      <alignment vertical="center"/>
    </xf>
    <xf numFmtId="0" fontId="84" fillId="0" borderId="0" xfId="0" applyFont="1" applyAlignment="1">
      <alignment horizontal="justify"/>
    </xf>
    <xf numFmtId="3" fontId="0" fillId="0" borderId="75" xfId="0" applyNumberFormat="1" applyBorder="1" applyAlignment="1">
      <alignment horizontal="right"/>
    </xf>
    <xf numFmtId="3" fontId="0" fillId="0" borderId="77" xfId="0" applyNumberFormat="1" applyBorder="1" applyAlignment="1">
      <alignment horizontal="right"/>
    </xf>
    <xf numFmtId="3" fontId="20" fillId="0" borderId="75" xfId="0" applyNumberFormat="1" applyFont="1" applyBorder="1" applyAlignment="1">
      <alignment horizontal="right"/>
    </xf>
    <xf numFmtId="3" fontId="20" fillId="0" borderId="77" xfId="0" applyNumberFormat="1" applyFont="1" applyBorder="1" applyAlignment="1">
      <alignment horizontal="right"/>
    </xf>
    <xf numFmtId="0" fontId="20" fillId="0" borderId="75" xfId="0" applyNumberFormat="1" applyFont="1" applyBorder="1" applyAlignment="1">
      <alignment horizontal="right"/>
    </xf>
    <xf numFmtId="0" fontId="20" fillId="0" borderId="77" xfId="0" applyNumberFormat="1" applyFont="1" applyBorder="1" applyAlignment="1">
      <alignment horizontal="right"/>
    </xf>
    <xf numFmtId="0" fontId="19" fillId="0" borderId="1" xfId="0" applyNumberFormat="1" applyFont="1" applyBorder="1" applyAlignment="1">
      <alignment horizontal="centerContinuous" vertical="center" wrapText="1"/>
    </xf>
    <xf numFmtId="3" fontId="20" fillId="0" borderId="115" xfId="0" applyNumberFormat="1" applyFont="1" applyBorder="1" applyAlignment="1">
      <alignment horizontal="right"/>
    </xf>
    <xf numFmtId="3" fontId="20" fillId="0" borderId="118" xfId="0" applyNumberFormat="1" applyFont="1" applyBorder="1" applyAlignment="1">
      <alignment horizontal="right"/>
    </xf>
    <xf numFmtId="0" fontId="19" fillId="0" borderId="10" xfId="0" applyFont="1" applyBorder="1" applyAlignment="1">
      <alignment horizontal="center" vertical="center" wrapText="1"/>
    </xf>
    <xf numFmtId="0" fontId="19" fillId="0" borderId="1" xfId="0" applyFont="1" applyBorder="1" applyAlignment="1">
      <alignment horizontal="center" vertical="center" wrapText="1"/>
    </xf>
    <xf numFmtId="0" fontId="19" fillId="0" borderId="9" xfId="0" applyFont="1" applyBorder="1" applyAlignment="1">
      <alignment horizontal="center" vertical="center" wrapText="1"/>
    </xf>
    <xf numFmtId="0" fontId="19" fillId="0" borderId="2" xfId="0" applyFont="1" applyBorder="1" applyAlignment="1">
      <alignment horizontal="center" vertical="center" wrapText="1"/>
    </xf>
    <xf numFmtId="0" fontId="19" fillId="0" borderId="15" xfId="0" applyFont="1" applyBorder="1" applyAlignment="1">
      <alignment horizontal="center" vertical="center" wrapText="1"/>
    </xf>
    <xf numFmtId="0" fontId="10" fillId="0" borderId="0" xfId="0" applyFont="1" applyAlignment="1">
      <alignment horizontal="left"/>
    </xf>
    <xf numFmtId="3" fontId="20" fillId="0" borderId="0" xfId="0" applyNumberFormat="1" applyFont="1" applyBorder="1"/>
    <xf numFmtId="3" fontId="20" fillId="0" borderId="119" xfId="0" applyNumberFormat="1" applyFont="1" applyBorder="1"/>
    <xf numFmtId="0" fontId="20" fillId="0" borderId="99" xfId="0" applyFont="1" applyBorder="1"/>
    <xf numFmtId="0" fontId="19" fillId="0" borderId="142" xfId="0" applyFont="1" applyBorder="1" applyAlignment="1">
      <alignment horizontal="center" vertical="center" wrapText="1"/>
    </xf>
    <xf numFmtId="0" fontId="21" fillId="0" borderId="0" xfId="0" applyFont="1" applyBorder="1" applyAlignment="1">
      <alignment vertical="center" wrapText="1"/>
    </xf>
    <xf numFmtId="0" fontId="19" fillId="0" borderId="143" xfId="0" applyFont="1" applyBorder="1" applyAlignment="1">
      <alignment horizontal="center" vertical="center" wrapText="1"/>
    </xf>
    <xf numFmtId="0" fontId="19" fillId="0" borderId="144" xfId="0" applyFont="1" applyBorder="1" applyAlignment="1">
      <alignment horizontal="center" vertical="center" wrapText="1"/>
    </xf>
    <xf numFmtId="0" fontId="20" fillId="7" borderId="75" xfId="0" applyFont="1" applyFill="1" applyBorder="1"/>
    <xf numFmtId="0" fontId="20" fillId="7" borderId="77" xfId="0" applyFont="1" applyFill="1" applyBorder="1"/>
    <xf numFmtId="3" fontId="20" fillId="0" borderId="84" xfId="0" applyNumberFormat="1" applyFont="1" applyBorder="1" applyAlignment="1">
      <alignment vertical="center"/>
    </xf>
    <xf numFmtId="0" fontId="19" fillId="0" borderId="0" xfId="0" applyFont="1" applyBorder="1" applyAlignment="1">
      <alignment horizontal="left" vertical="center" wrapText="1"/>
    </xf>
    <xf numFmtId="0" fontId="20" fillId="0" borderId="0" xfId="0" applyFont="1" applyBorder="1" applyAlignment="1">
      <alignment horizontal="center" vertical="center" wrapText="1"/>
    </xf>
    <xf numFmtId="3" fontId="20" fillId="0" borderId="0" xfId="0" applyNumberFormat="1" applyFont="1"/>
    <xf numFmtId="0" fontId="19" fillId="0" borderId="75" xfId="0" applyFont="1" applyBorder="1"/>
    <xf numFmtId="0" fontId="25" fillId="6" borderId="90" xfId="8" applyFont="1" applyFill="1" applyBorder="1"/>
    <xf numFmtId="0" fontId="25" fillId="6" borderId="91" xfId="8" applyFont="1" applyFill="1" applyBorder="1"/>
    <xf numFmtId="0" fontId="24" fillId="6" borderId="91" xfId="8" applyFont="1" applyFill="1" applyBorder="1"/>
    <xf numFmtId="0" fontId="24" fillId="6" borderId="17" xfId="8" applyFont="1" applyFill="1" applyBorder="1"/>
    <xf numFmtId="0" fontId="24" fillId="0" borderId="0" xfId="8" applyFont="1"/>
    <xf numFmtId="0" fontId="86" fillId="3" borderId="92" xfId="8" applyFont="1" applyFill="1" applyBorder="1"/>
    <xf numFmtId="0" fontId="24" fillId="3" borderId="93" xfId="8" applyFont="1" applyFill="1" applyBorder="1"/>
    <xf numFmtId="0" fontId="24" fillId="3" borderId="94" xfId="8" applyFont="1" applyFill="1" applyBorder="1"/>
    <xf numFmtId="0" fontId="24" fillId="0" borderId="0" xfId="8" applyFont="1" applyFill="1"/>
    <xf numFmtId="0" fontId="24" fillId="6" borderId="133" xfId="8" applyFont="1" applyFill="1" applyBorder="1"/>
    <xf numFmtId="0" fontId="28" fillId="0" borderId="132" xfId="8" applyFont="1" applyFill="1" applyBorder="1" applyAlignment="1" applyProtection="1">
      <alignment horizontal="left" vertical="top"/>
      <protection locked="0"/>
    </xf>
    <xf numFmtId="0" fontId="24" fillId="0" borderId="29" xfId="8" applyFont="1" applyFill="1" applyBorder="1"/>
    <xf numFmtId="0" fontId="24" fillId="3" borderId="95" xfId="8" applyFont="1" applyFill="1" applyBorder="1"/>
    <xf numFmtId="0" fontId="24" fillId="3" borderId="0" xfId="8" applyFont="1" applyFill="1" applyBorder="1"/>
    <xf numFmtId="0" fontId="24" fillId="3" borderId="29" xfId="8" applyFont="1" applyFill="1" applyBorder="1"/>
    <xf numFmtId="0" fontId="25" fillId="6" borderId="131" xfId="8" applyFont="1" applyFill="1" applyBorder="1"/>
    <xf numFmtId="0" fontId="25" fillId="6" borderId="123" xfId="8" applyFont="1" applyFill="1" applyBorder="1" applyAlignment="1">
      <alignment horizontal="center"/>
    </xf>
    <xf numFmtId="0" fontId="25" fillId="6" borderId="128" xfId="10" applyFont="1" applyFill="1" applyBorder="1" applyAlignment="1">
      <alignment horizontal="left" vertical="top"/>
    </xf>
    <xf numFmtId="0" fontId="24" fillId="6" borderId="94" xfId="8" applyFont="1" applyFill="1" applyBorder="1"/>
    <xf numFmtId="0" fontId="25" fillId="3" borderId="63" xfId="8" applyFont="1" applyFill="1" applyBorder="1"/>
    <xf numFmtId="0" fontId="25" fillId="0" borderId="128" xfId="10" applyFont="1" applyFill="1" applyBorder="1" applyAlignment="1" applyProtection="1">
      <alignment horizontal="center" vertical="top"/>
      <protection locked="0"/>
    </xf>
    <xf numFmtId="0" fontId="89" fillId="0" borderId="0" xfId="9" applyFont="1" applyFill="1" applyBorder="1" applyAlignment="1" applyProtection="1">
      <alignment vertical="center"/>
      <protection hidden="1"/>
    </xf>
    <xf numFmtId="0" fontId="24" fillId="0" borderId="0" xfId="8" applyFont="1" applyFill="1" applyBorder="1"/>
    <xf numFmtId="0" fontId="25" fillId="3" borderId="66" xfId="8" applyFont="1" applyFill="1" applyBorder="1"/>
    <xf numFmtId="173" fontId="24" fillId="3" borderId="67" xfId="8" quotePrefix="1" applyNumberFormat="1" applyFont="1" applyFill="1" applyBorder="1" applyAlignment="1">
      <alignment horizontal="center"/>
    </xf>
    <xf numFmtId="0" fontId="25" fillId="0" borderId="130" xfId="10" applyFont="1" applyFill="1" applyBorder="1" applyAlignment="1" applyProtection="1">
      <alignment horizontal="center" vertical="top"/>
      <protection locked="0"/>
    </xf>
    <xf numFmtId="0" fontId="24" fillId="3" borderId="74" xfId="8" quotePrefix="1" applyFont="1" applyFill="1" applyBorder="1" applyAlignment="1">
      <alignment horizontal="center"/>
    </xf>
    <xf numFmtId="0" fontId="25" fillId="3" borderId="129" xfId="8" applyFont="1" applyFill="1" applyBorder="1" applyAlignment="1" applyProtection="1">
      <alignment horizontal="center" vertical="center"/>
      <protection locked="0"/>
    </xf>
    <xf numFmtId="0" fontId="25" fillId="3" borderId="124" xfId="8" applyFont="1" applyFill="1" applyBorder="1"/>
    <xf numFmtId="0" fontId="24" fillId="3" borderId="0" xfId="8" applyFont="1" applyFill="1"/>
    <xf numFmtId="0" fontId="25" fillId="3" borderId="43" xfId="8" applyFont="1" applyFill="1" applyBorder="1"/>
    <xf numFmtId="0" fontId="24" fillId="3" borderId="54" xfId="8" applyNumberFormat="1" applyFont="1" applyFill="1" applyBorder="1" applyAlignment="1">
      <alignment horizontal="center"/>
    </xf>
    <xf numFmtId="0" fontId="24" fillId="3" borderId="54" xfId="8" quotePrefix="1" applyNumberFormat="1" applyFont="1" applyFill="1" applyBorder="1" applyAlignment="1">
      <alignment horizontal="center"/>
    </xf>
    <xf numFmtId="0" fontId="24" fillId="0" borderId="0" xfId="8" applyFont="1" applyAlignment="1">
      <alignment horizontal="center"/>
    </xf>
    <xf numFmtId="16" fontId="24" fillId="3" borderId="0" xfId="8" applyNumberFormat="1" applyFont="1" applyFill="1" applyBorder="1" applyAlignment="1">
      <alignment horizontal="center"/>
    </xf>
    <xf numFmtId="0" fontId="25" fillId="3" borderId="72" xfId="8" applyFont="1" applyFill="1" applyBorder="1"/>
    <xf numFmtId="0" fontId="24" fillId="3" borderId="0" xfId="8" quotePrefix="1" applyFont="1" applyFill="1" applyBorder="1" applyAlignment="1">
      <alignment horizontal="center"/>
    </xf>
    <xf numFmtId="0" fontId="24" fillId="3" borderId="0" xfId="8" applyFont="1" applyFill="1" applyBorder="1" applyAlignment="1">
      <alignment horizontal="right"/>
    </xf>
    <xf numFmtId="0" fontId="25" fillId="6" borderId="124" xfId="8" applyFont="1" applyFill="1" applyBorder="1"/>
    <xf numFmtId="0" fontId="25" fillId="6" borderId="127" xfId="8" quotePrefix="1" applyFont="1" applyFill="1" applyBorder="1" applyAlignment="1">
      <alignment horizontal="center"/>
    </xf>
    <xf numFmtId="0" fontId="24" fillId="0" borderId="110" xfId="10" applyFont="1" applyFill="1" applyBorder="1" applyAlignment="1">
      <alignment horizontal="left" vertical="center"/>
    </xf>
    <xf numFmtId="0" fontId="25" fillId="3" borderId="125" xfId="8" applyFont="1" applyFill="1" applyBorder="1" applyAlignment="1" applyProtection="1">
      <alignment horizontal="center" vertical="center"/>
      <protection locked="0"/>
    </xf>
    <xf numFmtId="0" fontId="24" fillId="0" borderId="107" xfId="10" applyFont="1" applyFill="1" applyBorder="1" applyAlignment="1">
      <alignment horizontal="left" vertical="center"/>
    </xf>
    <xf numFmtId="173" fontId="24" fillId="3" borderId="67" xfId="8" quotePrefix="1" applyNumberFormat="1" applyFont="1" applyFill="1" applyBorder="1" applyAlignment="1" applyProtection="1">
      <alignment horizontal="center"/>
    </xf>
    <xf numFmtId="0" fontId="24" fillId="6" borderId="17" xfId="8" applyFont="1" applyFill="1" applyBorder="1" applyProtection="1">
      <protection locked="0"/>
    </xf>
    <xf numFmtId="0" fontId="25" fillId="3" borderId="95" xfId="8" applyFont="1" applyFill="1" applyBorder="1"/>
    <xf numFmtId="0" fontId="24" fillId="7" borderId="123" xfId="8" applyFont="1" applyFill="1" applyBorder="1" applyAlignment="1" applyProtection="1">
      <alignment horizontal="center" vertical="center"/>
      <protection locked="0"/>
    </xf>
    <xf numFmtId="0" fontId="25" fillId="6" borderId="122" xfId="10" applyFont="1" applyFill="1" applyBorder="1" applyAlignment="1">
      <alignment vertical="center"/>
    </xf>
    <xf numFmtId="14" fontId="24" fillId="7" borderId="65" xfId="8" applyNumberFormat="1" applyFont="1" applyFill="1" applyBorder="1" applyAlignment="1" applyProtection="1">
      <alignment horizontal="center"/>
      <protection locked="0"/>
    </xf>
    <xf numFmtId="0" fontId="24" fillId="0" borderId="0" xfId="8" applyFont="1" applyBorder="1"/>
    <xf numFmtId="0" fontId="25" fillId="6" borderId="121" xfId="10" applyFont="1" applyFill="1" applyBorder="1" applyAlignment="1">
      <alignment vertical="center"/>
    </xf>
    <xf numFmtId="14" fontId="24" fillId="7" borderId="74" xfId="8" applyNumberFormat="1" applyFont="1" applyFill="1" applyBorder="1" applyAlignment="1" applyProtection="1">
      <alignment horizontal="center"/>
      <protection locked="0"/>
    </xf>
    <xf numFmtId="0" fontId="25" fillId="6" borderId="122" xfId="10" applyFont="1" applyFill="1" applyBorder="1" applyAlignment="1"/>
    <xf numFmtId="0" fontId="24" fillId="6" borderId="113" xfId="10" applyFont="1" applyFill="1" applyBorder="1" applyAlignment="1"/>
    <xf numFmtId="0" fontId="24" fillId="3" borderId="0" xfId="8" applyFont="1" applyFill="1" applyBorder="1" applyAlignment="1"/>
    <xf numFmtId="0" fontId="24" fillId="3" borderId="95" xfId="10" applyFont="1" applyFill="1" applyBorder="1" applyAlignment="1"/>
    <xf numFmtId="0" fontId="24" fillId="3" borderId="0" xfId="10" applyFont="1" applyFill="1" applyBorder="1" applyAlignment="1"/>
    <xf numFmtId="0" fontId="24" fillId="3" borderId="29" xfId="8" applyFont="1" applyFill="1" applyBorder="1" applyAlignment="1"/>
    <xf numFmtId="0" fontId="25" fillId="6" borderId="92" xfId="10" applyFont="1" applyFill="1" applyBorder="1" applyAlignment="1">
      <alignment vertical="center"/>
    </xf>
    <xf numFmtId="0" fontId="25" fillId="6" borderId="101" xfId="10" applyFont="1" applyFill="1" applyBorder="1" applyAlignment="1">
      <alignment vertical="top"/>
    </xf>
    <xf numFmtId="0" fontId="24" fillId="6" borderId="88" xfId="10" applyFont="1" applyFill="1" applyBorder="1" applyAlignment="1">
      <alignment vertical="top"/>
    </xf>
    <xf numFmtId="0" fontId="24" fillId="7" borderId="67" xfId="8" applyFont="1" applyFill="1" applyBorder="1" applyAlignment="1" applyProtection="1">
      <alignment horizontal="right"/>
      <protection locked="0"/>
    </xf>
    <xf numFmtId="0" fontId="25" fillId="6" borderId="95" xfId="10" applyFont="1" applyFill="1" applyBorder="1" applyAlignment="1">
      <alignment vertical="center"/>
    </xf>
    <xf numFmtId="0" fontId="24" fillId="6" borderId="29" xfId="8" applyFont="1" applyFill="1" applyBorder="1"/>
    <xf numFmtId="0" fontId="24" fillId="3" borderId="121" xfId="8" applyFont="1" applyFill="1" applyBorder="1" applyAlignment="1">
      <alignment vertical="center"/>
    </xf>
    <xf numFmtId="0" fontId="24" fillId="3" borderId="74" xfId="8" applyFont="1" applyFill="1" applyBorder="1" applyAlignment="1" applyProtection="1">
      <alignment horizontal="center"/>
      <protection locked="0"/>
    </xf>
    <xf numFmtId="0" fontId="24" fillId="6" borderId="88" xfId="8" applyFont="1" applyFill="1" applyBorder="1"/>
    <xf numFmtId="49" fontId="24" fillId="7" borderId="67" xfId="8" applyNumberFormat="1" applyFont="1" applyFill="1" applyBorder="1" applyAlignment="1" applyProtection="1">
      <alignment horizontal="center"/>
      <protection locked="0"/>
    </xf>
    <xf numFmtId="0" fontId="24" fillId="3" borderId="0" xfId="8" applyFont="1" applyFill="1" applyBorder="1" applyAlignment="1">
      <alignment vertical="center"/>
    </xf>
    <xf numFmtId="0" fontId="24" fillId="3" borderId="0" xfId="10" applyFont="1" applyFill="1" applyBorder="1" applyAlignment="1">
      <alignment vertical="top"/>
    </xf>
    <xf numFmtId="0" fontId="25" fillId="6" borderId="121" xfId="8" applyFont="1" applyFill="1" applyBorder="1" applyAlignment="1">
      <alignment vertical="center"/>
    </xf>
    <xf numFmtId="0" fontId="24" fillId="6" borderId="109" xfId="8" applyFont="1" applyFill="1" applyBorder="1"/>
    <xf numFmtId="0" fontId="24" fillId="7" borderId="74" xfId="8" applyFont="1" applyFill="1" applyBorder="1" applyAlignment="1" applyProtection="1">
      <alignment horizontal="center"/>
      <protection locked="0"/>
    </xf>
    <xf numFmtId="0" fontId="25" fillId="6" borderId="122" xfId="10" applyFont="1" applyFill="1" applyBorder="1" applyAlignment="1">
      <alignment vertical="top"/>
    </xf>
    <xf numFmtId="0" fontId="24" fillId="6" borderId="113" xfId="8" applyFont="1" applyFill="1" applyBorder="1"/>
    <xf numFmtId="0" fontId="24" fillId="7" borderId="65" xfId="8" quotePrefix="1" applyFont="1" applyFill="1" applyBorder="1" applyAlignment="1" applyProtection="1">
      <alignment horizontal="center"/>
      <protection locked="0"/>
    </xf>
    <xf numFmtId="0" fontId="24" fillId="3" borderId="0" xfId="8" quotePrefix="1" applyFont="1" applyFill="1" applyBorder="1" applyAlignment="1">
      <alignment horizontal="right"/>
    </xf>
    <xf numFmtId="0" fontId="25" fillId="6" borderId="101" xfId="10" applyFont="1" applyFill="1" applyBorder="1" applyAlignment="1">
      <alignment vertical="center"/>
    </xf>
    <xf numFmtId="0" fontId="24" fillId="7" borderId="67" xfId="8" quotePrefix="1" applyFont="1" applyFill="1" applyBorder="1" applyAlignment="1" applyProtection="1">
      <alignment horizontal="center"/>
      <protection locked="0"/>
    </xf>
    <xf numFmtId="0" fontId="25" fillId="3" borderId="96" xfId="8" applyFont="1" applyFill="1" applyBorder="1"/>
    <xf numFmtId="0" fontId="24" fillId="3" borderId="97" xfId="10" applyFont="1" applyFill="1" applyBorder="1" applyAlignment="1">
      <alignment vertical="center"/>
    </xf>
    <xf numFmtId="0" fontId="24" fillId="3" borderId="13" xfId="8" applyFont="1" applyFill="1" applyBorder="1"/>
    <xf numFmtId="0" fontId="25" fillId="6" borderId="96" xfId="10" applyFont="1" applyFill="1" applyBorder="1" applyAlignment="1">
      <alignment vertical="center"/>
    </xf>
    <xf numFmtId="0" fontId="24" fillId="6" borderId="97" xfId="8" applyFont="1" applyFill="1" applyBorder="1"/>
    <xf numFmtId="0" fontId="24" fillId="7" borderId="58" xfId="8" applyFont="1" applyFill="1" applyBorder="1" applyAlignment="1" applyProtection="1">
      <alignment horizontal="center"/>
      <protection locked="0"/>
    </xf>
    <xf numFmtId="0" fontId="24" fillId="3" borderId="0" xfId="10" applyFont="1" applyFill="1" applyBorder="1" applyAlignment="1">
      <alignment vertical="center"/>
    </xf>
    <xf numFmtId="0" fontId="25" fillId="6" borderId="90" xfId="10" applyFont="1" applyFill="1" applyBorder="1" applyAlignment="1">
      <alignment vertical="center"/>
    </xf>
    <xf numFmtId="0" fontId="24" fillId="3" borderId="97" xfId="8" applyFont="1" applyFill="1" applyBorder="1"/>
    <xf numFmtId="0" fontId="19" fillId="0" borderId="10" xfId="0" applyFont="1" applyBorder="1" applyAlignment="1">
      <alignment horizontal="center" vertical="center" wrapText="1"/>
    </xf>
    <xf numFmtId="0" fontId="19" fillId="0" borderId="1" xfId="0" applyFont="1" applyBorder="1" applyAlignment="1">
      <alignment horizontal="center" vertical="center" wrapText="1"/>
    </xf>
    <xf numFmtId="0" fontId="19" fillId="0" borderId="2" xfId="0" applyFont="1" applyBorder="1" applyAlignment="1">
      <alignment horizontal="center" vertical="center" wrapText="1"/>
    </xf>
    <xf numFmtId="0" fontId="12" fillId="0" borderId="0" xfId="0" applyFont="1" applyAlignment="1">
      <alignment horizontal="justify" vertical="top" wrapText="1"/>
    </xf>
    <xf numFmtId="0" fontId="81" fillId="0" borderId="0" xfId="0" applyFont="1" applyAlignment="1">
      <alignment horizontal="justify" vertical="top"/>
    </xf>
    <xf numFmtId="0" fontId="10" fillId="0" borderId="0" xfId="0" applyFont="1" applyAlignment="1">
      <alignment horizontal="left" vertical="top"/>
    </xf>
    <xf numFmtId="0" fontId="20" fillId="0" borderId="0" xfId="0" applyFont="1" applyAlignment="1">
      <alignment vertical="top"/>
    </xf>
    <xf numFmtId="0" fontId="20" fillId="0" borderId="97" xfId="0" applyFont="1" applyBorder="1"/>
    <xf numFmtId="0" fontId="19" fillId="0" borderId="97" xfId="0" applyFont="1" applyBorder="1" applyAlignment="1">
      <alignment horizontal="left"/>
    </xf>
    <xf numFmtId="0" fontId="20" fillId="0" borderId="105" xfId="0" applyFont="1" applyBorder="1" applyAlignment="1">
      <alignment horizontal="center"/>
    </xf>
    <xf numFmtId="0" fontId="81" fillId="0" borderId="0" xfId="0" applyFont="1" applyFill="1"/>
    <xf numFmtId="0" fontId="8" fillId="0" borderId="0" xfId="0" applyFont="1"/>
    <xf numFmtId="0" fontId="81" fillId="0" borderId="77" xfId="0" applyFont="1" applyBorder="1"/>
    <xf numFmtId="0" fontId="81" fillId="0" borderId="75" xfId="0" applyFont="1" applyBorder="1"/>
    <xf numFmtId="0" fontId="81" fillId="0" borderId="84" xfId="0" applyFont="1" applyBorder="1"/>
    <xf numFmtId="0" fontId="81" fillId="0" borderId="99" xfId="0" applyFont="1" applyBorder="1"/>
    <xf numFmtId="0" fontId="81" fillId="0" borderId="85" xfId="0" applyFont="1" applyBorder="1"/>
    <xf numFmtId="0" fontId="8" fillId="0" borderId="0" xfId="0" applyFont="1" applyAlignment="1">
      <alignment horizontal="justify" vertical="top" wrapText="1"/>
    </xf>
    <xf numFmtId="0" fontId="81" fillId="0" borderId="115" xfId="0" applyFont="1" applyBorder="1"/>
    <xf numFmtId="0" fontId="81" fillId="0" borderId="119" xfId="0" applyFont="1" applyBorder="1"/>
    <xf numFmtId="0" fontId="81" fillId="0" borderId="118" xfId="0" applyFont="1" applyBorder="1"/>
    <xf numFmtId="0" fontId="20" fillId="0" borderId="0" xfId="0" applyFont="1" applyFill="1" applyAlignment="1">
      <alignment horizontal="center"/>
    </xf>
    <xf numFmtId="0" fontId="12" fillId="0" borderId="0" xfId="0" applyFont="1" applyFill="1" applyAlignment="1">
      <alignment horizontal="justify" vertical="top" wrapText="1"/>
    </xf>
    <xf numFmtId="0" fontId="20" fillId="0" borderId="0" xfId="0" applyFont="1" applyFill="1"/>
    <xf numFmtId="49" fontId="24" fillId="7" borderId="123" xfId="8" applyNumberFormat="1" applyFont="1" applyFill="1" applyBorder="1" applyAlignment="1" applyProtection="1">
      <alignment horizontal="center" vertical="center"/>
    </xf>
    <xf numFmtId="49" fontId="24" fillId="0" borderId="0" xfId="8" applyNumberFormat="1" applyFont="1"/>
    <xf numFmtId="3" fontId="20" fillId="7" borderId="84" xfId="0" applyNumberFormat="1" applyFont="1" applyFill="1" applyBorder="1"/>
    <xf numFmtId="3" fontId="20" fillId="7" borderId="85" xfId="0" applyNumberFormat="1" applyFont="1" applyFill="1" applyBorder="1"/>
    <xf numFmtId="174" fontId="24" fillId="7" borderId="65" xfId="8" applyNumberFormat="1" applyFont="1" applyFill="1" applyBorder="1" applyAlignment="1" applyProtection="1">
      <alignment horizontal="center"/>
      <protection locked="0"/>
    </xf>
    <xf numFmtId="171" fontId="72" fillId="0" borderId="87" xfId="8" applyNumberFormat="1" applyFont="1" applyFill="1" applyBorder="1" applyAlignment="1">
      <alignment horizontal="right" vertical="center"/>
    </xf>
    <xf numFmtId="0" fontId="74" fillId="0" borderId="87" xfId="8" applyFont="1" applyFill="1" applyBorder="1" applyAlignment="1">
      <alignment horizontal="center" vertical="center" wrapText="1"/>
    </xf>
    <xf numFmtId="0" fontId="75" fillId="0" borderId="70" xfId="8" applyFont="1" applyFill="1" applyBorder="1" applyAlignment="1">
      <alignment horizontal="center" vertical="center" wrapText="1"/>
    </xf>
    <xf numFmtId="0" fontId="75" fillId="0" borderId="66" xfId="8" applyFont="1" applyFill="1" applyBorder="1" applyAlignment="1">
      <alignment horizontal="center" vertical="center" wrapText="1"/>
    </xf>
    <xf numFmtId="0" fontId="73" fillId="0" borderId="66" xfId="8" applyFont="1" applyFill="1" applyBorder="1" applyAlignment="1">
      <alignment horizontal="right" vertical="top" wrapText="1"/>
    </xf>
    <xf numFmtId="49" fontId="73" fillId="0" borderId="71" xfId="8" applyNumberFormat="1" applyFont="1" applyFill="1" applyBorder="1" applyAlignment="1">
      <alignment horizontal="center" vertical="top"/>
    </xf>
    <xf numFmtId="49" fontId="73" fillId="0" borderId="43" xfId="8" applyNumberFormat="1" applyFont="1" applyFill="1" applyBorder="1" applyAlignment="1">
      <alignment horizontal="center" vertical="top"/>
    </xf>
    <xf numFmtId="0" fontId="74" fillId="0" borderId="43" xfId="8" applyFont="1" applyFill="1" applyBorder="1" applyAlignment="1">
      <alignment horizontal="center" vertical="center" wrapText="1"/>
    </xf>
    <xf numFmtId="0" fontId="75" fillId="0" borderId="71" xfId="8" applyFont="1" applyFill="1" applyBorder="1" applyAlignment="1">
      <alignment horizontal="center" vertical="center" wrapText="1"/>
    </xf>
    <xf numFmtId="0" fontId="75" fillId="0" borderId="43" xfId="8" applyFont="1" applyFill="1" applyBorder="1" applyAlignment="1">
      <alignment horizontal="center" vertical="center" wrapText="1"/>
    </xf>
    <xf numFmtId="171" fontId="72" fillId="0" borderId="43" xfId="8" applyNumberFormat="1" applyFont="1" applyFill="1" applyBorder="1" applyAlignment="1">
      <alignment horizontal="right" vertical="center"/>
    </xf>
    <xf numFmtId="0" fontId="73" fillId="0" borderId="66" xfId="8" applyFont="1" applyFill="1" applyBorder="1" applyAlignment="1">
      <alignment horizontal="left" vertical="top" wrapText="1"/>
    </xf>
    <xf numFmtId="49" fontId="74" fillId="0" borderId="43" xfId="8" applyNumberFormat="1" applyFont="1" applyFill="1" applyBorder="1" applyAlignment="1">
      <alignment horizontal="center" vertical="top"/>
    </xf>
    <xf numFmtId="0" fontId="74" fillId="0" borderId="66" xfId="8" applyFont="1" applyFill="1" applyBorder="1" applyAlignment="1">
      <alignment horizontal="left" vertical="top" wrapText="1"/>
    </xf>
    <xf numFmtId="0" fontId="73" fillId="0" borderId="66" xfId="8" quotePrefix="1" applyFont="1" applyFill="1" applyBorder="1" applyAlignment="1">
      <alignment horizontal="left" vertical="top" wrapText="1"/>
    </xf>
    <xf numFmtId="0" fontId="74" fillId="0" borderId="66" xfId="8" quotePrefix="1" applyFont="1" applyFill="1" applyBorder="1" applyAlignment="1">
      <alignment horizontal="left" vertical="top" wrapText="1"/>
    </xf>
    <xf numFmtId="49" fontId="74" fillId="0" borderId="71" xfId="8" applyNumberFormat="1" applyFont="1" applyFill="1" applyBorder="1" applyAlignment="1">
      <alignment horizontal="center" vertical="top"/>
    </xf>
    <xf numFmtId="171" fontId="72" fillId="0" borderId="87" xfId="8" applyNumberFormat="1" applyFont="1" applyFill="1" applyBorder="1" applyAlignment="1">
      <alignment horizontal="right" vertical="center"/>
    </xf>
    <xf numFmtId="171" fontId="72" fillId="0" borderId="43" xfId="8" applyNumberFormat="1" applyFont="1" applyFill="1" applyBorder="1" applyAlignment="1">
      <alignment horizontal="right" vertical="center"/>
    </xf>
    <xf numFmtId="49" fontId="73" fillId="0" borderId="43" xfId="8" applyNumberFormat="1" applyFont="1" applyFill="1" applyBorder="1" applyAlignment="1">
      <alignment horizontal="center" vertical="top"/>
    </xf>
    <xf numFmtId="0" fontId="73" fillId="0" borderId="66" xfId="8" applyFont="1" applyFill="1" applyBorder="1" applyAlignment="1">
      <alignment horizontal="right" vertical="top" wrapText="1"/>
    </xf>
    <xf numFmtId="0" fontId="74" fillId="0" borderId="66" xfId="8" applyFont="1" applyFill="1" applyBorder="1" applyAlignment="1">
      <alignment horizontal="left" vertical="top" wrapText="1"/>
    </xf>
    <xf numFmtId="49" fontId="74" fillId="0" borderId="43" xfId="8" applyNumberFormat="1" applyFont="1" applyFill="1" applyBorder="1" applyAlignment="1">
      <alignment horizontal="center" vertical="top"/>
    </xf>
    <xf numFmtId="0" fontId="74" fillId="0" borderId="66" xfId="8" quotePrefix="1" applyFont="1" applyFill="1" applyBorder="1" applyAlignment="1">
      <alignment horizontal="left" vertical="top" wrapText="1"/>
    </xf>
    <xf numFmtId="0" fontId="73" fillId="0" borderId="66" xfId="8" applyFont="1" applyFill="1" applyBorder="1" applyAlignment="1">
      <alignment horizontal="left" vertical="top" wrapText="1"/>
    </xf>
    <xf numFmtId="0" fontId="56" fillId="0" borderId="0" xfId="8" applyFont="1" applyFill="1" applyAlignment="1">
      <alignment horizontal="left" vertical="center"/>
    </xf>
    <xf numFmtId="0" fontId="27" fillId="0" borderId="0" xfId="8" applyFill="1" applyAlignment="1">
      <alignment vertical="center"/>
    </xf>
    <xf numFmtId="0" fontId="27" fillId="0" borderId="90" xfId="8" applyFont="1" applyFill="1" applyBorder="1" applyAlignment="1">
      <alignment horizontal="left" vertical="center"/>
    </xf>
    <xf numFmtId="0" fontId="57" fillId="0" borderId="91" xfId="8" applyFont="1" applyFill="1" applyBorder="1" applyAlignment="1">
      <alignment horizontal="left" vertical="center"/>
    </xf>
    <xf numFmtId="0" fontId="27" fillId="0" borderId="17" xfId="8" applyFont="1" applyFill="1" applyBorder="1" applyAlignment="1">
      <alignment horizontal="left" vertical="center"/>
    </xf>
    <xf numFmtId="0" fontId="57" fillId="0" borderId="17" xfId="8" applyFont="1" applyFill="1" applyBorder="1" applyAlignment="1">
      <alignment horizontal="left" vertical="center"/>
    </xf>
    <xf numFmtId="0" fontId="27" fillId="0" borderId="0" xfId="8" applyFill="1" applyBorder="1" applyAlignment="1">
      <alignment vertical="center"/>
    </xf>
    <xf numFmtId="0" fontId="57" fillId="0" borderId="91" xfId="8" applyFont="1" applyFill="1" applyBorder="1" applyAlignment="1">
      <alignment vertical="center"/>
    </xf>
    <xf numFmtId="0" fontId="63" fillId="0" borderId="84" xfId="8" applyFont="1" applyFill="1" applyBorder="1" applyAlignment="1">
      <alignment horizontal="left"/>
    </xf>
    <xf numFmtId="0" fontId="63" fillId="0" borderId="99" xfId="8" applyFont="1" applyFill="1" applyBorder="1" applyAlignment="1">
      <alignment horizontal="left" vertical="center"/>
    </xf>
    <xf numFmtId="0" fontId="60" fillId="0" borderId="99" xfId="8" applyFont="1" applyFill="1" applyBorder="1" applyAlignment="1">
      <alignment horizontal="left"/>
    </xf>
    <xf numFmtId="0" fontId="64" fillId="0" borderId="99" xfId="8" applyFont="1" applyFill="1" applyBorder="1" applyAlignment="1">
      <alignment horizontal="center" vertical="center"/>
    </xf>
    <xf numFmtId="0" fontId="63" fillId="0" borderId="100" xfId="8" applyFont="1" applyFill="1" applyBorder="1" applyAlignment="1">
      <alignment horizontal="left" vertical="center"/>
    </xf>
    <xf numFmtId="0" fontId="69" fillId="0" borderId="93" xfId="8" applyFont="1" applyFill="1" applyBorder="1" applyAlignment="1">
      <alignment horizontal="left" vertical="center"/>
    </xf>
    <xf numFmtId="0" fontId="59" fillId="0" borderId="0" xfId="8" applyFont="1" applyFill="1" applyBorder="1" applyAlignment="1">
      <alignment horizontal="center" vertical="center" wrapText="1"/>
    </xf>
    <xf numFmtId="0" fontId="60" fillId="0" borderId="99" xfId="8" applyFont="1" applyFill="1" applyBorder="1" applyAlignment="1">
      <alignment vertical="center" wrapText="1"/>
    </xf>
    <xf numFmtId="0" fontId="60" fillId="0" borderId="118" xfId="8" applyFont="1" applyFill="1" applyBorder="1" applyAlignment="1">
      <alignment vertical="center" wrapText="1"/>
    </xf>
    <xf numFmtId="0" fontId="90" fillId="0" borderId="0" xfId="8" applyFont="1" applyFill="1" applyBorder="1" applyAlignment="1">
      <alignment horizontal="center" vertical="center"/>
    </xf>
    <xf numFmtId="0" fontId="72" fillId="0" borderId="87" xfId="8" applyFont="1" applyFill="1" applyBorder="1" applyAlignment="1">
      <alignment horizontal="left" vertical="center"/>
    </xf>
    <xf numFmtId="0" fontId="72" fillId="0" borderId="120" xfId="8" applyFont="1" applyFill="1" applyBorder="1" applyAlignment="1">
      <alignment horizontal="right" vertical="center" wrapText="1"/>
    </xf>
    <xf numFmtId="0" fontId="72" fillId="0" borderId="114" xfId="8" applyFont="1" applyFill="1" applyBorder="1" applyAlignment="1">
      <alignment horizontal="right" vertical="center"/>
    </xf>
    <xf numFmtId="171" fontId="72" fillId="0" borderId="76" xfId="8" applyNumberFormat="1" applyFont="1" applyFill="1" applyBorder="1" applyAlignment="1">
      <alignment horizontal="right" vertical="center"/>
    </xf>
    <xf numFmtId="171" fontId="72" fillId="0" borderId="71" xfId="8" applyNumberFormat="1" applyFont="1" applyFill="1" applyBorder="1" applyAlignment="1">
      <alignment horizontal="right" vertical="center"/>
    </xf>
    <xf numFmtId="171" fontId="72" fillId="0" borderId="75" xfId="8" applyNumberFormat="1" applyFont="1" applyFill="1" applyBorder="1" applyAlignment="1">
      <alignment horizontal="right" vertical="center"/>
    </xf>
    <xf numFmtId="0" fontId="64" fillId="0" borderId="103" xfId="8" applyFont="1" applyFill="1" applyBorder="1" applyAlignment="1">
      <alignment horizontal="left" vertical="center"/>
    </xf>
    <xf numFmtId="0" fontId="63" fillId="0" borderId="103" xfId="8" applyFont="1" applyFill="1" applyBorder="1" applyAlignment="1">
      <alignment horizontal="left" vertical="center"/>
    </xf>
    <xf numFmtId="0" fontId="64" fillId="0" borderId="77" xfId="8" applyFont="1" applyFill="1" applyBorder="1" applyAlignment="1">
      <alignment horizontal="center" vertical="center"/>
    </xf>
    <xf numFmtId="0" fontId="64" fillId="0" borderId="75" xfId="8" applyFont="1" applyFill="1" applyBorder="1" applyAlignment="1">
      <alignment horizontal="left" vertical="center"/>
    </xf>
    <xf numFmtId="0" fontId="63" fillId="0" borderId="77" xfId="8" applyFont="1" applyFill="1" applyBorder="1" applyAlignment="1">
      <alignment horizontal="left" vertical="center"/>
    </xf>
    <xf numFmtId="169" fontId="64" fillId="0" borderId="97" xfId="8" applyNumberFormat="1" applyFont="1" applyFill="1" applyBorder="1" applyAlignment="1">
      <alignment horizontal="center" vertical="center"/>
    </xf>
    <xf numFmtId="0" fontId="64" fillId="0" borderId="105" xfId="8" applyFont="1" applyFill="1" applyBorder="1" applyAlignment="1">
      <alignment horizontal="left" vertical="center"/>
    </xf>
    <xf numFmtId="0" fontId="64" fillId="0" borderId="106" xfId="8" applyFont="1" applyFill="1" applyBorder="1" applyAlignment="1">
      <alignment horizontal="left" vertical="center"/>
    </xf>
    <xf numFmtId="0" fontId="63" fillId="0" borderId="105" xfId="8" applyFont="1" applyFill="1" applyBorder="1" applyAlignment="1">
      <alignment horizontal="left" vertical="center"/>
    </xf>
    <xf numFmtId="0" fontId="60" fillId="0" borderId="0" xfId="8" applyFont="1" applyFill="1" applyBorder="1" applyAlignment="1">
      <alignment horizontal="center" vertical="center"/>
    </xf>
    <xf numFmtId="0" fontId="59" fillId="0" borderId="43" xfId="8" applyFont="1" applyFill="1" applyBorder="1" applyAlignment="1">
      <alignment horizontal="right" vertical="center"/>
    </xf>
    <xf numFmtId="0" fontId="72" fillId="0" borderId="43" xfId="8" applyFont="1" applyFill="1" applyBorder="1" applyAlignment="1">
      <alignment horizontal="center" vertical="center"/>
    </xf>
    <xf numFmtId="171" fontId="72" fillId="0" borderId="73" xfId="8" applyNumberFormat="1" applyFont="1" applyFill="1" applyBorder="1" applyAlignment="1">
      <alignment horizontal="right" vertical="center"/>
    </xf>
    <xf numFmtId="171" fontId="72" fillId="0" borderId="74" xfId="8" applyNumberFormat="1" applyFont="1" applyFill="1" applyBorder="1" applyAlignment="1">
      <alignment horizontal="right" vertical="center"/>
    </xf>
    <xf numFmtId="171" fontId="72" fillId="0" borderId="54" xfId="8" applyNumberFormat="1" applyFont="1" applyFill="1" applyBorder="1" applyAlignment="1">
      <alignment horizontal="right" vertical="center"/>
    </xf>
    <xf numFmtId="0" fontId="30" fillId="0" borderId="90" xfId="8" applyFont="1" applyFill="1" applyBorder="1" applyAlignment="1">
      <alignment vertical="center"/>
    </xf>
    <xf numFmtId="0" fontId="61" fillId="0" borderId="95" xfId="8" applyFont="1" applyFill="1" applyBorder="1" applyAlignment="1">
      <alignment horizontal="left" vertical="center"/>
    </xf>
    <xf numFmtId="0" fontId="61" fillId="0" borderId="0" xfId="8" applyFont="1" applyFill="1" applyBorder="1" applyAlignment="1">
      <alignment horizontal="left" vertical="center"/>
    </xf>
    <xf numFmtId="0" fontId="61" fillId="0" borderId="29" xfId="8" applyFont="1" applyFill="1" applyBorder="1" applyAlignment="1">
      <alignment horizontal="left" vertical="center"/>
    </xf>
    <xf numFmtId="0" fontId="30" fillId="0" borderId="95" xfId="8" applyFont="1" applyFill="1" applyBorder="1" applyAlignment="1">
      <alignment horizontal="left" vertical="center"/>
    </xf>
    <xf numFmtId="0" fontId="30" fillId="0" borderId="0" xfId="8" applyFont="1" applyFill="1" applyBorder="1" applyAlignment="1">
      <alignment horizontal="left" vertical="center"/>
    </xf>
    <xf numFmtId="0" fontId="30" fillId="0" borderId="29" xfId="8" applyFont="1" applyFill="1" applyBorder="1" applyAlignment="1">
      <alignment horizontal="left" vertical="center"/>
    </xf>
    <xf numFmtId="0" fontId="30" fillId="0" borderId="0" xfId="8" applyFont="1" applyFill="1" applyAlignment="1">
      <alignment horizontal="left" vertical="center"/>
    </xf>
    <xf numFmtId="0" fontId="59" fillId="0" borderId="95" xfId="8" applyFont="1" applyFill="1" applyBorder="1" applyAlignment="1" applyProtection="1">
      <alignment horizontal="center" vertical="center"/>
      <protection locked="0"/>
    </xf>
    <xf numFmtId="0" fontId="91" fillId="0" borderId="0" xfId="8" applyFont="1" applyFill="1" applyBorder="1" applyAlignment="1">
      <alignment horizontal="left"/>
    </xf>
    <xf numFmtId="0" fontId="63" fillId="0" borderId="86" xfId="8" applyFont="1" applyFill="1" applyBorder="1" applyAlignment="1">
      <alignment horizontal="left" vertical="center"/>
    </xf>
    <xf numFmtId="0" fontId="67" fillId="0" borderId="29" xfId="8" applyFont="1" applyFill="1" applyBorder="1" applyAlignment="1">
      <alignment vertical="center"/>
    </xf>
    <xf numFmtId="0" fontId="61" fillId="0" borderId="98" xfId="8" applyFont="1" applyFill="1" applyBorder="1" applyAlignment="1">
      <alignment vertical="center"/>
    </xf>
    <xf numFmtId="0" fontId="61" fillId="0" borderId="99" xfId="8" applyFont="1" applyFill="1" applyBorder="1" applyAlignment="1">
      <alignment vertical="center"/>
    </xf>
    <xf numFmtId="0" fontId="61" fillId="0" borderId="100" xfId="8" applyFont="1" applyFill="1" applyBorder="1" applyAlignment="1">
      <alignment vertical="center"/>
    </xf>
    <xf numFmtId="0" fontId="27" fillId="0" borderId="29" xfId="8" applyFill="1" applyBorder="1" applyAlignment="1">
      <alignment vertical="center"/>
    </xf>
    <xf numFmtId="0" fontId="67" fillId="0" borderId="13" xfId="8" applyFont="1" applyFill="1" applyBorder="1" applyAlignment="1">
      <alignment vertical="center"/>
    </xf>
    <xf numFmtId="0" fontId="64" fillId="0" borderId="0" xfId="8" applyFont="1" applyFill="1" applyBorder="1" applyAlignment="1">
      <alignment horizontal="center" vertical="center" wrapText="1"/>
    </xf>
    <xf numFmtId="0" fontId="27" fillId="0" borderId="0" xfId="8" applyFill="1" applyBorder="1" applyAlignment="1">
      <alignment wrapText="1"/>
    </xf>
    <xf numFmtId="171" fontId="59" fillId="0" borderId="43" xfId="8" applyNumberFormat="1" applyFont="1" applyFill="1" applyBorder="1" applyAlignment="1">
      <alignment horizontal="center" vertical="center"/>
    </xf>
    <xf numFmtId="0" fontId="57" fillId="0" borderId="90" xfId="8" applyFont="1" applyFill="1" applyBorder="1" applyAlignment="1">
      <alignment horizontal="left" vertical="center"/>
    </xf>
    <xf numFmtId="3" fontId="25" fillId="2" borderId="62" xfId="0" applyNumberFormat="1" applyFont="1" applyFill="1" applyBorder="1" applyAlignment="1" applyProtection="1">
      <alignment vertical="center"/>
    </xf>
    <xf numFmtId="3" fontId="24" fillId="0" borderId="62" xfId="0" applyNumberFormat="1" applyFont="1" applyBorder="1" applyAlignment="1" applyProtection="1">
      <alignment vertical="center"/>
    </xf>
    <xf numFmtId="3" fontId="30" fillId="0" borderId="62" xfId="0" applyNumberFormat="1" applyFont="1" applyFill="1" applyBorder="1" applyAlignment="1" applyProtection="1">
      <alignment vertical="center"/>
    </xf>
    <xf numFmtId="3" fontId="24" fillId="0" borderId="62" xfId="0" applyNumberFormat="1" applyFont="1" applyFill="1" applyBorder="1" applyAlignment="1" applyProtection="1">
      <alignment vertical="center"/>
    </xf>
    <xf numFmtId="3" fontId="24" fillId="3" borderId="62" xfId="0" applyNumberFormat="1" applyFont="1" applyFill="1" applyBorder="1" applyAlignment="1" applyProtection="1">
      <alignment vertical="center"/>
    </xf>
    <xf numFmtId="3" fontId="24" fillId="4" borderId="62" xfId="0" applyNumberFormat="1" applyFont="1" applyFill="1" applyBorder="1" applyAlignment="1" applyProtection="1">
      <alignment vertical="center"/>
    </xf>
    <xf numFmtId="3" fontId="24" fillId="4" borderId="62" xfId="0" applyNumberFormat="1" applyFont="1" applyFill="1" applyBorder="1" applyAlignment="1">
      <alignment vertical="center"/>
    </xf>
    <xf numFmtId="3" fontId="30" fillId="0" borderId="62" xfId="0" applyNumberFormat="1" applyFont="1" applyBorder="1" applyAlignment="1" applyProtection="1">
      <alignment vertical="center"/>
    </xf>
    <xf numFmtId="3" fontId="25" fillId="0" borderId="62" xfId="0" applyNumberFormat="1" applyFont="1" applyBorder="1" applyAlignment="1" applyProtection="1">
      <alignment vertical="center"/>
    </xf>
    <xf numFmtId="3" fontId="24" fillId="2" borderId="62" xfId="0" applyNumberFormat="1" applyFont="1" applyFill="1" applyBorder="1" applyAlignment="1" applyProtection="1">
      <alignment vertical="center"/>
    </xf>
    <xf numFmtId="0" fontId="24" fillId="0" borderId="0" xfId="0" applyFont="1" applyAlignment="1">
      <alignment vertical="center"/>
    </xf>
    <xf numFmtId="3" fontId="25" fillId="5" borderId="62" xfId="0" applyNumberFormat="1" applyFont="1" applyFill="1" applyBorder="1" applyAlignment="1" applyProtection="1">
      <alignment vertical="center"/>
    </xf>
    <xf numFmtId="3" fontId="28" fillId="2" borderId="62" xfId="0" applyNumberFormat="1" applyFont="1" applyFill="1" applyBorder="1" applyAlignment="1" applyProtection="1">
      <alignment vertical="center"/>
    </xf>
    <xf numFmtId="3" fontId="24" fillId="0" borderId="62" xfId="0" applyNumberFormat="1" applyFont="1" applyFill="1" applyBorder="1" applyAlignment="1">
      <alignment vertical="center"/>
    </xf>
    <xf numFmtId="3" fontId="24" fillId="0" borderId="62" xfId="0" applyNumberFormat="1" applyFont="1" applyBorder="1" applyAlignment="1">
      <alignment vertical="center"/>
    </xf>
    <xf numFmtId="3" fontId="24" fillId="0" borderId="0" xfId="0" applyNumberFormat="1" applyFont="1" applyFill="1" applyAlignment="1">
      <alignment vertical="center"/>
    </xf>
    <xf numFmtId="3" fontId="24" fillId="0" borderId="62" xfId="0" applyNumberFormat="1" applyFont="1" applyBorder="1"/>
    <xf numFmtId="3" fontId="35" fillId="2" borderId="62" xfId="0" applyNumberFormat="1" applyFont="1" applyFill="1" applyBorder="1" applyAlignment="1">
      <alignment vertical="center"/>
    </xf>
    <xf numFmtId="3" fontId="25" fillId="2" borderId="62" xfId="0" applyNumberFormat="1" applyFont="1" applyFill="1" applyBorder="1" applyAlignment="1">
      <alignment vertical="center"/>
    </xf>
    <xf numFmtId="3" fontId="24" fillId="2" borderId="62" xfId="0" applyNumberFormat="1" applyFont="1" applyFill="1" applyBorder="1" applyAlignment="1">
      <alignment vertical="center"/>
    </xf>
    <xf numFmtId="3" fontId="24" fillId="0" borderId="0" xfId="0" applyNumberFormat="1" applyFont="1" applyAlignment="1">
      <alignment vertical="center"/>
    </xf>
    <xf numFmtId="3" fontId="35" fillId="5" borderId="62" xfId="0" applyNumberFormat="1" applyFont="1" applyFill="1" applyBorder="1" applyAlignment="1">
      <alignment vertical="center"/>
    </xf>
    <xf numFmtId="0" fontId="27" fillId="0" borderId="0" xfId="8" applyFill="1" applyAlignment="1">
      <alignment vertical="center"/>
    </xf>
    <xf numFmtId="0" fontId="27" fillId="0" borderId="0" xfId="8" applyFill="1" applyBorder="1" applyAlignment="1">
      <alignment vertical="center"/>
    </xf>
    <xf numFmtId="0" fontId="57" fillId="0" borderId="90" xfId="8" applyFont="1" applyFill="1" applyBorder="1" applyAlignment="1">
      <alignment vertical="center"/>
    </xf>
    <xf numFmtId="0" fontId="27" fillId="0" borderId="91" xfId="8" applyFill="1" applyBorder="1" applyAlignment="1">
      <alignment vertical="center"/>
    </xf>
    <xf numFmtId="0" fontId="12" fillId="0" borderId="0" xfId="0" applyFont="1" applyAlignment="1">
      <alignment horizontal="justify" vertical="top" wrapText="1"/>
    </xf>
    <xf numFmtId="0" fontId="59" fillId="0" borderId="0" xfId="8" applyFont="1" applyFill="1" applyAlignment="1">
      <alignment vertical="center"/>
    </xf>
    <xf numFmtId="0" fontId="64" fillId="0" borderId="98" xfId="8" applyFont="1" applyFill="1" applyBorder="1" applyAlignment="1">
      <alignment horizontal="left" vertical="center"/>
    </xf>
    <xf numFmtId="0" fontId="26" fillId="0" borderId="99" xfId="8" applyFont="1" applyFill="1" applyBorder="1" applyAlignment="1">
      <alignment horizontal="left"/>
    </xf>
    <xf numFmtId="0" fontId="26" fillId="0" borderId="97" xfId="8" applyFont="1" applyFill="1" applyBorder="1" applyAlignment="1">
      <alignment horizontal="left"/>
    </xf>
    <xf numFmtId="0" fontId="7" fillId="0" borderId="0" xfId="0" applyFont="1"/>
    <xf numFmtId="0" fontId="12" fillId="0" borderId="0" xfId="0" applyFont="1" applyAlignment="1">
      <alignment horizontal="justify" vertical="top" wrapText="1"/>
    </xf>
    <xf numFmtId="0" fontId="8" fillId="0" borderId="0" xfId="0" applyFont="1" applyAlignment="1">
      <alignment horizontal="justify" vertical="top" wrapText="1"/>
    </xf>
    <xf numFmtId="0" fontId="10" fillId="0" borderId="0" xfId="0" applyFont="1" applyAlignment="1">
      <alignment horizontal="left" vertical="top"/>
    </xf>
    <xf numFmtId="0" fontId="20" fillId="0" borderId="0" xfId="0" applyFont="1" applyAlignment="1">
      <alignment horizontal="center" vertical="center"/>
    </xf>
    <xf numFmtId="0" fontId="11" fillId="0" borderId="0" xfId="0" applyFont="1" applyAlignment="1">
      <alignment horizontal="left"/>
    </xf>
    <xf numFmtId="0" fontId="20" fillId="0" borderId="105" xfId="0" applyFont="1" applyBorder="1" applyAlignment="1">
      <alignment horizontal="center"/>
    </xf>
    <xf numFmtId="0" fontId="10" fillId="0" borderId="0" xfId="0" applyFont="1" applyAlignment="1">
      <alignment horizontal="left"/>
    </xf>
    <xf numFmtId="0" fontId="7" fillId="0" borderId="0" xfId="0" applyFont="1" applyAlignment="1">
      <alignment horizontal="left" vertical="top"/>
    </xf>
    <xf numFmtId="0" fontId="7" fillId="0" borderId="0" xfId="0" applyFont="1" applyAlignment="1"/>
    <xf numFmtId="0" fontId="20" fillId="0" borderId="134" xfId="0" applyFont="1" applyBorder="1" applyAlignment="1">
      <alignment horizontal="left"/>
    </xf>
    <xf numFmtId="0" fontId="5" fillId="0" borderId="0" xfId="0" applyFont="1"/>
    <xf numFmtId="0" fontId="81" fillId="0" borderId="88" xfId="0" applyFont="1" applyBorder="1" applyAlignment="1">
      <alignment vertical="center"/>
    </xf>
    <xf numFmtId="0" fontId="81" fillId="0" borderId="89" xfId="0" applyFont="1" applyBorder="1" applyAlignment="1">
      <alignment vertical="center"/>
    </xf>
    <xf numFmtId="0" fontId="7" fillId="0" borderId="87" xfId="0" applyFont="1" applyBorder="1" applyAlignment="1">
      <alignment vertical="center"/>
    </xf>
    <xf numFmtId="0" fontId="7" fillId="0" borderId="0" xfId="0" applyFont="1" applyAlignment="1">
      <alignment horizontal="right" vertical="center"/>
    </xf>
    <xf numFmtId="0" fontId="7" fillId="0" borderId="87" xfId="0" applyFont="1" applyBorder="1" applyAlignment="1">
      <alignment horizontal="center" vertical="center"/>
    </xf>
    <xf numFmtId="0" fontId="7" fillId="0" borderId="88" xfId="0" applyFont="1" applyBorder="1" applyAlignment="1">
      <alignment horizontal="center" vertical="center"/>
    </xf>
    <xf numFmtId="0" fontId="7" fillId="0" borderId="89" xfId="0" applyFont="1" applyBorder="1" applyAlignment="1">
      <alignment horizontal="center" vertical="center"/>
    </xf>
    <xf numFmtId="0" fontId="27" fillId="0" borderId="0" xfId="8" applyFill="1" applyAlignment="1">
      <alignment vertical="center"/>
    </xf>
    <xf numFmtId="0" fontId="27" fillId="0" borderId="0" xfId="8" applyFill="1" applyBorder="1" applyAlignment="1">
      <alignment vertical="center"/>
    </xf>
    <xf numFmtId="0" fontId="57" fillId="0" borderId="90" xfId="8" applyFont="1" applyFill="1" applyBorder="1" applyAlignment="1">
      <alignment vertical="center"/>
    </xf>
    <xf numFmtId="0" fontId="81" fillId="0" borderId="0" xfId="0" applyFont="1" applyBorder="1" applyAlignment="1">
      <alignment vertical="center"/>
    </xf>
    <xf numFmtId="0" fontId="60" fillId="0" borderId="29" xfId="8" applyFont="1" applyFill="1" applyBorder="1" applyAlignment="1">
      <alignment vertical="top" wrapText="1"/>
    </xf>
    <xf numFmtId="0" fontId="19" fillId="0" borderId="2" xfId="0" applyFont="1" applyBorder="1" applyAlignment="1">
      <alignment horizontal="center" vertical="center" wrapText="1"/>
    </xf>
    <xf numFmtId="0" fontId="7" fillId="0" borderId="0" xfId="0" applyFont="1" applyBorder="1" applyAlignment="1">
      <alignment vertical="center"/>
    </xf>
    <xf numFmtId="0" fontId="7" fillId="0" borderId="0" xfId="0" applyFont="1" applyBorder="1" applyAlignment="1">
      <alignment horizontal="center" vertical="center"/>
    </xf>
    <xf numFmtId="0" fontId="27" fillId="9" borderId="0" xfId="8" applyFill="1" applyAlignment="1">
      <alignment vertical="center"/>
    </xf>
    <xf numFmtId="0" fontId="25" fillId="0" borderId="0" xfId="2" applyNumberFormat="1" applyFont="1" applyAlignment="1">
      <alignment vertical="top"/>
    </xf>
    <xf numFmtId="0" fontId="24" fillId="3" borderId="0" xfId="2" applyFont="1" applyFill="1" applyAlignment="1">
      <alignment horizontal="center" vertical="top"/>
    </xf>
    <xf numFmtId="0" fontId="24" fillId="3" borderId="56" xfId="2" applyFont="1" applyFill="1" applyBorder="1" applyAlignment="1">
      <alignment horizontal="center" vertical="top"/>
    </xf>
    <xf numFmtId="0" fontId="24" fillId="3" borderId="61" xfId="2" applyFont="1" applyFill="1" applyBorder="1" applyAlignment="1">
      <alignment horizontal="center" vertical="top"/>
    </xf>
    <xf numFmtId="0" fontId="25" fillId="2" borderId="62" xfId="2" applyFont="1" applyFill="1" applyBorder="1" applyAlignment="1" applyProtection="1">
      <alignment vertical="top" wrapText="1"/>
    </xf>
    <xf numFmtId="0" fontId="25" fillId="2" borderId="62" xfId="2" applyFont="1" applyFill="1" applyBorder="1" applyAlignment="1" applyProtection="1">
      <alignment horizontal="left" vertical="top" wrapText="1"/>
    </xf>
    <xf numFmtId="0" fontId="25" fillId="2" borderId="62" xfId="2" applyFont="1" applyFill="1" applyBorder="1" applyAlignment="1" applyProtection="1">
      <alignment horizontal="left" vertical="top"/>
    </xf>
    <xf numFmtId="0" fontId="24" fillId="0" borderId="62" xfId="2" applyFont="1" applyBorder="1" applyAlignment="1" applyProtection="1">
      <alignment horizontal="left" vertical="top"/>
    </xf>
    <xf numFmtId="0" fontId="24" fillId="0" borderId="62" xfId="2" applyFont="1" applyBorder="1" applyAlignment="1" applyProtection="1">
      <alignment horizontal="left" vertical="top" wrapText="1"/>
    </xf>
    <xf numFmtId="0" fontId="24" fillId="0" borderId="62" xfId="2" applyFont="1" applyFill="1" applyBorder="1" applyAlignment="1" applyProtection="1">
      <alignment horizontal="left" vertical="top" wrapText="1"/>
    </xf>
    <xf numFmtId="0" fontId="24" fillId="3" borderId="62" xfId="2" applyFont="1" applyFill="1" applyBorder="1" applyAlignment="1" applyProtection="1">
      <alignment horizontal="left" vertical="top"/>
    </xf>
    <xf numFmtId="0" fontId="24" fillId="2" borderId="62" xfId="2" applyFont="1" applyFill="1" applyBorder="1" applyAlignment="1" applyProtection="1">
      <alignment vertical="top"/>
    </xf>
    <xf numFmtId="0" fontId="24" fillId="3" borderId="55" xfId="2" applyFont="1" applyFill="1" applyBorder="1" applyAlignment="1" applyProtection="1">
      <alignment horizontal="center" vertical="top"/>
    </xf>
    <xf numFmtId="0" fontId="24" fillId="3" borderId="59" xfId="2" applyFont="1" applyFill="1" applyBorder="1" applyAlignment="1" applyProtection="1">
      <alignment horizontal="center" vertical="top"/>
    </xf>
    <xf numFmtId="0" fontId="24" fillId="3" borderId="60" xfId="2" applyFont="1" applyFill="1" applyBorder="1" applyAlignment="1" applyProtection="1">
      <alignment horizontal="center" vertical="top"/>
    </xf>
    <xf numFmtId="37" fontId="25" fillId="2" borderId="62" xfId="2" applyNumberFormat="1" applyFont="1" applyFill="1" applyBorder="1" applyAlignment="1" applyProtection="1">
      <alignment vertical="top"/>
    </xf>
    <xf numFmtId="37" fontId="24" fillId="0" borderId="62" xfId="2" applyNumberFormat="1" applyFont="1" applyBorder="1" applyAlignment="1" applyProtection="1">
      <alignment vertical="top"/>
    </xf>
    <xf numFmtId="37" fontId="25" fillId="5" borderId="62" xfId="2" applyNumberFormat="1" applyFont="1" applyFill="1" applyBorder="1" applyAlignment="1" applyProtection="1">
      <alignment vertical="top"/>
    </xf>
    <xf numFmtId="37" fontId="24" fillId="4" borderId="62" xfId="2" applyNumberFormat="1" applyFont="1" applyFill="1" applyBorder="1" applyAlignment="1" applyProtection="1">
      <alignment vertical="top"/>
    </xf>
    <xf numFmtId="0" fontId="24" fillId="4" borderId="62" xfId="2" applyFont="1" applyFill="1" applyBorder="1" applyAlignment="1" applyProtection="1">
      <alignment horizontal="left" vertical="top"/>
    </xf>
    <xf numFmtId="37" fontId="24" fillId="3" borderId="62" xfId="2" applyNumberFormat="1" applyFont="1" applyFill="1" applyBorder="1" applyAlignment="1" applyProtection="1">
      <alignment vertical="top"/>
    </xf>
    <xf numFmtId="37" fontId="28" fillId="2" borderId="62" xfId="2" applyNumberFormat="1" applyFont="1" applyFill="1" applyBorder="1" applyAlignment="1" applyProtection="1">
      <alignment vertical="top"/>
    </xf>
    <xf numFmtId="37" fontId="24" fillId="2" borderId="62" xfId="2" applyNumberFormat="1" applyFont="1" applyFill="1" applyBorder="1" applyAlignment="1" applyProtection="1">
      <alignment vertical="top"/>
    </xf>
    <xf numFmtId="0" fontId="24" fillId="0" borderId="0" xfId="2" applyFont="1" applyAlignment="1" applyProtection="1">
      <alignment horizontal="left" vertical="top"/>
    </xf>
    <xf numFmtId="0" fontId="38" fillId="0" borderId="43" xfId="7" applyFont="1" applyBorder="1" applyAlignment="1">
      <alignment horizontal="left" wrapText="1"/>
    </xf>
    <xf numFmtId="0" fontId="92" fillId="0" borderId="43" xfId="7" applyFont="1" applyBorder="1" applyAlignment="1">
      <alignment horizontal="left" wrapText="1"/>
    </xf>
    <xf numFmtId="0" fontId="58" fillId="10" borderId="85" xfId="12" applyFont="1" applyFill="1" applyBorder="1" applyAlignment="1" applyProtection="1">
      <alignment horizontal="left" vertical="center" wrapText="1"/>
    </xf>
    <xf numFmtId="0" fontId="92" fillId="0" borderId="66" xfId="7" applyFont="1" applyBorder="1" applyAlignment="1">
      <alignment horizontal="left" wrapText="1"/>
    </xf>
    <xf numFmtId="0" fontId="92" fillId="0" borderId="85" xfId="12" applyFont="1" applyFill="1" applyBorder="1" applyAlignment="1" applyProtection="1">
      <alignment horizontal="left" wrapText="1"/>
    </xf>
    <xf numFmtId="0" fontId="58" fillId="0" borderId="85" xfId="12" applyFont="1" applyFill="1" applyBorder="1" applyAlignment="1" applyProtection="1">
      <alignment horizontal="left" wrapText="1"/>
    </xf>
    <xf numFmtId="168" fontId="42" fillId="4" borderId="43" xfId="5" applyNumberFormat="1" applyFont="1" applyFill="1" applyBorder="1" applyAlignment="1">
      <alignment horizontal="right" vertical="center"/>
    </xf>
    <xf numFmtId="0" fontId="58" fillId="4" borderId="66" xfId="7" applyFont="1" applyFill="1" applyBorder="1" applyAlignment="1">
      <alignment horizontal="left" vertical="center" wrapText="1"/>
    </xf>
    <xf numFmtId="0" fontId="92" fillId="0" borderId="66" xfId="7" applyFont="1" applyFill="1" applyBorder="1" applyAlignment="1">
      <alignment horizontal="left" wrapText="1"/>
    </xf>
    <xf numFmtId="0" fontId="58" fillId="4" borderId="99" xfId="12" applyFont="1" applyFill="1" applyBorder="1" applyAlignment="1" applyProtection="1">
      <alignment horizontal="left" vertical="center" wrapText="1"/>
    </xf>
    <xf numFmtId="0" fontId="58" fillId="3" borderId="84" xfId="12" applyFont="1" applyFill="1" applyBorder="1" applyAlignment="1" applyProtection="1">
      <alignment horizontal="left" vertical="center" wrapText="1"/>
    </xf>
    <xf numFmtId="0" fontId="92" fillId="0" borderId="43" xfId="7" applyFont="1" applyFill="1" applyBorder="1" applyAlignment="1">
      <alignment horizontal="left" wrapText="1"/>
    </xf>
    <xf numFmtId="0" fontId="58" fillId="0" borderId="66" xfId="7" applyFont="1" applyFill="1" applyBorder="1" applyAlignment="1">
      <alignment horizontal="left" vertical="center" wrapText="1"/>
    </xf>
    <xf numFmtId="0" fontId="58" fillId="4" borderId="43" xfId="7" applyFont="1" applyFill="1" applyBorder="1" applyAlignment="1">
      <alignment horizontal="left" vertical="center" wrapText="1"/>
    </xf>
    <xf numFmtId="0" fontId="58" fillId="4" borderId="43" xfId="12" applyFont="1" applyFill="1" applyBorder="1" applyAlignment="1" applyProtection="1">
      <alignment horizontal="left" vertical="center" wrapText="1"/>
    </xf>
    <xf numFmtId="0" fontId="58" fillId="3" borderId="43" xfId="12" applyFont="1" applyFill="1" applyBorder="1" applyAlignment="1" applyProtection="1">
      <alignment horizontal="left" vertical="center" wrapText="1"/>
    </xf>
    <xf numFmtId="0" fontId="58" fillId="10" borderId="43" xfId="7" applyFont="1" applyFill="1" applyBorder="1" applyAlignment="1">
      <alignment horizontal="left" vertical="center" wrapText="1"/>
    </xf>
    <xf numFmtId="0" fontId="58" fillId="0" borderId="72" xfId="7" applyFont="1" applyFill="1" applyBorder="1" applyAlignment="1">
      <alignment horizontal="left" vertical="center" wrapText="1"/>
    </xf>
    <xf numFmtId="3" fontId="58" fillId="10" borderId="43" xfId="7" applyNumberFormat="1" applyFont="1" applyFill="1" applyBorder="1" applyAlignment="1">
      <alignment vertical="center" wrapText="1"/>
    </xf>
    <xf numFmtId="3" fontId="58" fillId="10" borderId="73" xfId="7" applyNumberFormat="1" applyFont="1" applyFill="1" applyBorder="1" applyAlignment="1">
      <alignment vertical="center" wrapText="1"/>
    </xf>
    <xf numFmtId="0" fontId="58" fillId="0" borderId="0" xfId="15" applyFont="1" applyProtection="1"/>
    <xf numFmtId="0" fontId="92" fillId="0" borderId="0" xfId="15" applyFont="1" applyAlignment="1" applyProtection="1">
      <alignment horizontal="left" wrapText="1"/>
    </xf>
    <xf numFmtId="176" fontId="92" fillId="0" borderId="0" xfId="15" applyNumberFormat="1" applyFont="1" applyProtection="1"/>
    <xf numFmtId="0" fontId="92" fillId="0" borderId="0" xfId="15" applyFont="1" applyProtection="1"/>
    <xf numFmtId="176" fontId="58" fillId="3" borderId="85" xfId="2" applyNumberFormat="1" applyFont="1" applyFill="1" applyBorder="1" applyAlignment="1" applyProtection="1">
      <alignment horizontal="center"/>
    </xf>
    <xf numFmtId="176" fontId="58" fillId="3" borderId="77" xfId="2" applyNumberFormat="1" applyFont="1" applyFill="1" applyBorder="1" applyAlignment="1" applyProtection="1">
      <alignment horizontal="center"/>
    </xf>
    <xf numFmtId="0" fontId="58" fillId="4" borderId="0" xfId="15" applyFont="1" applyFill="1" applyBorder="1" applyProtection="1"/>
    <xf numFmtId="0" fontId="58" fillId="4" borderId="71" xfId="15" applyFont="1" applyFill="1" applyBorder="1" applyAlignment="1" applyProtection="1">
      <alignment horizontal="left"/>
    </xf>
    <xf numFmtId="0" fontId="58" fillId="4" borderId="87" xfId="15" applyFont="1" applyFill="1" applyBorder="1" applyAlignment="1" applyProtection="1">
      <alignment horizontal="left" wrapText="1"/>
    </xf>
    <xf numFmtId="168" fontId="58" fillId="4" borderId="88" xfId="7" applyNumberFormat="1" applyFont="1" applyFill="1" applyBorder="1" applyAlignment="1">
      <alignment horizontal="right" vertical="center" wrapText="1"/>
    </xf>
    <xf numFmtId="168" fontId="58" fillId="4" borderId="89" xfId="7" applyNumberFormat="1" applyFont="1" applyFill="1" applyBorder="1" applyAlignment="1">
      <alignment horizontal="right" vertical="center" wrapText="1"/>
    </xf>
    <xf numFmtId="0" fontId="58" fillId="4" borderId="0" xfId="15" applyFont="1" applyFill="1" applyProtection="1"/>
    <xf numFmtId="0" fontId="58" fillId="10" borderId="66" xfId="7" applyFont="1" applyFill="1" applyBorder="1" applyAlignment="1">
      <alignment horizontal="left" wrapText="1"/>
    </xf>
    <xf numFmtId="0" fontId="58" fillId="10" borderId="43" xfId="7" applyFont="1" applyFill="1" applyBorder="1" applyAlignment="1">
      <alignment horizontal="left" wrapText="1"/>
    </xf>
    <xf numFmtId="168" fontId="92" fillId="10" borderId="71" xfId="7" applyNumberFormat="1" applyFont="1" applyFill="1" applyBorder="1" applyAlignment="1">
      <alignment horizontal="right" wrapText="1"/>
    </xf>
    <xf numFmtId="0" fontId="92" fillId="4" borderId="66" xfId="7" applyFont="1" applyFill="1" applyBorder="1" applyAlignment="1">
      <alignment horizontal="left" wrapText="1"/>
    </xf>
    <xf numFmtId="0" fontId="92" fillId="4" borderId="43" xfId="7" applyFont="1" applyFill="1" applyBorder="1" applyAlignment="1">
      <alignment horizontal="left" wrapText="1"/>
    </xf>
    <xf numFmtId="168" fontId="92" fillId="4" borderId="71" xfId="7" applyNumberFormat="1" applyFont="1" applyFill="1" applyBorder="1" applyAlignment="1">
      <alignment horizontal="right" wrapText="1"/>
    </xf>
    <xf numFmtId="0" fontId="92" fillId="4" borderId="0" xfId="7" applyFont="1" applyFill="1" applyBorder="1" applyAlignment="1">
      <alignment horizontal="left" wrapText="1"/>
    </xf>
    <xf numFmtId="0" fontId="58" fillId="10" borderId="85" xfId="15" applyFont="1" applyFill="1" applyBorder="1" applyAlignment="1" applyProtection="1">
      <alignment horizontal="left" vertical="center" wrapText="1"/>
    </xf>
    <xf numFmtId="0" fontId="92" fillId="0" borderId="85" xfId="15" applyFont="1" applyFill="1" applyBorder="1" applyAlignment="1" applyProtection="1">
      <alignment horizontal="left" wrapText="1"/>
    </xf>
    <xf numFmtId="0" fontId="58" fillId="0" borderId="85" xfId="15" applyFont="1" applyFill="1" applyBorder="1" applyAlignment="1" applyProtection="1">
      <alignment horizontal="left" wrapText="1"/>
    </xf>
    <xf numFmtId="0" fontId="58" fillId="4" borderId="0" xfId="7" applyFont="1" applyFill="1" applyBorder="1" applyAlignment="1">
      <alignment horizontal="left" vertical="center" wrapText="1"/>
    </xf>
    <xf numFmtId="0" fontId="58" fillId="4" borderId="99" xfId="15" applyFont="1" applyFill="1" applyBorder="1" applyAlignment="1" applyProtection="1">
      <alignment horizontal="left" vertical="center" wrapText="1"/>
    </xf>
    <xf numFmtId="0" fontId="58" fillId="4" borderId="66" xfId="7" applyFont="1" applyFill="1" applyBorder="1" applyAlignment="1">
      <alignment horizontal="left" vertical="center"/>
    </xf>
    <xf numFmtId="0" fontId="58" fillId="0" borderId="0" xfId="15" applyFont="1" applyFill="1" applyProtection="1"/>
    <xf numFmtId="0" fontId="58" fillId="3" borderId="84" xfId="15" applyFont="1" applyFill="1" applyBorder="1" applyAlignment="1" applyProtection="1">
      <alignment horizontal="left" vertical="center" wrapText="1"/>
    </xf>
    <xf numFmtId="168" fontId="42" fillId="4" borderId="43" xfId="7" applyNumberFormat="1" applyFont="1" applyFill="1" applyBorder="1" applyAlignment="1">
      <alignment horizontal="right" vertical="center"/>
    </xf>
    <xf numFmtId="168" fontId="38" fillId="4" borderId="43" xfId="7" applyNumberFormat="1" applyFont="1" applyFill="1" applyBorder="1" applyAlignment="1">
      <alignment horizontal="right"/>
    </xf>
    <xf numFmtId="176" fontId="58" fillId="3" borderId="85" xfId="0" applyNumberFormat="1" applyFont="1" applyFill="1" applyBorder="1" applyAlignment="1" applyProtection="1">
      <alignment horizontal="center"/>
    </xf>
    <xf numFmtId="176" fontId="58" fillId="3" borderId="77" xfId="0" applyNumberFormat="1" applyFont="1" applyFill="1" applyBorder="1" applyAlignment="1" applyProtection="1">
      <alignment horizontal="center"/>
    </xf>
    <xf numFmtId="0" fontId="58" fillId="3" borderId="84" xfId="0" applyFont="1" applyFill="1" applyBorder="1" applyAlignment="1" applyProtection="1">
      <alignment horizontal="left" vertical="center"/>
    </xf>
    <xf numFmtId="0" fontId="92" fillId="0" borderId="0" xfId="7" applyFont="1" applyAlignment="1">
      <alignment wrapText="1"/>
    </xf>
    <xf numFmtId="168" fontId="92" fillId="0" borderId="88" xfId="7" applyNumberFormat="1" applyFont="1" applyFill="1" applyBorder="1" applyAlignment="1">
      <alignment horizontal="right" wrapText="1"/>
    </xf>
    <xf numFmtId="168" fontId="92" fillId="0" borderId="89" xfId="7" applyNumberFormat="1" applyFont="1" applyFill="1" applyBorder="1" applyAlignment="1">
      <alignment horizontal="right" wrapText="1"/>
    </xf>
    <xf numFmtId="0" fontId="58" fillId="10" borderId="71" xfId="15" applyFont="1" applyFill="1" applyBorder="1" applyAlignment="1" applyProtection="1">
      <alignment horizontal="left" wrapText="1"/>
    </xf>
    <xf numFmtId="0" fontId="58" fillId="10" borderId="43" xfId="15" applyFont="1" applyFill="1" applyBorder="1" applyAlignment="1" applyProtection="1">
      <alignment horizontal="left" wrapText="1"/>
    </xf>
    <xf numFmtId="168" fontId="58" fillId="5" borderId="71" xfId="7" applyNumberFormat="1" applyFont="1" applyFill="1" applyBorder="1" applyAlignment="1">
      <alignment horizontal="right" vertical="center" wrapText="1"/>
    </xf>
    <xf numFmtId="168" fontId="42" fillId="10" borderId="43" xfId="7" applyNumberFormat="1" applyFont="1" applyFill="1" applyBorder="1" applyAlignment="1">
      <alignment horizontal="right" vertical="center"/>
    </xf>
    <xf numFmtId="3" fontId="29" fillId="0" borderId="0" xfId="2" applyNumberFormat="1" applyFont="1" applyAlignment="1">
      <alignment horizontal="left" vertical="center" wrapText="1"/>
    </xf>
    <xf numFmtId="171" fontId="72" fillId="0" borderId="87" xfId="8" applyNumberFormat="1" applyFont="1" applyFill="1" applyBorder="1" applyAlignment="1">
      <alignment horizontal="right" vertical="center"/>
    </xf>
    <xf numFmtId="0" fontId="74" fillId="0" borderId="84" xfId="8" applyFont="1" applyFill="1" applyBorder="1" applyAlignment="1">
      <alignment horizontal="center" vertical="center" wrapText="1"/>
    </xf>
    <xf numFmtId="0" fontId="74" fillId="0" borderId="75" xfId="8" applyFont="1" applyFill="1" applyBorder="1" applyAlignment="1">
      <alignment horizontal="center" vertical="center" wrapText="1"/>
    </xf>
    <xf numFmtId="0" fontId="74" fillId="0" borderId="87" xfId="8" applyFont="1" applyFill="1" applyBorder="1" applyAlignment="1">
      <alignment horizontal="center" vertical="center" wrapText="1"/>
    </xf>
    <xf numFmtId="0" fontId="73" fillId="0" borderId="71" xfId="8" applyFont="1" applyFill="1" applyBorder="1" applyAlignment="1">
      <alignment horizontal="left" vertical="top" wrapText="1"/>
    </xf>
    <xf numFmtId="0" fontId="73" fillId="0" borderId="43" xfId="8" applyFont="1" applyFill="1" applyBorder="1" applyAlignment="1">
      <alignment horizontal="left" vertical="top" wrapText="1"/>
    </xf>
    <xf numFmtId="0" fontId="74" fillId="0" borderId="71" xfId="8" applyFont="1" applyFill="1" applyBorder="1" applyAlignment="1">
      <alignment horizontal="center" vertical="center" wrapText="1"/>
    </xf>
    <xf numFmtId="0" fontId="74" fillId="0" borderId="43" xfId="8" applyFont="1" applyFill="1" applyBorder="1" applyAlignment="1">
      <alignment horizontal="center" vertical="center" wrapText="1"/>
    </xf>
    <xf numFmtId="171" fontId="72" fillId="0" borderId="43" xfId="8" applyNumberFormat="1" applyFont="1" applyFill="1" applyBorder="1" applyAlignment="1">
      <alignment horizontal="right" vertical="center"/>
    </xf>
    <xf numFmtId="0" fontId="74" fillId="0" borderId="43" xfId="8" applyFont="1" applyFill="1" applyBorder="1" applyAlignment="1">
      <alignment horizontal="left" vertical="top" wrapText="1"/>
    </xf>
    <xf numFmtId="0" fontId="74" fillId="0" borderId="71" xfId="8" quotePrefix="1" applyFont="1" applyFill="1" applyBorder="1" applyAlignment="1">
      <alignment horizontal="left" vertical="top" wrapText="1"/>
    </xf>
    <xf numFmtId="0" fontId="74" fillId="0" borderId="43" xfId="8" quotePrefix="1" applyFont="1" applyFill="1" applyBorder="1" applyAlignment="1">
      <alignment horizontal="left" vertical="top" wrapText="1"/>
    </xf>
    <xf numFmtId="0" fontId="74" fillId="0" borderId="116" xfId="8" applyFont="1" applyFill="1" applyBorder="1" applyAlignment="1">
      <alignment horizontal="center" vertical="center" wrapText="1"/>
    </xf>
    <xf numFmtId="0" fontId="27" fillId="0" borderId="0" xfId="8" applyFill="1" applyBorder="1" applyAlignment="1">
      <alignment vertical="center"/>
    </xf>
    <xf numFmtId="0" fontId="72" fillId="0" borderId="87" xfId="8" applyFont="1" applyFill="1" applyBorder="1" applyAlignment="1">
      <alignment horizontal="left" vertical="center"/>
    </xf>
    <xf numFmtId="0" fontId="59" fillId="0" borderId="17" xfId="8" applyFont="1" applyFill="1" applyBorder="1" applyAlignment="1">
      <alignment horizontal="center" vertical="center"/>
    </xf>
    <xf numFmtId="0" fontId="59" fillId="0" borderId="97" xfId="8" applyFont="1" applyFill="1" applyBorder="1" applyAlignment="1">
      <alignment horizontal="center" vertical="center"/>
    </xf>
    <xf numFmtId="0" fontId="64" fillId="0" borderId="97" xfId="8" applyFont="1" applyFill="1" applyBorder="1" applyAlignment="1">
      <alignment horizontal="left"/>
    </xf>
    <xf numFmtId="0" fontId="30" fillId="0" borderId="0" xfId="8" applyFont="1" applyBorder="1" applyAlignment="1">
      <alignment horizontal="center" vertical="top"/>
    </xf>
    <xf numFmtId="0" fontId="30" fillId="0" borderId="0" xfId="8" applyFont="1" applyFill="1" applyBorder="1" applyAlignment="1">
      <alignment horizontal="center" vertical="top"/>
    </xf>
    <xf numFmtId="0" fontId="63" fillId="0" borderId="95" xfId="8" applyFont="1" applyFill="1" applyBorder="1" applyAlignment="1">
      <alignment horizontal="left" vertical="center"/>
    </xf>
    <xf numFmtId="0" fontId="63" fillId="0" borderId="96" xfId="8" applyFont="1" applyFill="1" applyBorder="1" applyAlignment="1">
      <alignment horizontal="left" vertical="center"/>
    </xf>
    <xf numFmtId="0" fontId="90" fillId="0" borderId="97" xfId="8" applyFont="1" applyFill="1" applyBorder="1" applyAlignment="1">
      <alignment horizontal="left"/>
    </xf>
    <xf numFmtId="0" fontId="25" fillId="0" borderId="0" xfId="10" applyFont="1" applyFill="1" applyBorder="1" applyAlignment="1" applyProtection="1">
      <alignment horizontal="center" vertical="top"/>
      <protection locked="0"/>
    </xf>
    <xf numFmtId="0" fontId="25" fillId="0" borderId="0" xfId="8" applyFont="1" applyFill="1" applyBorder="1" applyAlignment="1" applyProtection="1">
      <alignment horizontal="center" vertical="center"/>
      <protection locked="0"/>
    </xf>
    <xf numFmtId="0" fontId="28" fillId="6" borderId="89" xfId="8" applyFont="1" applyFill="1" applyBorder="1"/>
    <xf numFmtId="0" fontId="24" fillId="7" borderId="89" xfId="8" applyFont="1" applyFill="1" applyBorder="1" applyAlignment="1">
      <alignment horizontal="center"/>
    </xf>
    <xf numFmtId="0" fontId="24" fillId="6" borderId="128" xfId="8" applyFont="1" applyFill="1" applyBorder="1"/>
    <xf numFmtId="0" fontId="24" fillId="0" borderId="128" xfId="10" applyFont="1" applyFill="1" applyBorder="1" applyAlignment="1">
      <alignment horizontal="left" vertical="center"/>
    </xf>
    <xf numFmtId="0" fontId="24" fillId="0" borderId="130" xfId="10" applyFont="1" applyFill="1" applyBorder="1" applyAlignment="1">
      <alignment horizontal="left" vertical="center"/>
    </xf>
    <xf numFmtId="0" fontId="24" fillId="0" borderId="129" xfId="10" applyFont="1" applyFill="1" applyBorder="1" applyAlignment="1">
      <alignment horizontal="left" vertical="center"/>
    </xf>
    <xf numFmtId="0" fontId="60" fillId="0" borderId="93" xfId="8" applyFont="1" applyFill="1" applyBorder="1" applyAlignment="1">
      <alignment vertical="center"/>
    </xf>
    <xf numFmtId="1" fontId="60" fillId="0" borderId="97" xfId="8" applyNumberFormat="1" applyFont="1" applyFill="1" applyBorder="1" applyAlignment="1">
      <alignment horizontal="left" vertical="center"/>
    </xf>
    <xf numFmtId="0" fontId="60" fillId="0" borderId="105" xfId="8" applyFont="1" applyFill="1" applyBorder="1" applyAlignment="1">
      <alignment vertical="center" wrapText="1"/>
    </xf>
    <xf numFmtId="0" fontId="60" fillId="0" borderId="97" xfId="8" applyFont="1" applyFill="1" applyBorder="1" applyAlignment="1">
      <alignment vertical="center" wrapText="1"/>
    </xf>
    <xf numFmtId="0" fontId="60" fillId="0" borderId="97" xfId="8" applyFont="1" applyFill="1" applyBorder="1" applyAlignment="1">
      <alignment vertical="top" wrapText="1"/>
    </xf>
    <xf numFmtId="0" fontId="60" fillId="0" borderId="105" xfId="8" applyFont="1" applyFill="1" applyBorder="1" applyAlignment="1">
      <alignment vertical="top" wrapText="1"/>
    </xf>
    <xf numFmtId="0" fontId="25" fillId="0" borderId="0" xfId="10" applyFont="1" applyFill="1" applyBorder="1" applyAlignment="1">
      <alignment vertical="center"/>
    </xf>
    <xf numFmtId="0" fontId="25" fillId="6" borderId="145" xfId="8" applyFont="1" applyFill="1" applyBorder="1"/>
    <xf numFmtId="0" fontId="25" fillId="6" borderId="68" xfId="8" applyFont="1" applyFill="1" applyBorder="1"/>
    <xf numFmtId="0" fontId="24" fillId="0" borderId="0" xfId="2" applyNumberFormat="1" applyFont="1" applyAlignment="1">
      <alignment vertical="center"/>
    </xf>
    <xf numFmtId="0" fontId="23" fillId="0" borderId="0" xfId="2" applyFont="1"/>
    <xf numFmtId="0" fontId="24" fillId="0" borderId="0" xfId="2" applyFont="1" applyAlignment="1">
      <alignment horizontal="right"/>
    </xf>
    <xf numFmtId="0" fontId="23" fillId="0" borderId="0" xfId="2" applyFont="1" applyAlignment="1">
      <alignment horizontal="right"/>
    </xf>
    <xf numFmtId="49" fontId="24" fillId="0" borderId="0" xfId="2" applyNumberFormat="1" applyFont="1" applyBorder="1" applyAlignment="1" applyProtection="1"/>
    <xf numFmtId="0" fontId="27" fillId="0" borderId="0" xfId="2" applyFont="1"/>
    <xf numFmtId="0" fontId="23" fillId="0" borderId="0" xfId="2" applyFont="1" applyAlignment="1">
      <alignment horizontal="left"/>
    </xf>
    <xf numFmtId="0" fontId="23" fillId="0" borderId="0" xfId="2" applyAlignment="1">
      <alignment horizontal="left"/>
    </xf>
    <xf numFmtId="0" fontId="27" fillId="0" borderId="0" xfId="2" applyFont="1" applyAlignment="1">
      <alignment horizontal="right"/>
    </xf>
    <xf numFmtId="9" fontId="23" fillId="0" borderId="0" xfId="2" applyNumberFormat="1" applyFont="1" applyAlignment="1">
      <alignment horizontal="left"/>
    </xf>
    <xf numFmtId="165" fontId="23" fillId="0" borderId="0" xfId="2" applyNumberFormat="1" applyFont="1" applyAlignment="1">
      <alignment horizontal="left"/>
    </xf>
    <xf numFmtId="10" fontId="27" fillId="0" borderId="0" xfId="3" applyNumberFormat="1" applyFont="1" applyFill="1" applyAlignment="1">
      <alignment horizontal="right"/>
    </xf>
    <xf numFmtId="0" fontId="24" fillId="0" borderId="0" xfId="2" applyFont="1" applyBorder="1"/>
    <xf numFmtId="0" fontId="28" fillId="0" borderId="146" xfId="2" applyFont="1" applyBorder="1" applyAlignment="1">
      <alignment vertical="top"/>
    </xf>
    <xf numFmtId="0" fontId="23" fillId="0" borderId="146" xfId="2" applyBorder="1" applyAlignment="1"/>
    <xf numFmtId="0" fontId="28" fillId="2" borderId="62" xfId="2" applyFont="1" applyFill="1" applyBorder="1" applyAlignment="1" applyProtection="1">
      <alignment horizontal="left" vertical="center"/>
    </xf>
    <xf numFmtId="0" fontId="30" fillId="3" borderId="62" xfId="2" applyFont="1" applyFill="1" applyBorder="1" applyAlignment="1" applyProtection="1">
      <alignment horizontal="left" vertical="center"/>
    </xf>
    <xf numFmtId="0" fontId="25" fillId="0" borderId="0" xfId="2" applyFont="1" applyAlignment="1">
      <alignment horizontal="right" vertical="center"/>
    </xf>
    <xf numFmtId="10" fontId="23" fillId="0" borderId="0" xfId="2" applyNumberFormat="1" applyFont="1" applyAlignment="1">
      <alignment horizontal="left"/>
    </xf>
    <xf numFmtId="0" fontId="24" fillId="0" borderId="0" xfId="2" applyFont="1" applyAlignment="1">
      <alignment horizontal="right" vertical="center"/>
    </xf>
    <xf numFmtId="0" fontId="24" fillId="4" borderId="0" xfId="2" applyFont="1" applyFill="1" applyBorder="1" applyAlignment="1">
      <alignment vertical="center"/>
    </xf>
    <xf numFmtId="0" fontId="28" fillId="4" borderId="0" xfId="2" applyFont="1" applyFill="1" applyBorder="1" applyAlignment="1">
      <alignment vertical="center"/>
    </xf>
    <xf numFmtId="0" fontId="24" fillId="11" borderId="62" xfId="2" applyFont="1" applyFill="1" applyBorder="1" applyAlignment="1" applyProtection="1">
      <alignment horizontal="left" vertical="top"/>
    </xf>
    <xf numFmtId="0" fontId="98" fillId="4" borderId="0" xfId="2" applyFont="1" applyFill="1" applyBorder="1" applyAlignment="1">
      <alignment vertical="center"/>
    </xf>
    <xf numFmtId="0" fontId="24" fillId="11" borderId="62" xfId="2" applyFont="1" applyFill="1" applyBorder="1" applyAlignment="1" applyProtection="1">
      <alignment horizontal="left" vertical="top" wrapText="1"/>
    </xf>
    <xf numFmtId="0" fontId="26" fillId="4" borderId="0" xfId="2" applyFont="1" applyFill="1" applyBorder="1" applyAlignment="1">
      <alignment vertical="center"/>
    </xf>
    <xf numFmtId="3" fontId="98" fillId="4" borderId="0" xfId="2" applyNumberFormat="1" applyFont="1" applyFill="1" applyBorder="1" applyAlignment="1">
      <alignment vertical="center"/>
    </xf>
    <xf numFmtId="3" fontId="28" fillId="0" borderId="0" xfId="2" applyNumberFormat="1" applyFont="1" applyFill="1" applyAlignment="1">
      <alignment vertical="center"/>
    </xf>
    <xf numFmtId="0" fontId="31" fillId="0" borderId="0" xfId="2" applyFont="1" applyFill="1" applyAlignment="1">
      <alignment vertical="center"/>
    </xf>
    <xf numFmtId="0" fontId="24" fillId="0" borderId="0" xfId="2" applyFont="1" applyFill="1" applyAlignment="1">
      <alignment vertical="center"/>
    </xf>
    <xf numFmtId="3" fontId="24" fillId="0" borderId="0" xfId="2" applyNumberFormat="1" applyFont="1" applyAlignment="1">
      <alignment vertical="center"/>
    </xf>
    <xf numFmtId="0" fontId="25" fillId="0" borderId="0" xfId="2" applyFont="1" applyFill="1" applyAlignment="1">
      <alignment vertical="center"/>
    </xf>
    <xf numFmtId="3" fontId="24" fillId="2" borderId="62" xfId="2" applyNumberFormat="1" applyFont="1" applyFill="1" applyBorder="1" applyAlignment="1" applyProtection="1">
      <alignment vertical="center"/>
    </xf>
    <xf numFmtId="167" fontId="24" fillId="0" borderId="0" xfId="2" applyNumberFormat="1" applyFont="1" applyFill="1" applyAlignment="1">
      <alignment vertical="center"/>
    </xf>
    <xf numFmtId="37" fontId="25" fillId="11" borderId="62" xfId="2" applyNumberFormat="1" applyFont="1" applyFill="1" applyBorder="1" applyAlignment="1" applyProtection="1">
      <alignment vertical="top"/>
    </xf>
    <xf numFmtId="167" fontId="25" fillId="0" borderId="0" xfId="2" applyNumberFormat="1" applyFont="1" applyFill="1" applyAlignment="1">
      <alignment vertical="center"/>
    </xf>
    <xf numFmtId="37" fontId="24" fillId="11" borderId="62" xfId="2" applyNumberFormat="1" applyFont="1" applyFill="1" applyBorder="1" applyAlignment="1" applyProtection="1">
      <alignment vertical="top"/>
    </xf>
    <xf numFmtId="167" fontId="98" fillId="0" borderId="0" xfId="2" applyNumberFormat="1" applyFont="1" applyFill="1" applyAlignment="1">
      <alignment vertical="center"/>
    </xf>
    <xf numFmtId="167" fontId="24" fillId="0" borderId="0" xfId="2" applyNumberFormat="1" applyFont="1" applyFill="1" applyAlignment="1">
      <alignment horizontal="left" vertical="center"/>
    </xf>
    <xf numFmtId="0" fontId="28" fillId="4" borderId="0" xfId="2" applyFont="1" applyFill="1" applyBorder="1" applyAlignment="1">
      <alignment horizontal="center" vertical="center"/>
    </xf>
    <xf numFmtId="0" fontId="24" fillId="0" borderId="0" xfId="2" applyFont="1" applyFill="1"/>
    <xf numFmtId="0" fontId="19" fillId="0" borderId="0" xfId="2" applyFont="1" applyFill="1" applyBorder="1" applyAlignment="1">
      <alignment horizontal="right"/>
    </xf>
    <xf numFmtId="0" fontId="19" fillId="0" borderId="0" xfId="2" applyFont="1" applyFill="1" applyBorder="1" applyAlignment="1">
      <alignment horizontal="center" vertical="center"/>
    </xf>
    <xf numFmtId="0" fontId="19" fillId="0" borderId="0" xfId="2" applyFont="1" applyFill="1" applyBorder="1" applyAlignment="1">
      <alignment horizontal="right" vertical="center"/>
    </xf>
    <xf numFmtId="3" fontId="26" fillId="0" borderId="0" xfId="2" applyNumberFormat="1" applyFont="1" applyFill="1" applyBorder="1" applyAlignment="1">
      <alignment horizontal="center" wrapText="1"/>
    </xf>
    <xf numFmtId="0" fontId="24" fillId="0" borderId="0" xfId="2" applyFont="1" applyFill="1" applyBorder="1"/>
    <xf numFmtId="3" fontId="26" fillId="0" borderId="0" xfId="2" applyNumberFormat="1" applyFont="1" applyFill="1" applyBorder="1" applyAlignment="1">
      <alignment horizontal="center"/>
    </xf>
    <xf numFmtId="10" fontId="26" fillId="0" borderId="0" xfId="3" applyNumberFormat="1" applyFont="1" applyFill="1" applyBorder="1" applyAlignment="1">
      <alignment horizontal="center"/>
    </xf>
    <xf numFmtId="3" fontId="19" fillId="0" borderId="0" xfId="2" applyNumberFormat="1" applyFont="1" applyFill="1" applyBorder="1" applyAlignment="1">
      <alignment horizontal="right"/>
    </xf>
    <xf numFmtId="3" fontId="28" fillId="0" borderId="0" xfId="2" applyNumberFormat="1" applyFont="1" applyFill="1" applyBorder="1" applyAlignment="1">
      <alignment horizontal="right"/>
    </xf>
    <xf numFmtId="0" fontId="24" fillId="0" borderId="0" xfId="2" applyFont="1" applyFill="1" applyBorder="1" applyAlignment="1">
      <alignment horizontal="center" vertical="top"/>
    </xf>
    <xf numFmtId="3" fontId="25" fillId="0" borderId="0" xfId="2" quotePrefix="1" applyNumberFormat="1" applyFont="1" applyFill="1" applyAlignment="1">
      <alignment vertical="center"/>
    </xf>
    <xf numFmtId="3" fontId="24" fillId="0" borderId="0" xfId="2" applyNumberFormat="1" applyFont="1" applyFill="1" applyAlignment="1">
      <alignment horizontal="left" vertical="center"/>
    </xf>
    <xf numFmtId="3" fontId="25" fillId="0" borderId="0" xfId="2" applyNumberFormat="1" applyFont="1" applyFill="1" applyAlignment="1">
      <alignment vertical="center"/>
    </xf>
    <xf numFmtId="0" fontId="24" fillId="0" borderId="0" xfId="2" applyFont="1" applyFill="1" applyAlignment="1">
      <alignment horizontal="left" vertical="center"/>
    </xf>
    <xf numFmtId="3" fontId="29" fillId="0" borderId="0" xfId="2" applyNumberFormat="1" applyFont="1" applyFill="1" applyAlignment="1">
      <alignment vertical="center" wrapText="1"/>
    </xf>
    <xf numFmtId="3" fontId="29" fillId="0" borderId="0" xfId="2" applyNumberFormat="1" applyFont="1" applyFill="1" applyBorder="1" applyAlignment="1">
      <alignment vertical="center" wrapText="1"/>
    </xf>
    <xf numFmtId="0" fontId="24" fillId="0" borderId="0" xfId="2" applyFont="1" applyFill="1" applyBorder="1" applyAlignment="1">
      <alignment vertical="center"/>
    </xf>
    <xf numFmtId="3" fontId="26" fillId="0" borderId="0" xfId="2" applyNumberFormat="1" applyFont="1" applyFill="1" applyBorder="1" applyAlignment="1">
      <alignment vertical="center"/>
    </xf>
    <xf numFmtId="3" fontId="25" fillId="0" borderId="0" xfId="2" applyNumberFormat="1" applyFont="1" applyFill="1" applyBorder="1" applyAlignment="1">
      <alignment vertical="center"/>
    </xf>
    <xf numFmtId="3" fontId="97" fillId="0" borderId="0" xfId="2" applyNumberFormat="1" applyFont="1" applyFill="1" applyBorder="1" applyAlignment="1">
      <alignment vertical="center"/>
    </xf>
    <xf numFmtId="0" fontId="98" fillId="0" borderId="0" xfId="2" applyFont="1" applyFill="1" applyAlignment="1">
      <alignment vertical="center"/>
    </xf>
    <xf numFmtId="0" fontId="26" fillId="0" borderId="0" xfId="2" applyFont="1" applyFill="1" applyBorder="1" applyAlignment="1">
      <alignment vertical="center"/>
    </xf>
    <xf numFmtId="0" fontId="28" fillId="0" borderId="0" xfId="2" applyFont="1" applyFill="1" applyBorder="1" applyAlignment="1">
      <alignment vertical="center"/>
    </xf>
    <xf numFmtId="0" fontId="98" fillId="0" borderId="0" xfId="2" applyFont="1" applyFill="1" applyBorder="1" applyAlignment="1">
      <alignment vertical="center"/>
    </xf>
    <xf numFmtId="3" fontId="99" fillId="0" borderId="0" xfId="2" applyNumberFormat="1" applyFont="1" applyFill="1" applyAlignment="1">
      <alignment vertical="center"/>
    </xf>
    <xf numFmtId="3" fontId="29" fillId="0" borderId="0" xfId="2" applyNumberFormat="1" applyFont="1" applyFill="1" applyAlignment="1">
      <alignment horizontal="left" vertical="center" wrapText="1"/>
    </xf>
    <xf numFmtId="0" fontId="25" fillId="0" borderId="0" xfId="2" applyNumberFormat="1" applyFont="1" applyAlignment="1" applyProtection="1">
      <alignment vertical="top"/>
    </xf>
    <xf numFmtId="0" fontId="25" fillId="0" borderId="0" xfId="2" applyFont="1" applyAlignment="1">
      <alignment vertical="top"/>
    </xf>
    <xf numFmtId="0" fontId="28" fillId="0" borderId="0" xfId="2" applyFont="1" applyBorder="1" applyAlignment="1">
      <alignment horizontal="right"/>
    </xf>
    <xf numFmtId="0" fontId="26" fillId="0" borderId="0" xfId="2" applyFont="1" applyAlignment="1">
      <alignment horizontal="center" vertical="top"/>
    </xf>
    <xf numFmtId="0" fontId="24" fillId="0" borderId="56" xfId="2" applyFont="1" applyBorder="1" applyAlignment="1">
      <alignment horizontal="center" vertical="top"/>
    </xf>
    <xf numFmtId="0" fontId="24" fillId="0" borderId="61" xfId="2" applyFont="1" applyBorder="1" applyAlignment="1">
      <alignment horizontal="center" vertical="top"/>
    </xf>
    <xf numFmtId="0" fontId="35" fillId="2" borderId="62" xfId="2" applyFont="1" applyFill="1" applyBorder="1" applyAlignment="1">
      <alignment vertical="top"/>
    </xf>
    <xf numFmtId="0" fontId="25" fillId="2" borderId="62" xfId="2" applyFont="1" applyFill="1" applyBorder="1" applyAlignment="1">
      <alignment vertical="top"/>
    </xf>
    <xf numFmtId="0" fontId="28" fillId="3" borderId="62" xfId="2" applyFont="1" applyFill="1" applyBorder="1" applyAlignment="1">
      <alignment horizontal="left" vertical="center"/>
    </xf>
    <xf numFmtId="0" fontId="28" fillId="0" borderId="62" xfId="2" applyFont="1" applyBorder="1" applyAlignment="1">
      <alignment vertical="top"/>
    </xf>
    <xf numFmtId="0" fontId="28" fillId="0" borderId="62" xfId="2" quotePrefix="1" applyFont="1" applyBorder="1" applyAlignment="1">
      <alignment horizontal="center" vertical="center"/>
    </xf>
    <xf numFmtId="0" fontId="28" fillId="3" borderId="62" xfId="2" applyFont="1" applyFill="1" applyBorder="1" applyAlignment="1">
      <alignment vertical="center"/>
    </xf>
    <xf numFmtId="0" fontId="28" fillId="0" borderId="62" xfId="2" applyFont="1" applyFill="1" applyBorder="1" applyAlignment="1">
      <alignment vertical="top"/>
    </xf>
    <xf numFmtId="0" fontId="25" fillId="4" borderId="62" xfId="2" applyFont="1" applyFill="1" applyBorder="1" applyAlignment="1">
      <alignment vertical="center"/>
    </xf>
    <xf numFmtId="0" fontId="25" fillId="4" borderId="62" xfId="2" applyFont="1" applyFill="1" applyBorder="1" applyAlignment="1">
      <alignment vertical="top"/>
    </xf>
    <xf numFmtId="0" fontId="25" fillId="4" borderId="62" xfId="2" quotePrefix="1" applyFont="1" applyFill="1" applyBorder="1" applyAlignment="1">
      <alignment horizontal="center" vertical="center"/>
    </xf>
    <xf numFmtId="0" fontId="24" fillId="0" borderId="62" xfId="2" applyFont="1" applyBorder="1" applyAlignment="1">
      <alignment vertical="top"/>
    </xf>
    <xf numFmtId="0" fontId="24" fillId="3" borderId="62" xfId="2" applyFont="1" applyFill="1" applyBorder="1" applyAlignment="1">
      <alignment horizontal="left" vertical="center" indent="1"/>
    </xf>
    <xf numFmtId="0" fontId="28" fillId="2" borderId="62" xfId="2" applyFont="1" applyFill="1" applyBorder="1" applyAlignment="1">
      <alignment vertical="top"/>
    </xf>
    <xf numFmtId="0" fontId="30" fillId="3" borderId="62" xfId="2" applyFont="1" applyFill="1" applyBorder="1" applyAlignment="1">
      <alignment vertical="center"/>
    </xf>
    <xf numFmtId="0" fontId="30" fillId="0" borderId="62" xfId="2" applyFont="1" applyFill="1" applyBorder="1" applyAlignment="1">
      <alignment vertical="top"/>
    </xf>
    <xf numFmtId="0" fontId="30" fillId="0" borderId="62" xfId="2" quotePrefix="1" applyFont="1" applyBorder="1" applyAlignment="1">
      <alignment horizontal="center" vertical="center"/>
    </xf>
    <xf numFmtId="0" fontId="24" fillId="0" borderId="62" xfId="2" applyFont="1" applyFill="1" applyBorder="1" applyAlignment="1">
      <alignment vertical="top"/>
    </xf>
    <xf numFmtId="49" fontId="24" fillId="0" borderId="62" xfId="2" applyNumberFormat="1" applyFont="1" applyFill="1" applyBorder="1" applyAlignment="1">
      <alignment vertical="top"/>
    </xf>
    <xf numFmtId="0" fontId="35" fillId="5" borderId="62" xfId="2" quotePrefix="1" applyFont="1" applyFill="1" applyBorder="1" applyAlignment="1">
      <alignment vertical="top"/>
    </xf>
    <xf numFmtId="0" fontId="102" fillId="0" borderId="0" xfId="2" applyFont="1"/>
    <xf numFmtId="0" fontId="28" fillId="0" borderId="0" xfId="2" applyNumberFormat="1" applyFont="1" applyFill="1" applyBorder="1" applyAlignment="1">
      <alignment horizontal="right"/>
    </xf>
    <xf numFmtId="3" fontId="24" fillId="0" borderId="0" xfId="2" applyNumberFormat="1" applyFont="1" applyFill="1" applyBorder="1" applyAlignment="1"/>
    <xf numFmtId="14" fontId="28" fillId="0" borderId="0" xfId="2" applyNumberFormat="1" applyFont="1" applyFill="1" applyBorder="1" applyAlignment="1">
      <alignment horizontal="right" vertical="center"/>
    </xf>
    <xf numFmtId="0" fontId="28" fillId="0" borderId="0" xfId="2" applyFont="1" applyFill="1" applyBorder="1" applyAlignment="1">
      <alignment horizontal="right"/>
    </xf>
    <xf numFmtId="0" fontId="97" fillId="0" borderId="0" xfId="2" applyFont="1" applyFill="1" applyAlignment="1">
      <alignment horizontal="left"/>
    </xf>
    <xf numFmtId="0" fontId="24" fillId="0" borderId="0" xfId="2" applyFont="1" applyFill="1" applyAlignment="1">
      <alignment horizontal="center"/>
    </xf>
    <xf numFmtId="0" fontId="102" fillId="0" borderId="0" xfId="2" applyFont="1" applyFill="1" applyAlignment="1">
      <alignment vertical="center"/>
    </xf>
    <xf numFmtId="3" fontId="35" fillId="0" borderId="0" xfId="2" applyNumberFormat="1" applyFont="1" applyFill="1" applyAlignment="1">
      <alignment vertical="center"/>
    </xf>
    <xf numFmtId="0" fontId="35" fillId="0" borderId="0" xfId="2" applyFont="1" applyFill="1" applyAlignment="1">
      <alignment vertical="center"/>
    </xf>
    <xf numFmtId="3" fontId="98" fillId="0" borderId="0" xfId="2" applyNumberFormat="1" applyFont="1" applyFill="1" applyBorder="1" applyAlignment="1">
      <alignment vertical="center"/>
    </xf>
    <xf numFmtId="3" fontId="24" fillId="0" borderId="0" xfId="2" applyNumberFormat="1" applyFont="1" applyFill="1" applyAlignment="1">
      <alignment vertical="center"/>
    </xf>
    <xf numFmtId="0" fontId="101" fillId="0" borderId="0" xfId="21" applyFont="1" applyFill="1" applyAlignment="1" applyProtection="1">
      <alignment vertical="center"/>
    </xf>
    <xf numFmtId="0" fontId="102" fillId="0" borderId="0" xfId="2" applyFont="1" applyFill="1"/>
    <xf numFmtId="49" fontId="30" fillId="0" borderId="43" xfId="8" applyNumberFormat="1" applyFont="1" applyFill="1" applyBorder="1" applyAlignment="1">
      <alignment horizontal="center" vertical="top" wrapText="1"/>
    </xf>
    <xf numFmtId="0" fontId="60" fillId="0" borderId="88" xfId="8" applyFont="1" applyFill="1" applyBorder="1" applyAlignment="1">
      <alignment vertical="center"/>
    </xf>
    <xf numFmtId="0" fontId="60" fillId="0" borderId="89" xfId="8" applyFont="1" applyFill="1" applyBorder="1" applyAlignment="1">
      <alignment vertical="center"/>
    </xf>
    <xf numFmtId="49" fontId="30" fillId="0" borderId="76" xfId="8" applyNumberFormat="1" applyFont="1" applyFill="1" applyBorder="1" applyAlignment="1">
      <alignment horizontal="center" vertical="top" wrapText="1"/>
    </xf>
    <xf numFmtId="0" fontId="75" fillId="0" borderId="84" xfId="8" applyFont="1" applyFill="1" applyBorder="1" applyAlignment="1">
      <alignment horizontal="center" wrapText="1"/>
    </xf>
    <xf numFmtId="49" fontId="74" fillId="0" borderId="87" xfId="8" applyNumberFormat="1" applyFont="1" applyFill="1" applyBorder="1" applyAlignment="1">
      <alignment horizontal="center" vertical="top"/>
    </xf>
    <xf numFmtId="49" fontId="73" fillId="0" borderId="87" xfId="8" applyNumberFormat="1" applyFont="1" applyFill="1" applyBorder="1" applyAlignment="1">
      <alignment horizontal="center" vertical="top"/>
    </xf>
    <xf numFmtId="49" fontId="74" fillId="0" borderId="115" xfId="8" applyNumberFormat="1" applyFont="1" applyFill="1" applyBorder="1" applyAlignment="1">
      <alignment horizontal="center" vertical="top"/>
    </xf>
    <xf numFmtId="0" fontId="75" fillId="0" borderId="111" xfId="8" applyFont="1" applyFill="1" applyBorder="1" applyAlignment="1">
      <alignment horizontal="center" wrapText="1"/>
    </xf>
    <xf numFmtId="0" fontId="59" fillId="0" borderId="76" xfId="8" applyFont="1" applyFill="1" applyBorder="1" applyAlignment="1">
      <alignment horizontal="left" vertical="center"/>
    </xf>
    <xf numFmtId="171" fontId="72" fillId="0" borderId="87" xfId="8" applyNumberFormat="1" applyFont="1" applyFill="1" applyBorder="1" applyAlignment="1">
      <alignment vertical="center"/>
    </xf>
    <xf numFmtId="171" fontId="72" fillId="0" borderId="89" xfId="8" applyNumberFormat="1" applyFont="1" applyFill="1" applyBorder="1" applyAlignment="1">
      <alignment vertical="center"/>
    </xf>
    <xf numFmtId="0" fontId="56" fillId="0" borderId="0" xfId="17" quotePrefix="1" applyFont="1" applyFill="1" applyAlignment="1">
      <alignment horizontal="left" vertical="center"/>
    </xf>
    <xf numFmtId="0" fontId="60" fillId="0" borderId="0" xfId="17" applyFont="1" applyFill="1" applyAlignment="1">
      <alignment vertical="center"/>
    </xf>
    <xf numFmtId="0" fontId="60" fillId="0" borderId="0" xfId="17" applyFont="1" applyFill="1" applyBorder="1" applyAlignment="1">
      <alignment vertical="center"/>
    </xf>
    <xf numFmtId="0" fontId="60" fillId="0" borderId="0" xfId="17" applyFont="1" applyFill="1" applyAlignment="1">
      <alignment vertical="center" wrapText="1"/>
    </xf>
    <xf numFmtId="0" fontId="103" fillId="0" borderId="114" xfId="17" applyFont="1" applyFill="1" applyBorder="1" applyAlignment="1">
      <alignment horizontal="right" vertical="center" wrapText="1"/>
    </xf>
    <xf numFmtId="0" fontId="61" fillId="0" borderId="0" xfId="17" applyFont="1" applyFill="1" applyAlignment="1">
      <alignment vertical="center" wrapText="1"/>
    </xf>
    <xf numFmtId="171" fontId="103" fillId="0" borderId="43" xfId="17" applyNumberFormat="1" applyFont="1" applyFill="1" applyBorder="1" applyAlignment="1">
      <alignment horizontal="right" vertical="center"/>
    </xf>
    <xf numFmtId="0" fontId="72" fillId="0" borderId="114" xfId="17" applyFont="1" applyFill="1" applyBorder="1" applyAlignment="1">
      <alignment horizontal="right" vertical="center" wrapText="1"/>
    </xf>
    <xf numFmtId="171" fontId="72" fillId="0" borderId="43" xfId="17" applyNumberFormat="1" applyFont="1" applyFill="1" applyBorder="1" applyAlignment="1">
      <alignment horizontal="right" vertical="center"/>
    </xf>
    <xf numFmtId="0" fontId="61" fillId="0" borderId="0" xfId="17" applyFont="1" applyFill="1" applyAlignment="1">
      <alignment vertical="center"/>
    </xf>
    <xf numFmtId="0" fontId="60" fillId="0" borderId="0" xfId="17" applyFont="1" applyFill="1"/>
    <xf numFmtId="171" fontId="103" fillId="0" borderId="116" xfId="17" applyNumberFormat="1" applyFont="1" applyFill="1" applyBorder="1" applyAlignment="1">
      <alignment horizontal="right" vertical="center"/>
    </xf>
    <xf numFmtId="0" fontId="73" fillId="0" borderId="0" xfId="17" applyFont="1" applyFill="1" applyBorder="1" applyAlignment="1">
      <alignment horizontal="right" vertical="top" wrapText="1"/>
    </xf>
    <xf numFmtId="0" fontId="73" fillId="0" borderId="0" xfId="17" applyFont="1" applyFill="1" applyBorder="1" applyAlignment="1">
      <alignment horizontal="left" vertical="top" wrapText="1"/>
    </xf>
    <xf numFmtId="49" fontId="73" fillId="0" borderId="0" xfId="17" applyNumberFormat="1" applyFont="1" applyFill="1" applyBorder="1" applyAlignment="1">
      <alignment horizontal="center" vertical="top"/>
    </xf>
    <xf numFmtId="171" fontId="72" fillId="0" borderId="0" xfId="17" applyNumberFormat="1" applyFont="1" applyFill="1" applyBorder="1" applyAlignment="1">
      <alignment horizontal="right" vertical="center"/>
    </xf>
    <xf numFmtId="0" fontId="75" fillId="0" borderId="70" xfId="17" applyFont="1" applyFill="1" applyBorder="1" applyAlignment="1">
      <alignment horizontal="center" wrapText="1"/>
    </xf>
    <xf numFmtId="0" fontId="74" fillId="0" borderId="66" xfId="17" applyFont="1" applyFill="1" applyBorder="1" applyAlignment="1">
      <alignment horizontal="left" vertical="top"/>
    </xf>
    <xf numFmtId="49" fontId="74" fillId="0" borderId="43" xfId="17" applyNumberFormat="1" applyFont="1" applyFill="1" applyBorder="1" applyAlignment="1">
      <alignment horizontal="center" vertical="top"/>
    </xf>
    <xf numFmtId="0" fontId="73" fillId="0" borderId="66" xfId="17" applyFont="1" applyFill="1" applyBorder="1" applyAlignment="1">
      <alignment horizontal="left" vertical="top"/>
    </xf>
    <xf numFmtId="49" fontId="73" fillId="0" borderId="43" xfId="17" applyNumberFormat="1" applyFont="1" applyFill="1" applyBorder="1" applyAlignment="1">
      <alignment horizontal="center" vertical="top"/>
    </xf>
    <xf numFmtId="0" fontId="73" fillId="0" borderId="66" xfId="17" applyFont="1" applyFill="1" applyBorder="1" applyAlignment="1">
      <alignment horizontal="left" vertical="top" wrapText="1"/>
    </xf>
    <xf numFmtId="0" fontId="74" fillId="0" borderId="66" xfId="17" applyFont="1" applyFill="1" applyBorder="1" applyAlignment="1">
      <alignment horizontal="left" vertical="top" wrapText="1"/>
    </xf>
    <xf numFmtId="0" fontId="27" fillId="0" borderId="0" xfId="17" applyFont="1" applyFill="1" applyBorder="1" applyAlignment="1">
      <alignment horizontal="left" vertical="top" wrapText="1"/>
    </xf>
    <xf numFmtId="171" fontId="72" fillId="0" borderId="88" xfId="17" applyNumberFormat="1" applyFont="1" applyFill="1" applyBorder="1" applyAlignment="1">
      <alignment horizontal="right" vertical="center"/>
    </xf>
    <xf numFmtId="0" fontId="74" fillId="0" borderId="99" xfId="17" applyFont="1" applyFill="1" applyBorder="1" applyAlignment="1">
      <alignment horizontal="center" vertical="center" wrapText="1"/>
    </xf>
    <xf numFmtId="0" fontId="74" fillId="0" borderId="85" xfId="17" applyFont="1" applyFill="1" applyBorder="1" applyAlignment="1">
      <alignment horizontal="center" vertical="center" wrapText="1"/>
    </xf>
    <xf numFmtId="0" fontId="59" fillId="0" borderId="0" xfId="8" applyFont="1" applyFill="1" applyBorder="1" applyAlignment="1">
      <alignment horizontal="left" vertical="center"/>
    </xf>
    <xf numFmtId="0" fontId="75" fillId="0" borderId="84" xfId="17" applyFont="1" applyFill="1" applyBorder="1" applyAlignment="1">
      <alignment horizontal="center" wrapText="1"/>
    </xf>
    <xf numFmtId="2" fontId="74" fillId="0" borderId="87" xfId="17" applyNumberFormat="1" applyFont="1" applyFill="1" applyBorder="1" applyAlignment="1">
      <alignment horizontal="center" vertical="top"/>
    </xf>
    <xf numFmtId="49" fontId="74" fillId="0" borderId="87" xfId="17" applyNumberFormat="1" applyFont="1" applyFill="1" applyBorder="1" applyAlignment="1">
      <alignment horizontal="center" vertical="top"/>
    </xf>
    <xf numFmtId="49" fontId="73" fillId="0" borderId="87" xfId="17" applyNumberFormat="1" applyFont="1" applyFill="1" applyBorder="1" applyAlignment="1">
      <alignment horizontal="center" vertical="top"/>
    </xf>
    <xf numFmtId="0" fontId="72" fillId="0" borderId="87" xfId="8" applyFont="1" applyFill="1" applyBorder="1" applyAlignment="1">
      <alignment vertical="center"/>
    </xf>
    <xf numFmtId="0" fontId="72" fillId="0" borderId="88" xfId="8" applyFont="1" applyFill="1" applyBorder="1" applyAlignment="1">
      <alignment vertical="center"/>
    </xf>
    <xf numFmtId="0" fontId="72" fillId="0" borderId="89" xfId="8" applyFont="1" applyFill="1" applyBorder="1" applyAlignment="1">
      <alignment vertical="center"/>
    </xf>
    <xf numFmtId="0" fontId="59" fillId="0" borderId="43" xfId="8" applyFont="1" applyFill="1" applyBorder="1" applyAlignment="1">
      <alignment horizontal="left" vertical="center"/>
    </xf>
    <xf numFmtId="0" fontId="74" fillId="0" borderId="115" xfId="17" quotePrefix="1" applyFont="1" applyFill="1" applyBorder="1" applyAlignment="1">
      <alignment horizontal="left" vertical="top" wrapText="1"/>
    </xf>
    <xf numFmtId="0" fontId="74" fillId="0" borderId="84" xfId="17" quotePrefix="1" applyFont="1" applyFill="1" applyBorder="1" applyAlignment="1">
      <alignment horizontal="left" vertical="top" wrapText="1"/>
    </xf>
    <xf numFmtId="171" fontId="103" fillId="0" borderId="89" xfId="17" applyNumberFormat="1" applyFont="1" applyFill="1" applyBorder="1" applyAlignment="1">
      <alignment horizontal="right" vertical="center"/>
    </xf>
    <xf numFmtId="171" fontId="72" fillId="0" borderId="89" xfId="17" applyNumberFormat="1" applyFont="1" applyFill="1" applyBorder="1" applyAlignment="1">
      <alignment horizontal="right" vertical="center"/>
    </xf>
    <xf numFmtId="0" fontId="74" fillId="0" borderId="0" xfId="17" applyFont="1" applyFill="1" applyBorder="1" applyAlignment="1">
      <alignment horizontal="center" vertical="center" wrapText="1"/>
    </xf>
    <xf numFmtId="0" fontId="74" fillId="0" borderId="0" xfId="17" applyFont="1" applyFill="1" applyBorder="1" applyAlignment="1">
      <alignment horizontal="left" vertical="top" wrapText="1"/>
    </xf>
    <xf numFmtId="171" fontId="103" fillId="0" borderId="88" xfId="17" applyNumberFormat="1" applyFont="1" applyFill="1" applyBorder="1" applyAlignment="1">
      <alignment horizontal="right" vertical="center"/>
    </xf>
    <xf numFmtId="0" fontId="74" fillId="0" borderId="75" xfId="17" quotePrefix="1" applyFont="1" applyFill="1" applyBorder="1" applyAlignment="1">
      <alignment horizontal="left" vertical="top" wrapText="1"/>
    </xf>
    <xf numFmtId="0" fontId="73" fillId="0" borderId="99" xfId="17" applyFont="1" applyFill="1" applyBorder="1" applyAlignment="1">
      <alignment horizontal="left" vertical="top" wrapText="1"/>
    </xf>
    <xf numFmtId="171" fontId="72" fillId="0" borderId="119" xfId="17" applyNumberFormat="1" applyFont="1" applyFill="1" applyBorder="1" applyAlignment="1">
      <alignment horizontal="right" vertical="center"/>
    </xf>
    <xf numFmtId="171" fontId="103" fillId="0" borderId="0" xfId="17" applyNumberFormat="1" applyFont="1" applyFill="1" applyBorder="1" applyAlignment="1">
      <alignment horizontal="right" vertical="center"/>
    </xf>
    <xf numFmtId="0" fontId="60" fillId="0" borderId="97" xfId="17" applyFont="1" applyFill="1" applyBorder="1" applyAlignment="1">
      <alignment vertical="center"/>
    </xf>
    <xf numFmtId="0" fontId="73" fillId="0" borderId="63" xfId="17" applyFont="1" applyFill="1" applyBorder="1" applyAlignment="1">
      <alignment horizontal="center" vertical="center"/>
    </xf>
    <xf numFmtId="0" fontId="73" fillId="0" borderId="111" xfId="17" applyFont="1" applyFill="1" applyBorder="1" applyAlignment="1">
      <alignment horizontal="center" vertical="center"/>
    </xf>
    <xf numFmtId="0" fontId="73" fillId="0" borderId="112" xfId="17" applyFont="1" applyFill="1" applyBorder="1" applyAlignment="1">
      <alignment horizontal="center" vertical="center"/>
    </xf>
    <xf numFmtId="0" fontId="73" fillId="0" borderId="64" xfId="17" applyFont="1" applyFill="1" applyBorder="1" applyAlignment="1">
      <alignment horizontal="center" vertical="center"/>
    </xf>
    <xf numFmtId="0" fontId="73" fillId="0" borderId="0" xfId="17" applyFont="1" applyFill="1" applyAlignment="1">
      <alignment vertical="center" wrapText="1"/>
    </xf>
    <xf numFmtId="0" fontId="74" fillId="0" borderId="43" xfId="17" applyFont="1" applyFill="1" applyBorder="1" applyAlignment="1">
      <alignment horizontal="center" wrapText="1"/>
    </xf>
    <xf numFmtId="0" fontId="74" fillId="0" borderId="67" xfId="17" applyFont="1" applyFill="1" applyBorder="1" applyAlignment="1">
      <alignment horizontal="center" vertical="center" wrapText="1"/>
    </xf>
    <xf numFmtId="171" fontId="103" fillId="0" borderId="67" xfId="17" applyNumberFormat="1" applyFont="1" applyFill="1" applyBorder="1" applyAlignment="1">
      <alignment horizontal="right" vertical="center"/>
    </xf>
    <xf numFmtId="171" fontId="72" fillId="0" borderId="67" xfId="17" applyNumberFormat="1" applyFont="1" applyFill="1" applyBorder="1" applyAlignment="1">
      <alignment horizontal="right" vertical="center"/>
    </xf>
    <xf numFmtId="0" fontId="74" fillId="0" borderId="0" xfId="17" applyFont="1" applyFill="1" applyAlignment="1">
      <alignment vertical="center" wrapText="1"/>
    </xf>
    <xf numFmtId="0" fontId="74" fillId="0" borderId="70" xfId="17" applyFont="1" applyFill="1" applyBorder="1" applyAlignment="1">
      <alignment horizontal="left" vertical="top" wrapText="1"/>
    </xf>
    <xf numFmtId="0" fontId="74" fillId="0" borderId="85" xfId="17" applyFont="1" applyFill="1" applyBorder="1" applyAlignment="1">
      <alignment horizontal="left" vertical="top" wrapText="1"/>
    </xf>
    <xf numFmtId="0" fontId="73" fillId="0" borderId="0" xfId="17" applyFont="1" applyFill="1" applyAlignment="1">
      <alignment vertical="center"/>
    </xf>
    <xf numFmtId="0" fontId="104" fillId="0" borderId="66" xfId="17" applyFont="1" applyFill="1" applyBorder="1" applyAlignment="1">
      <alignment horizontal="left" vertical="top" wrapText="1"/>
    </xf>
    <xf numFmtId="0" fontId="74" fillId="0" borderId="0" xfId="17" applyFont="1" applyFill="1" applyAlignment="1">
      <alignment vertical="center"/>
    </xf>
    <xf numFmtId="0" fontId="73" fillId="0" borderId="66" xfId="17" quotePrefix="1" applyFont="1" applyFill="1" applyBorder="1" applyAlignment="1">
      <alignment horizontal="left" vertical="top" wrapText="1"/>
    </xf>
    <xf numFmtId="0" fontId="74" fillId="0" borderId="66" xfId="17" quotePrefix="1" applyFont="1" applyFill="1" applyBorder="1" applyAlignment="1">
      <alignment horizontal="left" vertical="top" wrapText="1"/>
    </xf>
    <xf numFmtId="0" fontId="73" fillId="0" borderId="70" xfId="17" applyFont="1" applyFill="1" applyBorder="1" applyAlignment="1">
      <alignment horizontal="left" vertical="top" wrapText="1"/>
    </xf>
    <xf numFmtId="0" fontId="73" fillId="0" borderId="85" xfId="17" applyFont="1" applyFill="1" applyBorder="1" applyAlignment="1">
      <alignment horizontal="left" vertical="top" wrapText="1"/>
    </xf>
    <xf numFmtId="0" fontId="73" fillId="0" borderId="115" xfId="17" quotePrefix="1" applyFont="1" applyFill="1" applyBorder="1" applyAlignment="1">
      <alignment horizontal="left" vertical="top" wrapText="1"/>
    </xf>
    <xf numFmtId="0" fontId="73" fillId="0" borderId="84" xfId="17" quotePrefix="1" applyFont="1" applyFill="1" applyBorder="1" applyAlignment="1">
      <alignment horizontal="left" vertical="top" wrapText="1"/>
    </xf>
    <xf numFmtId="0" fontId="74" fillId="0" borderId="75" xfId="17" applyFont="1" applyFill="1" applyBorder="1" applyAlignment="1">
      <alignment horizontal="left" vertical="top" wrapText="1"/>
    </xf>
    <xf numFmtId="0" fontId="73" fillId="0" borderId="118" xfId="17" applyFont="1" applyFill="1" applyBorder="1" applyAlignment="1">
      <alignment horizontal="left" vertical="top" wrapText="1"/>
    </xf>
    <xf numFmtId="0" fontId="73" fillId="0" borderId="119" xfId="17" applyFont="1" applyFill="1" applyBorder="1" applyAlignment="1">
      <alignment horizontal="left" vertical="top" wrapText="1"/>
    </xf>
    <xf numFmtId="49" fontId="74" fillId="0" borderId="88" xfId="17" applyNumberFormat="1" applyFont="1" applyFill="1" applyBorder="1" applyAlignment="1">
      <alignment horizontal="center" vertical="top"/>
    </xf>
    <xf numFmtId="49" fontId="73" fillId="0" borderId="88" xfId="17" applyNumberFormat="1" applyFont="1" applyFill="1" applyBorder="1" applyAlignment="1">
      <alignment horizontal="center" vertical="top"/>
    </xf>
    <xf numFmtId="0" fontId="73" fillId="0" borderId="101" xfId="17" applyFont="1" applyFill="1" applyBorder="1" applyAlignment="1">
      <alignment horizontal="right" vertical="top" wrapText="1"/>
    </xf>
    <xf numFmtId="0" fontId="74" fillId="0" borderId="118" xfId="17" applyFont="1" applyFill="1" applyBorder="1" applyAlignment="1">
      <alignment horizontal="center" vertical="center" wrapText="1"/>
    </xf>
    <xf numFmtId="0" fontId="74" fillId="0" borderId="77" xfId="17" applyFont="1" applyFill="1" applyBorder="1" applyAlignment="1">
      <alignment horizontal="center" vertical="center" wrapText="1"/>
    </xf>
    <xf numFmtId="0" fontId="74" fillId="0" borderId="118" xfId="17" applyFont="1" applyFill="1" applyBorder="1" applyAlignment="1">
      <alignment horizontal="left" vertical="top" wrapText="1"/>
    </xf>
    <xf numFmtId="0" fontId="73" fillId="4" borderId="118" xfId="17" applyFont="1" applyFill="1" applyBorder="1" applyAlignment="1">
      <alignment horizontal="left" vertical="top" wrapText="1"/>
    </xf>
    <xf numFmtId="0" fontId="73" fillId="4" borderId="85" xfId="17" applyFont="1" applyFill="1" applyBorder="1" applyAlignment="1">
      <alignment horizontal="left" vertical="top" wrapText="1"/>
    </xf>
    <xf numFmtId="171" fontId="103" fillId="0" borderId="118" xfId="17" applyNumberFormat="1" applyFont="1" applyFill="1" applyBorder="1" applyAlignment="1">
      <alignment horizontal="right" vertical="center"/>
    </xf>
    <xf numFmtId="49" fontId="73" fillId="0" borderId="99" xfId="17" applyNumberFormat="1" applyFont="1" applyFill="1" applyBorder="1" applyAlignment="1">
      <alignment horizontal="center" vertical="top"/>
    </xf>
    <xf numFmtId="0" fontId="75" fillId="0" borderId="89" xfId="17" applyFont="1" applyFill="1" applyBorder="1" applyAlignment="1">
      <alignment horizontal="center" wrapText="1"/>
    </xf>
    <xf numFmtId="2" fontId="74" fillId="0" borderId="88" xfId="17" applyNumberFormat="1" applyFont="1" applyFill="1" applyBorder="1" applyAlignment="1">
      <alignment horizontal="center" vertical="top"/>
    </xf>
    <xf numFmtId="49" fontId="73" fillId="0" borderId="84" xfId="17" applyNumberFormat="1" applyFont="1" applyFill="1" applyBorder="1" applyAlignment="1">
      <alignment horizontal="center" vertical="top"/>
    </xf>
    <xf numFmtId="49" fontId="74" fillId="0" borderId="84" xfId="17" applyNumberFormat="1" applyFont="1" applyFill="1" applyBorder="1" applyAlignment="1">
      <alignment horizontal="center" vertical="top"/>
    </xf>
    <xf numFmtId="49" fontId="74" fillId="0" borderId="99" xfId="17" applyNumberFormat="1" applyFont="1" applyFill="1" applyBorder="1" applyAlignment="1">
      <alignment horizontal="center" vertical="top"/>
    </xf>
    <xf numFmtId="0" fontId="73" fillId="0" borderId="43" xfId="17" applyFont="1" applyFill="1" applyBorder="1" applyAlignment="1">
      <alignment horizontal="left" vertical="top" wrapText="1"/>
    </xf>
    <xf numFmtId="0" fontId="73" fillId="0" borderId="113" xfId="17" applyFont="1" applyFill="1" applyBorder="1" applyAlignment="1">
      <alignment horizontal="center" vertical="center"/>
    </xf>
    <xf numFmtId="0" fontId="27" fillId="0" borderId="43" xfId="8" applyFont="1" applyFill="1" applyBorder="1" applyAlignment="1">
      <alignment horizontal="left" vertical="center"/>
    </xf>
    <xf numFmtId="0" fontId="72" fillId="0" borderId="43" xfId="8" applyFont="1" applyFill="1" applyBorder="1" applyAlignment="1">
      <alignment horizontal="left" vertical="center"/>
    </xf>
    <xf numFmtId="0" fontId="73" fillId="0" borderId="66" xfId="17" applyFont="1" applyFill="1" applyBorder="1" applyAlignment="1">
      <alignment vertical="top" wrapText="1"/>
    </xf>
    <xf numFmtId="0" fontId="74" fillId="0" borderId="66" xfId="17" applyFont="1" applyFill="1" applyBorder="1" applyAlignment="1">
      <alignment vertical="top" wrapText="1"/>
    </xf>
    <xf numFmtId="49" fontId="74" fillId="0" borderId="0" xfId="17" applyNumberFormat="1" applyFont="1" applyFill="1" applyBorder="1" applyAlignment="1">
      <alignment horizontal="center" vertical="top"/>
    </xf>
    <xf numFmtId="0" fontId="73" fillId="0" borderId="95" xfId="17" applyFont="1" applyFill="1" applyBorder="1" applyAlignment="1">
      <alignment horizontal="left" vertical="top" wrapText="1"/>
    </xf>
    <xf numFmtId="0" fontId="73" fillId="0" borderId="0" xfId="17" applyFont="1" applyFill="1" applyBorder="1" applyAlignment="1">
      <alignment vertical="center" wrapText="1"/>
    </xf>
    <xf numFmtId="0" fontId="27" fillId="0" borderId="0" xfId="8" applyFill="1" applyAlignment="1">
      <alignment vertical="center"/>
    </xf>
    <xf numFmtId="0" fontId="27" fillId="0" borderId="0" xfId="8" applyFill="1" applyBorder="1" applyAlignment="1">
      <alignment vertical="center"/>
    </xf>
    <xf numFmtId="0" fontId="57" fillId="0" borderId="90" xfId="8" applyFont="1" applyFill="1" applyBorder="1" applyAlignment="1">
      <alignment vertical="center"/>
    </xf>
    <xf numFmtId="0" fontId="27" fillId="0" borderId="91" xfId="8" applyFill="1" applyBorder="1" applyAlignment="1">
      <alignment vertical="center"/>
    </xf>
    <xf numFmtId="0" fontId="74" fillId="0" borderId="89" xfId="17" applyFont="1" applyFill="1" applyBorder="1" applyAlignment="1">
      <alignment horizontal="center" vertical="center" wrapText="1"/>
    </xf>
    <xf numFmtId="171" fontId="103" fillId="0" borderId="43" xfId="17" applyNumberFormat="1" applyFont="1" applyFill="1" applyBorder="1" applyAlignment="1">
      <alignment horizontal="right" vertical="center"/>
    </xf>
    <xf numFmtId="0" fontId="75" fillId="0" borderId="43" xfId="17" applyFont="1" applyFill="1" applyBorder="1" applyAlignment="1">
      <alignment horizontal="center" vertical="center" wrapText="1"/>
    </xf>
    <xf numFmtId="0" fontId="74" fillId="0" borderId="43" xfId="17" applyFont="1" applyFill="1" applyBorder="1" applyAlignment="1">
      <alignment horizontal="center" vertical="center" wrapText="1"/>
    </xf>
    <xf numFmtId="171" fontId="72" fillId="0" borderId="43" xfId="17" applyNumberFormat="1" applyFont="1" applyFill="1" applyBorder="1" applyAlignment="1">
      <alignment horizontal="right" vertical="center"/>
    </xf>
    <xf numFmtId="0" fontId="75" fillId="0" borderId="66" xfId="17" applyFont="1" applyFill="1" applyBorder="1" applyAlignment="1">
      <alignment horizontal="center" vertical="center" wrapText="1"/>
    </xf>
    <xf numFmtId="171" fontId="103" fillId="0" borderId="102" xfId="17" applyNumberFormat="1" applyFont="1" applyFill="1" applyBorder="1" applyAlignment="1">
      <alignment horizontal="right" vertical="center"/>
    </xf>
    <xf numFmtId="49" fontId="73" fillId="0" borderId="71" xfId="17" applyNumberFormat="1" applyFont="1" applyFill="1" applyBorder="1" applyAlignment="1">
      <alignment horizontal="center" vertical="top"/>
    </xf>
    <xf numFmtId="49" fontId="74" fillId="0" borderId="71" xfId="17" applyNumberFormat="1" applyFont="1" applyFill="1" applyBorder="1" applyAlignment="1">
      <alignment horizontal="center" vertical="top"/>
    </xf>
    <xf numFmtId="171" fontId="72" fillId="0" borderId="99" xfId="17" applyNumberFormat="1" applyFont="1" applyFill="1" applyBorder="1" applyAlignment="1">
      <alignment horizontal="right" vertical="center"/>
    </xf>
    <xf numFmtId="0" fontId="30" fillId="0" borderId="97" xfId="8" applyFont="1" applyBorder="1" applyAlignment="1">
      <alignment horizontal="center" vertical="top"/>
    </xf>
    <xf numFmtId="0" fontId="27" fillId="0" borderId="0" xfId="8" applyFill="1" applyAlignment="1">
      <alignment vertical="center"/>
    </xf>
    <xf numFmtId="0" fontId="27" fillId="0" borderId="0" xfId="8" applyFill="1" applyBorder="1" applyAlignment="1">
      <alignment vertical="center"/>
    </xf>
    <xf numFmtId="0" fontId="57" fillId="0" borderId="0" xfId="8" applyFont="1" applyFill="1" applyBorder="1" applyAlignment="1">
      <alignment vertical="center"/>
    </xf>
    <xf numFmtId="0" fontId="63" fillId="0" borderId="92" xfId="8" applyFont="1" applyFill="1" applyBorder="1" applyAlignment="1">
      <alignment horizontal="left" vertical="center"/>
    </xf>
    <xf numFmtId="0" fontId="60" fillId="0" borderId="95" xfId="8" applyFont="1" applyFill="1" applyBorder="1" applyAlignment="1">
      <alignment horizontal="left"/>
    </xf>
    <xf numFmtId="0" fontId="60" fillId="0" borderId="104" xfId="8" applyFont="1" applyFill="1" applyBorder="1" applyAlignment="1">
      <alignment horizontal="left" vertical="center"/>
    </xf>
    <xf numFmtId="0" fontId="74" fillId="0" borderId="84" xfId="17" applyFont="1" applyFill="1" applyBorder="1" applyAlignment="1">
      <alignment horizontal="center" vertical="center" wrapText="1"/>
    </xf>
    <xf numFmtId="0" fontId="74" fillId="0" borderId="99" xfId="17" applyFont="1" applyFill="1" applyBorder="1" applyAlignment="1">
      <alignment horizontal="center" vertical="center" wrapText="1"/>
    </xf>
    <xf numFmtId="0" fontId="74" fillId="0" borderId="85" xfId="17" applyFont="1" applyFill="1" applyBorder="1" applyAlignment="1">
      <alignment horizontal="center" vertical="center" wrapText="1"/>
    </xf>
    <xf numFmtId="171" fontId="72" fillId="0" borderId="89" xfId="17" applyNumberFormat="1" applyFont="1" applyFill="1" applyBorder="1" applyAlignment="1">
      <alignment horizontal="right" vertical="center"/>
    </xf>
    <xf numFmtId="0" fontId="74" fillId="0" borderId="89" xfId="17" applyFont="1" applyFill="1" applyBorder="1" applyAlignment="1">
      <alignment horizontal="center" vertical="center" wrapText="1"/>
    </xf>
    <xf numFmtId="171" fontId="103" fillId="0" borderId="89" xfId="17" applyNumberFormat="1" applyFont="1" applyFill="1" applyBorder="1" applyAlignment="1">
      <alignment horizontal="right" vertical="center"/>
    </xf>
    <xf numFmtId="171" fontId="103" fillId="0" borderId="102" xfId="17" applyNumberFormat="1" applyFont="1" applyFill="1" applyBorder="1" applyAlignment="1">
      <alignment horizontal="right" vertical="center"/>
    </xf>
    <xf numFmtId="0" fontId="73" fillId="0" borderId="66" xfId="17" applyFont="1" applyFill="1" applyBorder="1" applyAlignment="1">
      <alignment horizontal="right" vertical="top" wrapText="1"/>
    </xf>
    <xf numFmtId="0" fontId="73" fillId="0" borderId="115" xfId="17" applyFont="1" applyFill="1" applyBorder="1" applyAlignment="1">
      <alignment horizontal="left" vertical="top" wrapText="1"/>
    </xf>
    <xf numFmtId="0" fontId="73" fillId="0" borderId="84" xfId="17" applyFont="1" applyFill="1" applyBorder="1" applyAlignment="1">
      <alignment horizontal="left" vertical="top" wrapText="1"/>
    </xf>
    <xf numFmtId="49" fontId="73" fillId="0" borderId="71" xfId="17" applyNumberFormat="1" applyFont="1" applyFill="1" applyBorder="1" applyAlignment="1">
      <alignment horizontal="center" vertical="top"/>
    </xf>
    <xf numFmtId="171" fontId="72" fillId="0" borderId="43" xfId="17" applyNumberFormat="1" applyFont="1" applyFill="1" applyBorder="1" applyAlignment="1">
      <alignment horizontal="right" vertical="center"/>
    </xf>
    <xf numFmtId="171" fontId="72" fillId="0" borderId="88" xfId="17" applyNumberFormat="1" applyFont="1" applyFill="1" applyBorder="1" applyAlignment="1">
      <alignment horizontal="right" vertical="center"/>
    </xf>
    <xf numFmtId="0" fontId="74" fillId="0" borderId="66" xfId="17" applyFont="1" applyFill="1" applyBorder="1" applyAlignment="1">
      <alignment horizontal="right" vertical="top" wrapText="1"/>
    </xf>
    <xf numFmtId="0" fontId="74" fillId="0" borderId="115" xfId="17" applyFont="1" applyFill="1" applyBorder="1" applyAlignment="1">
      <alignment horizontal="left" vertical="top" wrapText="1"/>
    </xf>
    <xf numFmtId="0" fontId="74" fillId="0" borderId="84" xfId="17" applyFont="1" applyFill="1" applyBorder="1" applyAlignment="1">
      <alignment horizontal="left" vertical="top" wrapText="1"/>
    </xf>
    <xf numFmtId="49" fontId="74" fillId="0" borderId="71" xfId="17" applyNumberFormat="1" applyFont="1" applyFill="1" applyBorder="1" applyAlignment="1">
      <alignment horizontal="center" vertical="top"/>
    </xf>
    <xf numFmtId="171" fontId="103" fillId="0" borderId="43" xfId="17" applyNumberFormat="1" applyFont="1" applyFill="1" applyBorder="1" applyAlignment="1">
      <alignment horizontal="right" vertical="center"/>
    </xf>
    <xf numFmtId="171" fontId="103" fillId="0" borderId="88" xfId="17" applyNumberFormat="1" applyFont="1" applyFill="1" applyBorder="1" applyAlignment="1">
      <alignment horizontal="right" vertical="center"/>
    </xf>
    <xf numFmtId="171" fontId="72" fillId="0" borderId="99" xfId="17" applyNumberFormat="1" applyFont="1" applyFill="1" applyBorder="1" applyAlignment="1">
      <alignment horizontal="right" vertical="center"/>
    </xf>
    <xf numFmtId="0" fontId="75" fillId="0" borderId="66" xfId="17" applyFont="1" applyFill="1" applyBorder="1" applyAlignment="1">
      <alignment horizontal="center" vertical="center" wrapText="1"/>
    </xf>
    <xf numFmtId="0" fontId="75" fillId="0" borderId="43" xfId="17" applyFont="1" applyFill="1" applyBorder="1" applyAlignment="1">
      <alignment horizontal="center" vertical="center" wrapText="1"/>
    </xf>
    <xf numFmtId="0" fontId="74" fillId="0" borderId="75" xfId="17" applyFont="1" applyFill="1" applyBorder="1" applyAlignment="1">
      <alignment horizontal="center" vertical="center" wrapText="1"/>
    </xf>
    <xf numFmtId="0" fontId="74" fillId="0" borderId="70" xfId="17" applyFont="1" applyFill="1" applyBorder="1" applyAlignment="1">
      <alignment horizontal="right" vertical="top" wrapText="1"/>
    </xf>
    <xf numFmtId="0" fontId="74" fillId="0" borderId="85" xfId="17" applyFont="1" applyFill="1" applyBorder="1" applyAlignment="1">
      <alignment horizontal="left" vertical="top" wrapText="1"/>
    </xf>
    <xf numFmtId="0" fontId="27" fillId="0" borderId="0" xfId="8" applyFill="1" applyBorder="1" applyAlignment="1">
      <alignment vertical="center"/>
    </xf>
    <xf numFmtId="0" fontId="57" fillId="0" borderId="90" xfId="8" applyFont="1" applyFill="1" applyBorder="1" applyAlignment="1">
      <alignment vertical="center"/>
    </xf>
    <xf numFmtId="0" fontId="72" fillId="0" borderId="87" xfId="8" applyFont="1" applyFill="1" applyBorder="1" applyAlignment="1">
      <alignment horizontal="left" vertical="center"/>
    </xf>
    <xf numFmtId="0" fontId="27" fillId="0" borderId="91" xfId="8" applyFill="1" applyBorder="1" applyAlignment="1">
      <alignment vertical="center"/>
    </xf>
    <xf numFmtId="0" fontId="74" fillId="0" borderId="104" xfId="17" applyFont="1" applyFill="1" applyBorder="1" applyAlignment="1">
      <alignment horizontal="center" vertical="center" wrapText="1"/>
    </xf>
    <xf numFmtId="0" fontId="27" fillId="7" borderId="0" xfId="8" applyFill="1" applyAlignment="1">
      <alignment vertical="center"/>
    </xf>
    <xf numFmtId="0" fontId="60" fillId="7" borderId="0" xfId="8" applyFont="1" applyFill="1" applyBorder="1" applyAlignment="1">
      <alignment horizontal="left"/>
    </xf>
    <xf numFmtId="0" fontId="60" fillId="7" borderId="93" xfId="8" applyFont="1" applyFill="1" applyBorder="1" applyAlignment="1">
      <alignment horizontal="left" vertical="center"/>
    </xf>
    <xf numFmtId="0" fontId="63" fillId="7" borderId="93" xfId="8" applyFont="1" applyFill="1" applyBorder="1" applyAlignment="1">
      <alignment horizontal="left" vertical="center"/>
    </xf>
    <xf numFmtId="0" fontId="64" fillId="7" borderId="93" xfId="8" applyFont="1" applyFill="1" applyBorder="1" applyAlignment="1">
      <alignment horizontal="left" vertical="center"/>
    </xf>
    <xf numFmtId="0" fontId="63" fillId="7" borderId="94" xfId="8" applyFont="1" applyFill="1" applyBorder="1" applyAlignment="1">
      <alignment horizontal="left" vertical="center"/>
    </xf>
    <xf numFmtId="0" fontId="60" fillId="7" borderId="92" xfId="8" applyFont="1" applyFill="1" applyBorder="1" applyAlignment="1">
      <alignment horizontal="left" vertical="center"/>
    </xf>
    <xf numFmtId="0" fontId="64" fillId="7" borderId="0" xfId="8" applyFont="1" applyFill="1" applyBorder="1" applyAlignment="1">
      <alignment horizontal="left"/>
    </xf>
    <xf numFmtId="0" fontId="63" fillId="7" borderId="0" xfId="8" applyFont="1" applyFill="1" applyBorder="1" applyAlignment="1">
      <alignment horizontal="left" vertical="center"/>
    </xf>
    <xf numFmtId="0" fontId="64" fillId="7" borderId="0" xfId="8" applyFont="1" applyFill="1" applyBorder="1" applyAlignment="1">
      <alignment horizontal="left" vertical="center"/>
    </xf>
    <xf numFmtId="0" fontId="66" fillId="7" borderId="0" xfId="8" applyFont="1" applyFill="1" applyBorder="1" applyAlignment="1">
      <alignment horizontal="center" vertical="center"/>
    </xf>
    <xf numFmtId="0" fontId="90" fillId="7" borderId="97" xfId="8" applyFont="1" applyFill="1" applyBorder="1" applyAlignment="1">
      <alignment horizontal="left"/>
    </xf>
    <xf numFmtId="0" fontId="63" fillId="7" borderId="97" xfId="8" applyFont="1" applyFill="1" applyBorder="1" applyAlignment="1">
      <alignment horizontal="left" vertical="center"/>
    </xf>
    <xf numFmtId="0" fontId="64" fillId="7" borderId="97" xfId="8" applyFont="1" applyFill="1" applyBorder="1" applyAlignment="1">
      <alignment horizontal="left" vertical="center"/>
    </xf>
    <xf numFmtId="0" fontId="60" fillId="7" borderId="95" xfId="8" applyFont="1" applyFill="1" applyBorder="1" applyAlignment="1">
      <alignment vertical="center"/>
    </xf>
    <xf numFmtId="0" fontId="64" fillId="7" borderId="0" xfId="8" applyFont="1" applyFill="1" applyBorder="1" applyAlignment="1">
      <alignment horizontal="center" vertical="center"/>
    </xf>
    <xf numFmtId="0" fontId="70" fillId="0" borderId="95" xfId="8" applyFont="1" applyFill="1" applyBorder="1" applyAlignment="1">
      <alignment horizontal="left" vertical="center"/>
    </xf>
    <xf numFmtId="0" fontId="30" fillId="0" borderId="97" xfId="8" applyFont="1" applyFill="1" applyBorder="1" applyAlignment="1">
      <alignment horizontal="center" vertical="top"/>
    </xf>
    <xf numFmtId="0" fontId="24" fillId="7" borderId="65" xfId="8" applyFont="1" applyFill="1" applyBorder="1" applyAlignment="1" applyProtection="1">
      <alignment horizontal="center" wrapText="1"/>
      <protection locked="0"/>
    </xf>
    <xf numFmtId="0" fontId="27" fillId="0" borderId="90" xfId="8" applyFill="1" applyBorder="1" applyAlignment="1">
      <alignment vertical="center"/>
    </xf>
    <xf numFmtId="0" fontId="57" fillId="0" borderId="29" xfId="8" applyFont="1" applyFill="1" applyBorder="1" applyAlignment="1">
      <alignment horizontal="left" vertical="center"/>
    </xf>
    <xf numFmtId="0" fontId="64" fillId="0" borderId="95" xfId="8" applyFont="1" applyFill="1" applyBorder="1" applyAlignment="1">
      <alignment horizontal="left" vertical="center"/>
    </xf>
    <xf numFmtId="0" fontId="60" fillId="0" borderId="91" xfId="8" applyFont="1" applyFill="1" applyBorder="1" applyAlignment="1">
      <alignment horizontal="left" vertical="center"/>
    </xf>
    <xf numFmtId="0" fontId="64" fillId="0" borderId="91" xfId="8" applyFont="1" applyFill="1" applyBorder="1" applyAlignment="1">
      <alignment horizontal="left" vertical="center"/>
    </xf>
    <xf numFmtId="0" fontId="57" fillId="7" borderId="0" xfId="8" applyFont="1" applyFill="1" applyBorder="1" applyAlignment="1">
      <alignment vertical="center"/>
    </xf>
    <xf numFmtId="0" fontId="27" fillId="7" borderId="0" xfId="8" applyFill="1" applyBorder="1" applyAlignment="1">
      <alignment vertical="center"/>
    </xf>
    <xf numFmtId="0" fontId="73" fillId="0" borderId="106" xfId="17" applyFont="1" applyFill="1" applyBorder="1" applyAlignment="1">
      <alignment horizontal="left" vertical="top" wrapText="1"/>
    </xf>
    <xf numFmtId="171" fontId="72" fillId="0" borderId="109" xfId="17" applyNumberFormat="1" applyFont="1" applyFill="1" applyBorder="1" applyAlignment="1">
      <alignment horizontal="right" vertical="center"/>
    </xf>
    <xf numFmtId="0" fontId="72" fillId="0" borderId="67" xfId="17" applyFont="1" applyFill="1" applyBorder="1" applyAlignment="1">
      <alignment horizontal="right" vertical="center" wrapText="1"/>
    </xf>
    <xf numFmtId="171" fontId="72" fillId="0" borderId="73" xfId="17" applyNumberFormat="1" applyFont="1" applyFill="1" applyBorder="1" applyAlignment="1">
      <alignment horizontal="right" vertical="center"/>
    </xf>
    <xf numFmtId="0" fontId="74" fillId="0" borderId="106" xfId="17" applyFont="1" applyFill="1" applyBorder="1" applyAlignment="1">
      <alignment horizontal="left" vertical="top" wrapText="1"/>
    </xf>
    <xf numFmtId="0" fontId="56" fillId="0" borderId="0" xfId="17" quotePrefix="1" applyFont="1" applyFill="1" applyBorder="1" applyAlignment="1">
      <alignment horizontal="left" vertical="center"/>
    </xf>
    <xf numFmtId="0" fontId="74" fillId="0" borderId="93" xfId="17" applyFont="1" applyFill="1" applyBorder="1" applyAlignment="1">
      <alignment horizontal="center" vertical="center" wrapText="1"/>
    </xf>
    <xf numFmtId="0" fontId="74" fillId="0" borderId="103" xfId="17" applyFont="1" applyFill="1" applyBorder="1" applyAlignment="1">
      <alignment horizontal="center" vertical="center" wrapText="1"/>
    </xf>
    <xf numFmtId="0" fontId="73" fillId="0" borderId="105" xfId="17" applyFont="1" applyFill="1" applyBorder="1" applyAlignment="1">
      <alignment horizontal="left" vertical="top" wrapText="1"/>
    </xf>
    <xf numFmtId="0" fontId="73" fillId="0" borderId="119" xfId="17" applyFont="1" applyFill="1" applyBorder="1" applyAlignment="1">
      <alignment horizontal="right" vertical="top" wrapText="1"/>
    </xf>
    <xf numFmtId="0" fontId="75" fillId="0" borderId="63" xfId="17" applyFont="1" applyFill="1" applyBorder="1" applyAlignment="1">
      <alignment horizontal="center" wrapText="1"/>
    </xf>
    <xf numFmtId="0" fontId="75" fillId="0" borderId="111" xfId="17" applyFont="1" applyFill="1" applyBorder="1" applyAlignment="1">
      <alignment horizontal="center" wrapText="1"/>
    </xf>
    <xf numFmtId="0" fontId="75" fillId="0" borderId="112" xfId="17" applyFont="1" applyFill="1" applyBorder="1" applyAlignment="1">
      <alignment horizontal="center" wrapText="1"/>
    </xf>
    <xf numFmtId="0" fontId="74" fillId="0" borderId="72" xfId="17" applyFont="1" applyFill="1" applyBorder="1" applyAlignment="1">
      <alignment horizontal="left" vertical="top"/>
    </xf>
    <xf numFmtId="49" fontId="73" fillId="0" borderId="108" xfId="17" applyNumberFormat="1" applyFont="1" applyFill="1" applyBorder="1" applyAlignment="1">
      <alignment horizontal="center" vertical="top"/>
    </xf>
    <xf numFmtId="49" fontId="73" fillId="0" borderId="135" xfId="17" applyNumberFormat="1" applyFont="1" applyFill="1" applyBorder="1" applyAlignment="1">
      <alignment horizontal="center" vertical="top"/>
    </xf>
    <xf numFmtId="0" fontId="73" fillId="0" borderId="72" xfId="17" applyFont="1" applyFill="1" applyBorder="1" applyAlignment="1">
      <alignment horizontal="left" vertical="top" wrapText="1"/>
    </xf>
    <xf numFmtId="0" fontId="73" fillId="0" borderId="72" xfId="17" applyFont="1" applyFill="1" applyBorder="1" applyAlignment="1">
      <alignment horizontal="right" vertical="top" wrapText="1"/>
    </xf>
    <xf numFmtId="0" fontId="74" fillId="0" borderId="72" xfId="17" applyFont="1" applyFill="1" applyBorder="1" applyAlignment="1">
      <alignment horizontal="left" vertical="top" wrapText="1"/>
    </xf>
    <xf numFmtId="49" fontId="74" fillId="0" borderId="73" xfId="17" applyNumberFormat="1" applyFont="1" applyFill="1" applyBorder="1" applyAlignment="1">
      <alignment horizontal="center" vertical="top"/>
    </xf>
    <xf numFmtId="171" fontId="103" fillId="0" borderId="73" xfId="17" applyNumberFormat="1" applyFont="1" applyFill="1" applyBorder="1" applyAlignment="1">
      <alignment horizontal="right" vertical="center"/>
    </xf>
    <xf numFmtId="171" fontId="103" fillId="0" borderId="74" xfId="17" applyNumberFormat="1" applyFont="1" applyFill="1" applyBorder="1" applyAlignment="1">
      <alignment horizontal="right" vertical="center"/>
    </xf>
    <xf numFmtId="171" fontId="72" fillId="0" borderId="109" xfId="17" applyNumberFormat="1" applyFont="1" applyFill="1" applyBorder="1" applyAlignment="1">
      <alignment horizontal="right" vertical="center"/>
    </xf>
    <xf numFmtId="171" fontId="72" fillId="0" borderId="89" xfId="17" applyNumberFormat="1" applyFont="1" applyFill="1" applyBorder="1" applyAlignment="1">
      <alignment horizontal="right" vertical="center"/>
    </xf>
    <xf numFmtId="171" fontId="72" fillId="0" borderId="102" xfId="17" applyNumberFormat="1" applyFont="1" applyFill="1" applyBorder="1" applyAlignment="1">
      <alignment horizontal="right" vertical="center"/>
    </xf>
    <xf numFmtId="0" fontId="74" fillId="0" borderId="104" xfId="17" applyFont="1" applyFill="1" applyBorder="1" applyAlignment="1">
      <alignment horizontal="center" vertical="center" wrapText="1"/>
    </xf>
    <xf numFmtId="0" fontId="74" fillId="0" borderId="84" xfId="17" applyFont="1" applyFill="1" applyBorder="1" applyAlignment="1">
      <alignment horizontal="center" vertical="center" wrapText="1"/>
    </xf>
    <xf numFmtId="0" fontId="74" fillId="0" borderId="66" xfId="17" applyFont="1" applyFill="1" applyBorder="1" applyAlignment="1">
      <alignment horizontal="right" vertical="top" wrapText="1"/>
    </xf>
    <xf numFmtId="171" fontId="72" fillId="0" borderId="43" xfId="17" applyNumberFormat="1" applyFont="1" applyFill="1" applyBorder="1" applyAlignment="1">
      <alignment horizontal="right" vertical="center"/>
    </xf>
    <xf numFmtId="171" fontId="72" fillId="0" borderId="88" xfId="17" applyNumberFormat="1" applyFont="1" applyFill="1" applyBorder="1" applyAlignment="1">
      <alignment horizontal="right" vertical="center"/>
    </xf>
    <xf numFmtId="171" fontId="72" fillId="0" borderId="73" xfId="17" applyNumberFormat="1" applyFont="1" applyFill="1" applyBorder="1" applyAlignment="1">
      <alignment horizontal="right" vertical="center"/>
    </xf>
    <xf numFmtId="171" fontId="103" fillId="0" borderId="43" xfId="17" applyNumberFormat="1" applyFont="1" applyFill="1" applyBorder="1" applyAlignment="1">
      <alignment horizontal="right" vertical="center"/>
    </xf>
    <xf numFmtId="171" fontId="103" fillId="0" borderId="88" xfId="17" applyNumberFormat="1" applyFont="1" applyFill="1" applyBorder="1" applyAlignment="1">
      <alignment horizontal="right" vertical="center"/>
    </xf>
    <xf numFmtId="171" fontId="103" fillId="0" borderId="89" xfId="17" applyNumberFormat="1" applyFont="1" applyFill="1" applyBorder="1" applyAlignment="1">
      <alignment horizontal="right" vertical="center"/>
    </xf>
    <xf numFmtId="171" fontId="103" fillId="0" borderId="102" xfId="17" applyNumberFormat="1" applyFont="1" applyFill="1" applyBorder="1" applyAlignment="1">
      <alignment horizontal="right" vertical="center"/>
    </xf>
    <xf numFmtId="0" fontId="74" fillId="0" borderId="43" xfId="17" applyFont="1" applyFill="1" applyBorder="1" applyAlignment="1">
      <alignment horizontal="left" vertical="top" wrapText="1"/>
    </xf>
    <xf numFmtId="0" fontId="73" fillId="0" borderId="66" xfId="17" applyFont="1" applyFill="1" applyBorder="1" applyAlignment="1">
      <alignment horizontal="right" vertical="top" wrapText="1"/>
    </xf>
    <xf numFmtId="0" fontId="73" fillId="0" borderId="115" xfId="17" applyFont="1" applyFill="1" applyBorder="1" applyAlignment="1">
      <alignment horizontal="left" vertical="top" wrapText="1"/>
    </xf>
    <xf numFmtId="0" fontId="73" fillId="0" borderId="84" xfId="17" applyFont="1" applyFill="1" applyBorder="1" applyAlignment="1">
      <alignment horizontal="left" vertical="top" wrapText="1"/>
    </xf>
    <xf numFmtId="49" fontId="73" fillId="0" borderId="71" xfId="17" applyNumberFormat="1" applyFont="1" applyFill="1" applyBorder="1" applyAlignment="1">
      <alignment horizontal="center" vertical="top"/>
    </xf>
    <xf numFmtId="0" fontId="74" fillId="0" borderId="115" xfId="17" applyFont="1" applyFill="1" applyBorder="1" applyAlignment="1">
      <alignment horizontal="left" vertical="top" wrapText="1"/>
    </xf>
    <xf numFmtId="0" fontId="74" fillId="0" borderId="84" xfId="17" applyFont="1" applyFill="1" applyBorder="1" applyAlignment="1">
      <alignment horizontal="left" vertical="top" wrapText="1"/>
    </xf>
    <xf numFmtId="49" fontId="74" fillId="0" borderId="71" xfId="17" applyNumberFormat="1" applyFont="1" applyFill="1" applyBorder="1" applyAlignment="1">
      <alignment horizontal="center" vertical="top"/>
    </xf>
    <xf numFmtId="171" fontId="72" fillId="0" borderId="99" xfId="17" applyNumberFormat="1" applyFont="1" applyFill="1" applyBorder="1" applyAlignment="1">
      <alignment horizontal="right" vertical="center"/>
    </xf>
    <xf numFmtId="171" fontId="103" fillId="0" borderId="116" xfId="17" applyNumberFormat="1" applyFont="1" applyFill="1" applyBorder="1" applyAlignment="1">
      <alignment horizontal="right" vertical="center"/>
    </xf>
    <xf numFmtId="0" fontId="73" fillId="0" borderId="72" xfId="17" applyFont="1" applyFill="1" applyBorder="1" applyAlignment="1">
      <alignment horizontal="right" vertical="top" wrapText="1"/>
    </xf>
    <xf numFmtId="0" fontId="73" fillId="0" borderId="106" xfId="17" applyFont="1" applyFill="1" applyBorder="1" applyAlignment="1">
      <alignment horizontal="left" vertical="top" wrapText="1"/>
    </xf>
    <xf numFmtId="0" fontId="74" fillId="0" borderId="118" xfId="17" applyFont="1" applyFill="1" applyBorder="1" applyAlignment="1">
      <alignment horizontal="center" vertical="center" wrapText="1"/>
    </xf>
    <xf numFmtId="0" fontId="73" fillId="4" borderId="115" xfId="17" applyFont="1" applyFill="1" applyBorder="1" applyAlignment="1">
      <alignment horizontal="left" vertical="top" wrapText="1"/>
    </xf>
    <xf numFmtId="0" fontId="73" fillId="4" borderId="84" xfId="17" applyFont="1" applyFill="1" applyBorder="1" applyAlignment="1">
      <alignment horizontal="left" vertical="top" wrapText="1"/>
    </xf>
    <xf numFmtId="0" fontId="74" fillId="0" borderId="70" xfId="17" applyFont="1" applyFill="1" applyBorder="1" applyAlignment="1">
      <alignment horizontal="right" vertical="top" wrapText="1"/>
    </xf>
    <xf numFmtId="0" fontId="73" fillId="0" borderId="70" xfId="17" applyFont="1" applyFill="1" applyBorder="1" applyAlignment="1">
      <alignment horizontal="left" vertical="top" wrapText="1"/>
    </xf>
    <xf numFmtId="0" fontId="74" fillId="0" borderId="70" xfId="17" applyFont="1" applyFill="1" applyBorder="1" applyAlignment="1">
      <alignment horizontal="left" vertical="top" wrapText="1"/>
    </xf>
    <xf numFmtId="0" fontId="74" fillId="0" borderId="66" xfId="17" applyFont="1" applyFill="1" applyBorder="1" applyAlignment="1">
      <alignment horizontal="left" vertical="top" wrapText="1"/>
    </xf>
    <xf numFmtId="0" fontId="74" fillId="0" borderId="43" xfId="8" applyFont="1" applyFill="1" applyBorder="1" applyAlignment="1">
      <alignment horizontal="center" vertical="center" wrapText="1"/>
    </xf>
    <xf numFmtId="0" fontId="75" fillId="0" borderId="66" xfId="8" applyFont="1" applyFill="1" applyBorder="1" applyAlignment="1">
      <alignment horizontal="center" vertical="center" wrapText="1"/>
    </xf>
    <xf numFmtId="0" fontId="75" fillId="0" borderId="43" xfId="8" applyFont="1" applyFill="1" applyBorder="1" applyAlignment="1">
      <alignment horizontal="center" vertical="center" wrapText="1"/>
    </xf>
    <xf numFmtId="0" fontId="74" fillId="0" borderId="89" xfId="17" applyFont="1" applyFill="1" applyBorder="1" applyAlignment="1">
      <alignment horizontal="center" vertical="center" wrapText="1"/>
    </xf>
    <xf numFmtId="0" fontId="72" fillId="0" borderId="87" xfId="8" applyFont="1" applyFill="1" applyBorder="1" applyAlignment="1">
      <alignment horizontal="left" vertical="center"/>
    </xf>
    <xf numFmtId="0" fontId="74" fillId="0" borderId="85" xfId="17" applyFont="1" applyFill="1" applyBorder="1" applyAlignment="1">
      <alignment horizontal="left" vertical="top" wrapText="1"/>
    </xf>
    <xf numFmtId="0" fontId="73" fillId="0" borderId="104" xfId="17" applyFont="1" applyFill="1" applyBorder="1" applyAlignment="1">
      <alignment horizontal="left" vertical="top" wrapText="1"/>
    </xf>
    <xf numFmtId="171" fontId="72" fillId="0" borderId="113" xfId="17" applyNumberFormat="1" applyFont="1" applyFill="1" applyBorder="1" applyAlignment="1">
      <alignment horizontal="right" vertical="center"/>
    </xf>
    <xf numFmtId="0" fontId="72" fillId="0" borderId="65" xfId="17" applyFont="1" applyFill="1" applyBorder="1" applyAlignment="1">
      <alignment horizontal="right" vertical="center" wrapText="1"/>
    </xf>
    <xf numFmtId="171" fontId="103" fillId="0" borderId="13" xfId="17" applyNumberFormat="1" applyFont="1" applyFill="1" applyBorder="1" applyAlignment="1">
      <alignment horizontal="right" vertical="center"/>
    </xf>
    <xf numFmtId="0" fontId="103" fillId="0" borderId="54" xfId="17" applyFont="1" applyFill="1" applyBorder="1" applyAlignment="1">
      <alignment horizontal="right" vertical="center" wrapText="1"/>
    </xf>
    <xf numFmtId="0" fontId="72" fillId="0" borderId="54" xfId="17" applyFont="1" applyFill="1" applyBorder="1" applyAlignment="1">
      <alignment horizontal="right" vertical="center" wrapText="1"/>
    </xf>
    <xf numFmtId="0" fontId="24" fillId="11" borderId="62" xfId="0" applyFont="1" applyFill="1" applyBorder="1" applyAlignment="1" applyProtection="1">
      <alignment horizontal="left" vertical="top" wrapText="1"/>
    </xf>
    <xf numFmtId="0" fontId="105" fillId="0" borderId="0" xfId="0" applyFont="1" applyAlignment="1">
      <alignment vertical="center"/>
    </xf>
    <xf numFmtId="0" fontId="34" fillId="0" borderId="0" xfId="0" applyFont="1" applyAlignment="1">
      <alignment vertical="center"/>
    </xf>
    <xf numFmtId="0" fontId="106" fillId="0" borderId="0" xfId="0" applyFont="1" applyAlignment="1">
      <alignment vertical="center"/>
    </xf>
    <xf numFmtId="0" fontId="73" fillId="0" borderId="0" xfId="17" applyFont="1" applyFill="1" applyAlignment="1">
      <alignment horizontal="left" vertical="center" wrapText="1"/>
    </xf>
    <xf numFmtId="0" fontId="0" fillId="0" borderId="0" xfId="0" applyAlignment="1">
      <alignment horizontal="justify" vertical="top" wrapText="1"/>
    </xf>
    <xf numFmtId="0" fontId="19" fillId="0" borderId="1" xfId="0" applyFont="1" applyBorder="1" applyAlignment="1">
      <alignment horizontal="center" vertical="center" wrapText="1"/>
    </xf>
    <xf numFmtId="0" fontId="19" fillId="0" borderId="21" xfId="0" applyFont="1" applyBorder="1" applyAlignment="1">
      <alignment horizontal="center" vertical="center" wrapText="1"/>
    </xf>
    <xf numFmtId="0" fontId="19" fillId="0" borderId="2" xfId="0" applyFont="1" applyBorder="1" applyAlignment="1">
      <alignment horizontal="center" vertical="center" wrapText="1"/>
    </xf>
    <xf numFmtId="0" fontId="12" fillId="0" borderId="0" xfId="0" applyFont="1" applyAlignment="1">
      <alignment horizontal="justify" vertical="top" wrapText="1"/>
    </xf>
    <xf numFmtId="0" fontId="7" fillId="0" borderId="0" xfId="0" applyFont="1" applyAlignment="1">
      <alignment horizontal="justify" vertical="top" wrapText="1"/>
    </xf>
    <xf numFmtId="0" fontId="9" fillId="0" borderId="0" xfId="0" applyFont="1" applyAlignment="1">
      <alignment horizontal="left" vertical="top"/>
    </xf>
    <xf numFmtId="0" fontId="24" fillId="7" borderId="17" xfId="8" applyFont="1" applyFill="1" applyBorder="1" applyAlignment="1">
      <alignment wrapText="1"/>
    </xf>
    <xf numFmtId="0" fontId="1" fillId="0" borderId="0" xfId="0" applyFont="1"/>
    <xf numFmtId="0" fontId="1" fillId="0" borderId="0" xfId="0" applyFont="1" applyAlignment="1">
      <alignment horizontal="center"/>
    </xf>
    <xf numFmtId="0" fontId="1" fillId="0" borderId="0" xfId="0" applyFont="1" applyAlignment="1"/>
    <xf numFmtId="0" fontId="20" fillId="0" borderId="0" xfId="0" applyFont="1" applyBorder="1" applyAlignment="1">
      <alignment horizontal="center"/>
    </xf>
    <xf numFmtId="0" fontId="8" fillId="0" borderId="0" xfId="0" applyFont="1" applyBorder="1" applyAlignment="1">
      <alignment horizontal="justify" vertical="top" wrapText="1"/>
    </xf>
    <xf numFmtId="0" fontId="12" fillId="0" borderId="0" xfId="0" applyFont="1" applyBorder="1" applyAlignment="1">
      <alignment horizontal="justify" vertical="top" wrapText="1"/>
    </xf>
    <xf numFmtId="0" fontId="20" fillId="0" borderId="0" xfId="0" applyFont="1" applyBorder="1" applyAlignment="1">
      <alignment horizontal="left" vertical="center" wrapText="1"/>
    </xf>
    <xf numFmtId="3" fontId="1" fillId="0" borderId="0" xfId="0" applyNumberFormat="1" applyFont="1" applyBorder="1" applyAlignment="1">
      <alignment horizontal="center" vertical="center"/>
    </xf>
    <xf numFmtId="3" fontId="20" fillId="0" borderId="0" xfId="0" applyNumberFormat="1" applyFont="1" applyBorder="1" applyAlignment="1">
      <alignment horizontal="center" vertical="center"/>
    </xf>
    <xf numFmtId="0" fontId="7" fillId="0" borderId="0" xfId="0" applyFont="1" applyAlignment="1">
      <alignment horizontal="left" vertical="center"/>
    </xf>
    <xf numFmtId="0" fontId="1" fillId="0" borderId="0" xfId="0" applyFont="1" applyAlignment="1">
      <alignment horizontal="center" vertical="center"/>
    </xf>
    <xf numFmtId="0" fontId="1" fillId="0" borderId="0" xfId="0" applyFont="1" applyAlignment="1">
      <alignment vertical="center"/>
    </xf>
    <xf numFmtId="3" fontId="1" fillId="0" borderId="115" xfId="0" applyNumberFormat="1" applyFont="1" applyBorder="1"/>
    <xf numFmtId="3" fontId="1" fillId="0" borderId="118" xfId="0" applyNumberFormat="1" applyFont="1" applyBorder="1"/>
    <xf numFmtId="3" fontId="1" fillId="0" borderId="75" xfId="0" applyNumberFormat="1" applyFont="1" applyBorder="1"/>
    <xf numFmtId="3" fontId="1" fillId="0" borderId="77" xfId="0" applyNumberFormat="1" applyFont="1" applyBorder="1"/>
    <xf numFmtId="0" fontId="1" fillId="0" borderId="75" xfId="0" applyFont="1" applyBorder="1"/>
    <xf numFmtId="3" fontId="1" fillId="0" borderId="75" xfId="0" applyNumberFormat="1" applyFont="1" applyFill="1" applyBorder="1"/>
    <xf numFmtId="3" fontId="1" fillId="0" borderId="77" xfId="0" applyNumberFormat="1" applyFont="1" applyFill="1" applyBorder="1"/>
    <xf numFmtId="0" fontId="1" fillId="0" borderId="75" xfId="0" applyFont="1" applyFill="1" applyBorder="1"/>
    <xf numFmtId="0" fontId="1" fillId="0" borderId="77" xfId="0" applyFont="1" applyFill="1" applyBorder="1"/>
    <xf numFmtId="0" fontId="1" fillId="0" borderId="77" xfId="0" applyFont="1" applyBorder="1"/>
    <xf numFmtId="0" fontId="1" fillId="0" borderId="77" xfId="0" applyFont="1" applyBorder="1" applyAlignment="1">
      <alignment vertical="center"/>
    </xf>
    <xf numFmtId="3" fontId="1" fillId="0" borderId="85" xfId="0" applyNumberFormat="1" applyFont="1" applyBorder="1"/>
    <xf numFmtId="0" fontId="1" fillId="0" borderId="0" xfId="0" applyFont="1" applyBorder="1" applyAlignment="1">
      <alignment horizontal="center" vertical="center" wrapText="1"/>
    </xf>
    <xf numFmtId="0" fontId="1" fillId="0" borderId="115" xfId="0" applyFont="1" applyBorder="1" applyAlignment="1">
      <alignment horizontal="center"/>
    </xf>
    <xf numFmtId="0" fontId="1" fillId="0" borderId="118" xfId="0" applyFont="1" applyBorder="1" applyAlignment="1">
      <alignment horizontal="center"/>
    </xf>
    <xf numFmtId="3" fontId="1" fillId="0" borderId="84" xfId="0" applyNumberFormat="1" applyFont="1" applyBorder="1"/>
    <xf numFmtId="0" fontId="1" fillId="0" borderId="116" xfId="0" applyFont="1" applyBorder="1" applyAlignment="1">
      <alignment vertical="center"/>
    </xf>
    <xf numFmtId="0" fontId="1" fillId="0" borderId="118" xfId="0" applyFont="1" applyBorder="1" applyAlignment="1">
      <alignment vertical="center"/>
    </xf>
    <xf numFmtId="3" fontId="1" fillId="0" borderId="116" xfId="0" applyNumberFormat="1" applyFont="1" applyBorder="1" applyAlignment="1">
      <alignment vertical="center"/>
    </xf>
    <xf numFmtId="0" fontId="1" fillId="0" borderId="76" xfId="0" applyFont="1" applyBorder="1" applyAlignment="1">
      <alignment vertical="center"/>
    </xf>
    <xf numFmtId="3" fontId="1" fillId="0" borderId="76" xfId="0" applyNumberFormat="1" applyFont="1" applyBorder="1" applyAlignment="1">
      <alignment vertical="center"/>
    </xf>
    <xf numFmtId="168" fontId="58" fillId="10" borderId="43" xfId="7" applyNumberFormat="1" applyFont="1" applyFill="1" applyBorder="1" applyAlignment="1">
      <alignment horizontal="right" wrapText="1"/>
    </xf>
    <xf numFmtId="0" fontId="20" fillId="4" borderId="0" xfId="0" applyFont="1" applyFill="1"/>
    <xf numFmtId="0" fontId="54" fillId="4" borderId="0" xfId="0" applyFont="1" applyFill="1" applyAlignment="1"/>
    <xf numFmtId="0" fontId="12" fillId="4" borderId="0" xfId="0" applyFont="1" applyFill="1" applyAlignment="1">
      <alignment horizontal="justify" vertical="top" wrapText="1"/>
    </xf>
    <xf numFmtId="3" fontId="24" fillId="0" borderId="0" xfId="2" applyNumberFormat="1" applyFont="1" applyAlignment="1">
      <alignment horizontal="center"/>
    </xf>
    <xf numFmtId="0" fontId="107" fillId="4" borderId="0" xfId="0" applyFont="1" applyFill="1" applyBorder="1" applyAlignment="1">
      <alignment vertical="center"/>
    </xf>
    <xf numFmtId="0" fontId="12" fillId="4" borderId="0" xfId="0" applyFont="1" applyFill="1" applyBorder="1" applyAlignment="1">
      <alignment horizontal="justify" vertical="top" wrapText="1"/>
    </xf>
    <xf numFmtId="3" fontId="24" fillId="0" borderId="62" xfId="2" applyNumberFormat="1" applyFont="1" applyBorder="1" applyAlignment="1" applyProtection="1">
      <alignment vertical="center"/>
    </xf>
    <xf numFmtId="3" fontId="24" fillId="3" borderId="62" xfId="2" applyNumberFormat="1" applyFont="1" applyFill="1" applyBorder="1" applyAlignment="1" applyProtection="1">
      <alignment vertical="center"/>
    </xf>
    <xf numFmtId="3" fontId="25" fillId="0" borderId="62" xfId="2" applyNumberFormat="1" applyFont="1" applyBorder="1" applyAlignment="1" applyProtection="1">
      <alignment vertical="center"/>
    </xf>
    <xf numFmtId="3" fontId="24" fillId="0" borderId="62" xfId="2" applyNumberFormat="1" applyFont="1" applyFill="1" applyBorder="1" applyAlignment="1" applyProtection="1">
      <alignment vertical="center"/>
    </xf>
    <xf numFmtId="3" fontId="30" fillId="0" borderId="62" xfId="2" applyNumberFormat="1" applyFont="1" applyFill="1" applyBorder="1" applyAlignment="1" applyProtection="1">
      <alignment vertical="center"/>
    </xf>
    <xf numFmtId="3" fontId="25" fillId="2" borderId="62" xfId="2" applyNumberFormat="1" applyFont="1" applyFill="1" applyBorder="1" applyAlignment="1" applyProtection="1">
      <alignment vertical="center"/>
    </xf>
    <xf numFmtId="3" fontId="24" fillId="4" borderId="62" xfId="2" applyNumberFormat="1" applyFont="1" applyFill="1" applyBorder="1" applyAlignment="1" applyProtection="1">
      <alignment vertical="center"/>
    </xf>
    <xf numFmtId="3" fontId="30" fillId="0" borderId="62" xfId="2" applyNumberFormat="1" applyFont="1" applyBorder="1" applyAlignment="1" applyProtection="1">
      <alignment vertical="center"/>
    </xf>
    <xf numFmtId="0" fontId="24" fillId="0" borderId="0" xfId="209" applyFont="1" applyAlignment="1">
      <alignment vertical="center"/>
    </xf>
    <xf numFmtId="3" fontId="24" fillId="0" borderId="62" xfId="209" applyNumberFormat="1" applyFont="1" applyBorder="1" applyAlignment="1" applyProtection="1">
      <alignment vertical="center"/>
    </xf>
    <xf numFmtId="3" fontId="25" fillId="5" borderId="62" xfId="209" applyNumberFormat="1" applyFont="1" applyFill="1" applyBorder="1" applyAlignment="1" applyProtection="1">
      <alignment vertical="center"/>
    </xf>
    <xf numFmtId="3" fontId="24" fillId="0" borderId="62" xfId="209" applyNumberFormat="1" applyFont="1" applyFill="1" applyBorder="1" applyAlignment="1" applyProtection="1">
      <alignment vertical="center"/>
    </xf>
    <xf numFmtId="3" fontId="25" fillId="2" borderId="62" xfId="209" applyNumberFormat="1" applyFont="1" applyFill="1" applyBorder="1" applyAlignment="1" applyProtection="1">
      <alignment vertical="center"/>
    </xf>
    <xf numFmtId="3" fontId="24" fillId="4" borderId="62" xfId="209" applyNumberFormat="1" applyFont="1" applyFill="1" applyBorder="1" applyAlignment="1" applyProtection="1">
      <alignment vertical="center"/>
    </xf>
    <xf numFmtId="3" fontId="24" fillId="0" borderId="62" xfId="209" applyNumberFormat="1" applyFont="1" applyBorder="1" applyAlignment="1">
      <alignment vertical="center"/>
    </xf>
    <xf numFmtId="3" fontId="24" fillId="0" borderId="62" xfId="209" applyNumberFormat="1" applyFont="1" applyFill="1" applyBorder="1" applyAlignment="1">
      <alignment vertical="center"/>
    </xf>
    <xf numFmtId="3" fontId="28" fillId="0" borderId="0" xfId="209" applyNumberFormat="1" applyFont="1" applyFill="1" applyAlignment="1">
      <alignment vertical="center"/>
    </xf>
    <xf numFmtId="3" fontId="35" fillId="2" borderId="62" xfId="209" applyNumberFormat="1" applyFont="1" applyFill="1" applyBorder="1" applyAlignment="1">
      <alignment vertical="center"/>
    </xf>
    <xf numFmtId="3" fontId="25" fillId="2" borderId="62" xfId="209" applyNumberFormat="1" applyFont="1" applyFill="1" applyBorder="1" applyAlignment="1">
      <alignment vertical="center"/>
    </xf>
    <xf numFmtId="3" fontId="25" fillId="4" borderId="62" xfId="209" applyNumberFormat="1" applyFont="1" applyFill="1" applyBorder="1" applyAlignment="1">
      <alignment vertical="center"/>
    </xf>
    <xf numFmtId="3" fontId="28" fillId="0" borderId="62" xfId="209" applyNumberFormat="1" applyFont="1" applyFill="1" applyBorder="1" applyAlignment="1">
      <alignment vertical="center"/>
    </xf>
    <xf numFmtId="3" fontId="28" fillId="0" borderId="62" xfId="209" applyNumberFormat="1" applyFont="1" applyBorder="1" applyAlignment="1">
      <alignment vertical="center"/>
    </xf>
    <xf numFmtId="3" fontId="30" fillId="0" borderId="62" xfId="209" applyNumberFormat="1" applyFont="1" applyFill="1" applyBorder="1" applyAlignment="1">
      <alignment vertical="center"/>
    </xf>
    <xf numFmtId="3" fontId="30" fillId="0" borderId="62" xfId="209" applyNumberFormat="1" applyFont="1" applyBorder="1" applyAlignment="1">
      <alignment vertical="center"/>
    </xf>
    <xf numFmtId="3" fontId="28" fillId="0" borderId="0" xfId="209" applyNumberFormat="1" applyFont="1" applyAlignment="1">
      <alignment vertical="center"/>
    </xf>
    <xf numFmtId="1" fontId="20" fillId="0" borderId="75" xfId="0" applyNumberFormat="1" applyFont="1" applyBorder="1" applyAlignment="1">
      <alignment vertical="center"/>
    </xf>
    <xf numFmtId="168" fontId="132" fillId="10" borderId="43" xfId="7" applyNumberFormat="1" applyFont="1" applyFill="1" applyBorder="1" applyAlignment="1">
      <alignment horizontal="right"/>
    </xf>
    <xf numFmtId="0" fontId="7" fillId="0" borderId="0" xfId="0" applyFont="1" applyAlignment="1">
      <alignment horizontal="justify" vertical="top" wrapText="1"/>
    </xf>
    <xf numFmtId="0" fontId="12" fillId="0" borderId="0" xfId="0" applyFont="1" applyAlignment="1">
      <alignment horizontal="justify" vertical="top" wrapText="1"/>
    </xf>
    <xf numFmtId="0" fontId="7" fillId="0" borderId="0" xfId="0" applyFont="1" applyAlignment="1">
      <alignment horizontal="left" vertical="top" wrapText="1"/>
    </xf>
    <xf numFmtId="0" fontId="7" fillId="0" borderId="0" xfId="0" applyFont="1" applyAlignment="1">
      <alignment horizontal="left"/>
    </xf>
    <xf numFmtId="0" fontId="20" fillId="0" borderId="0" xfId="0" applyFont="1" applyAlignment="1">
      <alignment horizontal="center" vertical="center"/>
    </xf>
    <xf numFmtId="0" fontId="81" fillId="0" borderId="0" xfId="0" applyFont="1" applyAlignment="1"/>
    <xf numFmtId="0" fontId="7" fillId="0" borderId="0" xfId="0" applyFont="1" applyAlignment="1">
      <alignment horizontal="left" wrapText="1"/>
    </xf>
    <xf numFmtId="0" fontId="1" fillId="0" borderId="134" xfId="0" applyFont="1" applyBorder="1" applyAlignment="1">
      <alignment vertical="center"/>
    </xf>
    <xf numFmtId="0" fontId="81" fillId="34" borderId="0" xfId="0" applyFont="1" applyFill="1"/>
    <xf numFmtId="0" fontId="20" fillId="34" borderId="0" xfId="0" applyFont="1" applyFill="1" applyAlignment="1">
      <alignment horizontal="center"/>
    </xf>
    <xf numFmtId="0" fontId="81" fillId="4" borderId="0" xfId="0" applyFont="1" applyFill="1"/>
    <xf numFmtId="3" fontId="28" fillId="0" borderId="62" xfId="0" applyNumberFormat="1" applyFont="1" applyFill="1" applyBorder="1" applyAlignment="1">
      <alignment vertical="center"/>
    </xf>
    <xf numFmtId="168" fontId="42" fillId="5" borderId="73" xfId="7" applyNumberFormat="1" applyFont="1" applyFill="1" applyBorder="1" applyAlignment="1">
      <alignment horizontal="right" vertical="center"/>
    </xf>
    <xf numFmtId="0" fontId="7" fillId="0" borderId="0" xfId="0" applyFont="1" applyFill="1" applyAlignment="1">
      <alignment vertical="top"/>
    </xf>
    <xf numFmtId="0" fontId="12" fillId="0" borderId="0" xfId="0" applyFont="1" applyFill="1" applyAlignment="1">
      <alignment vertical="top"/>
    </xf>
    <xf numFmtId="0" fontId="7" fillId="0" borderId="0" xfId="0" applyFont="1" applyAlignment="1">
      <alignment horizontal="left" wrapText="1"/>
    </xf>
    <xf numFmtId="0" fontId="1" fillId="0" borderId="0" xfId="0" applyFont="1" applyAlignment="1">
      <alignment horizontal="center"/>
    </xf>
    <xf numFmtId="0" fontId="1" fillId="0" borderId="0" xfId="0" applyFont="1" applyAlignment="1">
      <alignment horizontal="center"/>
    </xf>
    <xf numFmtId="3" fontId="1" fillId="0" borderId="0" xfId="0" applyNumberFormat="1" applyFont="1" applyAlignment="1">
      <alignment vertical="center"/>
    </xf>
    <xf numFmtId="0" fontId="1" fillId="0" borderId="0" xfId="0" applyFont="1" applyAlignment="1">
      <alignment horizontal="center"/>
    </xf>
    <xf numFmtId="0" fontId="19" fillId="0" borderId="0" xfId="0" applyFont="1" applyFill="1" applyBorder="1" applyAlignment="1">
      <alignment horizontal="left" vertical="center"/>
    </xf>
    <xf numFmtId="3" fontId="20" fillId="0" borderId="0" xfId="0" applyNumberFormat="1" applyFont="1" applyFill="1" applyBorder="1" applyAlignment="1">
      <alignment horizontal="right" vertical="center"/>
    </xf>
    <xf numFmtId="0" fontId="7" fillId="0" borderId="0" xfId="0" applyFont="1" applyFill="1" applyBorder="1" applyAlignment="1">
      <alignment horizontal="left" vertical="center"/>
    </xf>
    <xf numFmtId="0" fontId="54" fillId="0" borderId="0" xfId="0" applyFont="1" applyFill="1" applyAlignment="1"/>
    <xf numFmtId="0" fontId="7" fillId="0" borderId="0" xfId="0" applyFont="1" applyFill="1"/>
    <xf numFmtId="0" fontId="1" fillId="0" borderId="0" xfId="0" applyFont="1" applyFill="1"/>
    <xf numFmtId="0" fontId="27" fillId="0" borderId="0" xfId="0" applyFont="1" applyFill="1" applyAlignment="1">
      <alignment horizontal="left" vertical="top"/>
    </xf>
    <xf numFmtId="3" fontId="24" fillId="0" borderId="0" xfId="2" applyNumberFormat="1" applyFont="1" applyFill="1" applyAlignment="1">
      <alignment horizontal="center"/>
    </xf>
    <xf numFmtId="0" fontId="7" fillId="0" borderId="0" xfId="0" applyFont="1" applyAlignment="1">
      <alignment horizontal="left" vertical="top"/>
    </xf>
    <xf numFmtId="0" fontId="11" fillId="0" borderId="0" xfId="0" applyFont="1" applyAlignment="1">
      <alignment horizontal="left" vertical="top"/>
    </xf>
    <xf numFmtId="0" fontId="1" fillId="0" borderId="0" xfId="0" applyFont="1" applyAlignment="1">
      <alignment horizontal="center"/>
    </xf>
    <xf numFmtId="0" fontId="7" fillId="0" borderId="0" xfId="0" applyFont="1" applyFill="1" applyAlignment="1">
      <alignment horizontal="left" vertical="top" wrapText="1"/>
    </xf>
    <xf numFmtId="0" fontId="1" fillId="0" borderId="0" xfId="0" applyFont="1" applyFill="1" applyAlignment="1">
      <alignment horizontal="center"/>
    </xf>
    <xf numFmtId="0" fontId="1" fillId="0" borderId="0" xfId="0" applyFont="1" applyBorder="1" applyAlignment="1">
      <alignment horizontal="left" vertical="center" wrapText="1"/>
    </xf>
    <xf numFmtId="3" fontId="1" fillId="0" borderId="0" xfId="0" applyNumberFormat="1" applyFont="1" applyFill="1" applyBorder="1" applyAlignment="1">
      <alignment horizontal="right" vertical="center" wrapText="1"/>
    </xf>
    <xf numFmtId="3" fontId="20" fillId="0" borderId="76" xfId="0" applyNumberFormat="1" applyFont="1" applyFill="1" applyBorder="1"/>
    <xf numFmtId="0" fontId="19" fillId="0" borderId="0" xfId="0" applyFont="1" applyFill="1" applyBorder="1" applyAlignment="1">
      <alignment horizontal="left" vertical="center" wrapText="1"/>
    </xf>
    <xf numFmtId="0" fontId="1" fillId="0" borderId="0" xfId="0" applyFont="1" applyFill="1" applyBorder="1" applyAlignment="1">
      <alignment horizontal="center" vertical="center" wrapText="1"/>
    </xf>
    <xf numFmtId="0" fontId="12" fillId="0" borderId="0" xfId="0" applyFont="1" applyFill="1" applyAlignment="1">
      <alignment horizontal="justify" vertical="top" wrapText="1"/>
    </xf>
    <xf numFmtId="0" fontId="12" fillId="0" borderId="0" xfId="0" applyFont="1" applyAlignment="1">
      <alignment horizontal="justify" vertical="top" wrapText="1"/>
    </xf>
    <xf numFmtId="0" fontId="1" fillId="0" borderId="0" xfId="0" applyFont="1" applyAlignment="1">
      <alignment horizontal="center"/>
    </xf>
    <xf numFmtId="168" fontId="132" fillId="0" borderId="43" xfId="7" applyNumberFormat="1" applyFont="1" applyFill="1" applyBorder="1" applyAlignment="1">
      <alignment horizontal="right"/>
    </xf>
    <xf numFmtId="168" fontId="132" fillId="0" borderId="43" xfId="7" applyNumberFormat="1" applyFont="1" applyBorder="1" applyAlignment="1">
      <alignment horizontal="right"/>
    </xf>
    <xf numFmtId="0" fontId="12" fillId="0" borderId="0" xfId="0" applyFont="1" applyAlignment="1">
      <alignment horizontal="justify" vertical="top" wrapText="1"/>
    </xf>
    <xf numFmtId="0" fontId="1" fillId="0" borderId="0" xfId="0" applyFont="1" applyBorder="1" applyAlignment="1">
      <alignment vertical="center"/>
    </xf>
    <xf numFmtId="3" fontId="1" fillId="0" borderId="0" xfId="0" applyNumberFormat="1" applyFont="1" applyBorder="1" applyAlignment="1">
      <alignment vertical="center"/>
    </xf>
    <xf numFmtId="0" fontId="7" fillId="0" borderId="0" xfId="0" applyFont="1" applyAlignment="1">
      <alignment horizontal="left" vertical="top" wrapText="1"/>
    </xf>
    <xf numFmtId="0" fontId="10" fillId="0" borderId="0" xfId="0" applyFont="1" applyAlignment="1">
      <alignment horizontal="left" vertical="top" wrapText="1"/>
    </xf>
    <xf numFmtId="0" fontId="7" fillId="0" borderId="0" xfId="0" applyFont="1" applyAlignment="1">
      <alignment horizontal="justify" vertical="top" wrapText="1"/>
    </xf>
    <xf numFmtId="0" fontId="7" fillId="0" borderId="0" xfId="0" applyFont="1" applyAlignment="1">
      <alignment horizontal="justify" vertical="top"/>
    </xf>
    <xf numFmtId="0" fontId="12" fillId="0" borderId="0" xfId="0" applyFont="1" applyAlignment="1">
      <alignment horizontal="justify" vertical="top" wrapText="1"/>
    </xf>
    <xf numFmtId="0" fontId="54" fillId="0" borderId="0" xfId="0" applyFont="1" applyAlignment="1">
      <alignment horizontal="justify" vertical="center"/>
    </xf>
    <xf numFmtId="0" fontId="0" fillId="0" borderId="157" xfId="0" applyBorder="1"/>
    <xf numFmtId="0" fontId="88" fillId="0" borderId="0" xfId="9" applyFont="1" applyFill="1" applyBorder="1" applyAlignment="1" applyProtection="1">
      <alignment horizontal="left" vertical="center" wrapText="1" indent="1"/>
      <protection hidden="1"/>
    </xf>
    <xf numFmtId="0" fontId="25" fillId="6" borderId="90" xfId="8" applyFont="1" applyFill="1" applyBorder="1" applyAlignment="1">
      <alignment horizontal="center" vertical="center" wrapText="1"/>
    </xf>
    <xf numFmtId="0" fontId="25" fillId="6" borderId="91" xfId="8" applyFont="1" applyFill="1" applyBorder="1" applyAlignment="1">
      <alignment horizontal="center" vertical="center" wrapText="1"/>
    </xf>
    <xf numFmtId="0" fontId="24" fillId="7" borderId="127" xfId="8" applyFont="1" applyFill="1" applyBorder="1" applyAlignment="1">
      <alignment horizontal="left" vertical="top" wrapText="1"/>
    </xf>
    <xf numFmtId="0" fontId="24" fillId="7" borderId="114" xfId="8" applyFont="1" applyFill="1" applyBorder="1" applyAlignment="1">
      <alignment horizontal="left" vertical="top" wrapText="1"/>
    </xf>
    <xf numFmtId="0" fontId="24" fillId="7" borderId="58" xfId="8" applyFont="1" applyFill="1" applyBorder="1" applyAlignment="1">
      <alignment horizontal="left" vertical="top" wrapText="1"/>
    </xf>
    <xf numFmtId="0" fontId="19" fillId="0" borderId="1" xfId="0" applyFont="1" applyBorder="1" applyAlignment="1">
      <alignment horizontal="center" vertical="center" wrapText="1"/>
    </xf>
    <xf numFmtId="0" fontId="19" fillId="0" borderId="7"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10" xfId="0" applyFont="1" applyBorder="1" applyAlignment="1">
      <alignment horizontal="center" vertical="center" wrapText="1"/>
    </xf>
    <xf numFmtId="0" fontId="19" fillId="0" borderId="75" xfId="0" applyFont="1" applyBorder="1" applyAlignment="1">
      <alignment horizontal="center"/>
    </xf>
    <xf numFmtId="0" fontId="19" fillId="0" borderId="0" xfId="0" applyFont="1" applyBorder="1" applyAlignment="1">
      <alignment horizontal="center"/>
    </xf>
    <xf numFmtId="0" fontId="19" fillId="0" borderId="77" xfId="0" applyFont="1" applyBorder="1" applyAlignment="1">
      <alignment horizontal="center"/>
    </xf>
    <xf numFmtId="0" fontId="19" fillId="0" borderId="9" xfId="0" applyFont="1" applyBorder="1" applyAlignment="1">
      <alignment horizontal="center" vertical="center" wrapText="1"/>
    </xf>
    <xf numFmtId="0" fontId="19" fillId="0" borderId="11" xfId="0" applyFont="1" applyBorder="1" applyAlignment="1">
      <alignment horizontal="center" vertical="center" wrapText="1"/>
    </xf>
    <xf numFmtId="0" fontId="19" fillId="0" borderId="15" xfId="0" applyFont="1" applyBorder="1" applyAlignment="1">
      <alignment horizontal="center" vertical="center"/>
    </xf>
    <xf numFmtId="0" fontId="19" fillId="0" borderId="11" xfId="0" applyFont="1" applyBorder="1" applyAlignment="1">
      <alignment horizontal="center" vertical="center"/>
    </xf>
    <xf numFmtId="0" fontId="19" fillId="0" borderId="10" xfId="0" applyFont="1" applyBorder="1" applyAlignment="1">
      <alignment horizontal="center" vertical="center"/>
    </xf>
    <xf numFmtId="0" fontId="18" fillId="0" borderId="75" xfId="0" applyFont="1" applyBorder="1" applyAlignment="1">
      <alignment horizontal="center"/>
    </xf>
    <xf numFmtId="0" fontId="18" fillId="0" borderId="0" xfId="0" applyFont="1" applyBorder="1" applyAlignment="1">
      <alignment horizontal="center"/>
    </xf>
    <xf numFmtId="0" fontId="18" fillId="0" borderId="77" xfId="0" applyFont="1" applyBorder="1" applyAlignment="1">
      <alignment horizontal="center"/>
    </xf>
    <xf numFmtId="0" fontId="19" fillId="0" borderId="22" xfId="0" applyFont="1" applyBorder="1" applyAlignment="1">
      <alignment horizontal="center" vertical="center" wrapText="1"/>
    </xf>
    <xf numFmtId="0" fontId="19" fillId="0" borderId="23" xfId="0" applyFont="1" applyBorder="1" applyAlignment="1">
      <alignment horizontal="center" vertical="center" wrapText="1"/>
    </xf>
    <xf numFmtId="0" fontId="19" fillId="0" borderId="4" xfId="0" applyFont="1" applyBorder="1" applyAlignment="1">
      <alignment horizontal="center" vertical="center" wrapText="1"/>
    </xf>
    <xf numFmtId="0" fontId="18" fillId="0" borderId="82" xfId="0" applyFont="1" applyBorder="1" applyAlignment="1">
      <alignment horizontal="center"/>
    </xf>
    <xf numFmtId="0" fontId="18" fillId="0" borderId="51" xfId="0" applyFont="1" applyBorder="1" applyAlignment="1">
      <alignment horizontal="center"/>
    </xf>
    <xf numFmtId="0" fontId="18" fillId="0" borderId="81" xfId="0" applyFont="1" applyBorder="1" applyAlignment="1">
      <alignment horizontal="center"/>
    </xf>
    <xf numFmtId="0" fontId="19" fillId="0" borderId="21" xfId="0" applyFont="1" applyBorder="1" applyAlignment="1">
      <alignment horizontal="center" vertical="center" wrapText="1"/>
    </xf>
    <xf numFmtId="0" fontId="19" fillId="0" borderId="2" xfId="0" applyFont="1" applyBorder="1" applyAlignment="1">
      <alignment horizontal="center" vertical="center" wrapText="1"/>
    </xf>
    <xf numFmtId="0" fontId="19" fillId="0" borderId="1" xfId="0" applyFont="1" applyBorder="1" applyAlignment="1">
      <alignment horizontal="center" vertical="center"/>
    </xf>
    <xf numFmtId="0" fontId="19" fillId="0" borderId="9" xfId="0" applyFont="1" applyBorder="1" applyAlignment="1">
      <alignment horizontal="center" vertical="center"/>
    </xf>
    <xf numFmtId="0" fontId="19" fillId="0" borderId="7" xfId="0" applyFont="1" applyBorder="1" applyAlignment="1">
      <alignment horizontal="center" vertical="center"/>
    </xf>
    <xf numFmtId="0" fontId="19" fillId="0" borderId="47" xfId="0" applyFont="1" applyBorder="1" applyAlignment="1">
      <alignment horizontal="center" vertical="center"/>
    </xf>
    <xf numFmtId="0" fontId="19" fillId="0" borderId="23" xfId="0" applyFont="1" applyBorder="1" applyAlignment="1">
      <alignment horizontal="center" vertical="center"/>
    </xf>
    <xf numFmtId="0" fontId="19" fillId="0" borderId="4" xfId="0" applyFont="1" applyBorder="1" applyAlignment="1">
      <alignment horizontal="center" vertical="center"/>
    </xf>
    <xf numFmtId="0" fontId="19" fillId="0" borderId="35" xfId="0" applyFont="1" applyBorder="1" applyAlignment="1">
      <alignment horizontal="center" vertical="center"/>
    </xf>
    <xf numFmtId="0" fontId="19" fillId="0" borderId="46" xfId="0" applyFont="1" applyBorder="1" applyAlignment="1">
      <alignment horizontal="center" vertical="center"/>
    </xf>
    <xf numFmtId="0" fontId="50" fillId="0" borderId="82" xfId="0" applyNumberFormat="1" applyFont="1" applyBorder="1" applyAlignment="1">
      <alignment horizontal="center"/>
    </xf>
    <xf numFmtId="0" fontId="51" fillId="0" borderId="81" xfId="0" applyNumberFormat="1" applyFont="1" applyBorder="1" applyAlignment="1">
      <alignment horizontal="center"/>
    </xf>
    <xf numFmtId="0" fontId="18" fillId="0" borderId="84" xfId="0" applyFont="1" applyBorder="1" applyAlignment="1">
      <alignment horizontal="center"/>
    </xf>
    <xf numFmtId="0" fontId="18" fillId="0" borderId="85" xfId="0" applyFont="1" applyBorder="1" applyAlignment="1">
      <alignment horizontal="center"/>
    </xf>
    <xf numFmtId="0" fontId="19" fillId="0" borderId="19" xfId="0" applyFont="1" applyBorder="1" applyAlignment="1">
      <alignment horizontal="center" vertical="center" wrapText="1"/>
    </xf>
    <xf numFmtId="0" fontId="20" fillId="0" borderId="22" xfId="0" applyFont="1" applyBorder="1" applyAlignment="1">
      <alignment horizontal="center" vertical="center"/>
    </xf>
    <xf numFmtId="0" fontId="20" fillId="0" borderId="23" xfId="0" applyFont="1" applyBorder="1" applyAlignment="1">
      <alignment horizontal="center" vertical="center"/>
    </xf>
    <xf numFmtId="0" fontId="20" fillId="0" borderId="28" xfId="0" applyFont="1" applyBorder="1" applyAlignment="1">
      <alignment vertical="center"/>
    </xf>
    <xf numFmtId="0" fontId="20" fillId="0" borderId="7" xfId="0" applyFont="1" applyBorder="1" applyAlignment="1">
      <alignment vertical="center"/>
    </xf>
    <xf numFmtId="0" fontId="20" fillId="0" borderId="4" xfId="0" applyFont="1" applyBorder="1" applyAlignment="1">
      <alignment horizontal="center" vertical="center"/>
    </xf>
    <xf numFmtId="0" fontId="20" fillId="0" borderId="25" xfId="0" applyFont="1" applyBorder="1" applyAlignment="1">
      <alignment horizontal="center" vertical="center" wrapText="1"/>
    </xf>
    <xf numFmtId="0" fontId="20" fillId="0" borderId="27" xfId="0" applyFont="1" applyBorder="1" applyAlignment="1">
      <alignment horizontal="center" vertical="center" wrapText="1"/>
    </xf>
    <xf numFmtId="0" fontId="20" fillId="0" borderId="26" xfId="0" applyFont="1" applyBorder="1" applyAlignment="1">
      <alignment horizontal="center" vertical="center" wrapText="1"/>
    </xf>
    <xf numFmtId="0" fontId="20" fillId="0" borderId="1" xfId="0" applyFont="1" applyBorder="1" applyAlignment="1">
      <alignment vertical="center"/>
    </xf>
    <xf numFmtId="0" fontId="20" fillId="0" borderId="5" xfId="0" applyFont="1" applyBorder="1" applyAlignment="1">
      <alignment vertical="center"/>
    </xf>
    <xf numFmtId="3" fontId="29" fillId="0" borderId="0" xfId="2" applyNumberFormat="1" applyFont="1" applyFill="1" applyAlignment="1">
      <alignment horizontal="left" vertical="center" wrapText="1"/>
    </xf>
    <xf numFmtId="3" fontId="29" fillId="0" borderId="0" xfId="2" applyNumberFormat="1" applyFont="1" applyFill="1" applyAlignment="1">
      <alignment vertical="center" wrapText="1"/>
    </xf>
    <xf numFmtId="0" fontId="28" fillId="4" borderId="0" xfId="2" applyFont="1" applyFill="1" applyBorder="1" applyAlignment="1">
      <alignment horizontal="center" vertical="center"/>
    </xf>
    <xf numFmtId="3" fontId="29" fillId="0" borderId="0" xfId="2" applyNumberFormat="1" applyFont="1" applyFill="1" applyAlignment="1">
      <alignment horizontal="left" vertical="top" wrapText="1"/>
    </xf>
    <xf numFmtId="9" fontId="29" fillId="0" borderId="0" xfId="1" applyFont="1" applyFill="1" applyAlignment="1">
      <alignment horizontal="left" vertical="center" wrapText="1"/>
    </xf>
    <xf numFmtId="0" fontId="101" fillId="0" borderId="0" xfId="21" applyFont="1" applyFill="1" applyAlignment="1" applyProtection="1">
      <alignment horizontal="left" vertical="center"/>
    </xf>
    <xf numFmtId="0" fontId="28" fillId="0" borderId="0" xfId="2" applyFont="1" applyFill="1" applyBorder="1" applyAlignment="1">
      <alignment horizontal="center" vertical="center"/>
    </xf>
    <xf numFmtId="9" fontId="101" fillId="0" borderId="0" xfId="1" applyFont="1" applyFill="1" applyAlignment="1" applyProtection="1">
      <alignment horizontal="left" vertical="center"/>
    </xf>
    <xf numFmtId="0" fontId="60" fillId="0" borderId="93" xfId="8" applyFont="1" applyFill="1" applyBorder="1" applyAlignment="1">
      <alignment horizontal="left" vertical="top" wrapText="1"/>
    </xf>
    <xf numFmtId="0" fontId="60" fillId="0" borderId="94" xfId="8" applyFont="1" applyFill="1" applyBorder="1" applyAlignment="1">
      <alignment horizontal="left" vertical="top" wrapText="1"/>
    </xf>
    <xf numFmtId="0" fontId="60" fillId="0" borderId="0" xfId="8" applyFont="1" applyFill="1" applyBorder="1" applyAlignment="1">
      <alignment horizontal="left" vertical="top" wrapText="1"/>
    </xf>
    <xf numFmtId="0" fontId="60" fillId="0" borderId="29" xfId="8" applyFont="1" applyFill="1" applyBorder="1" applyAlignment="1">
      <alignment horizontal="left" vertical="top" wrapText="1"/>
    </xf>
    <xf numFmtId="0" fontId="60" fillId="0" borderId="75" xfId="8" applyFont="1" applyFill="1" applyBorder="1" applyAlignment="1">
      <alignment horizontal="center"/>
    </xf>
    <xf numFmtId="0" fontId="60" fillId="0" borderId="0" xfId="8" applyFont="1" applyFill="1" applyBorder="1" applyAlignment="1">
      <alignment horizontal="center"/>
    </xf>
    <xf numFmtId="0" fontId="60" fillId="0" borderId="29" xfId="8" applyFont="1" applyFill="1" applyBorder="1" applyAlignment="1">
      <alignment horizontal="center"/>
    </xf>
    <xf numFmtId="0" fontId="60" fillId="0" borderId="106" xfId="8" applyFont="1" applyFill="1" applyBorder="1" applyAlignment="1">
      <alignment horizontal="center"/>
    </xf>
    <xf numFmtId="0" fontId="60" fillId="0" borderId="97" xfId="8" applyFont="1" applyFill="1" applyBorder="1" applyAlignment="1">
      <alignment horizontal="center"/>
    </xf>
    <xf numFmtId="0" fontId="60" fillId="0" borderId="13" xfId="8" applyFont="1" applyFill="1" applyBorder="1" applyAlignment="1">
      <alignment horizontal="center"/>
    </xf>
    <xf numFmtId="0" fontId="74" fillId="0" borderId="87" xfId="17" applyFont="1" applyFill="1" applyBorder="1" applyAlignment="1">
      <alignment horizontal="center" vertical="center" wrapText="1"/>
    </xf>
    <xf numFmtId="0" fontId="74" fillId="0" borderId="102" xfId="17" applyFont="1" applyFill="1" applyBorder="1" applyAlignment="1">
      <alignment horizontal="center" vertical="center" wrapText="1"/>
    </xf>
    <xf numFmtId="0" fontId="74" fillId="0" borderId="66" xfId="17" applyFont="1" applyFill="1" applyBorder="1" applyAlignment="1">
      <alignment horizontal="left" vertical="top" wrapText="1"/>
    </xf>
    <xf numFmtId="0" fontId="74" fillId="0" borderId="43" xfId="17" applyFont="1" applyFill="1" applyBorder="1" applyAlignment="1">
      <alignment horizontal="left" vertical="top" wrapText="1"/>
    </xf>
    <xf numFmtId="49" fontId="74" fillId="0" borderId="118" xfId="17" applyNumberFormat="1" applyFont="1" applyFill="1" applyBorder="1" applyAlignment="1">
      <alignment horizontal="center" vertical="top"/>
    </xf>
    <xf numFmtId="49" fontId="74" fillId="0" borderId="85" xfId="17" applyNumberFormat="1" applyFont="1" applyFill="1" applyBorder="1" applyAlignment="1">
      <alignment horizontal="center" vertical="top"/>
    </xf>
    <xf numFmtId="171" fontId="103" fillId="0" borderId="43" xfId="17" applyNumberFormat="1" applyFont="1" applyFill="1" applyBorder="1" applyAlignment="1">
      <alignment horizontal="right" vertical="center"/>
    </xf>
    <xf numFmtId="171" fontId="103" fillId="0" borderId="87" xfId="17" applyNumberFormat="1" applyFont="1" applyFill="1" applyBorder="1" applyAlignment="1">
      <alignment horizontal="right" vertical="center"/>
    </xf>
    <xf numFmtId="171" fontId="103" fillId="0" borderId="88" xfId="17" applyNumberFormat="1" applyFont="1" applyFill="1" applyBorder="1" applyAlignment="1">
      <alignment horizontal="right" vertical="center"/>
    </xf>
    <xf numFmtId="171" fontId="103" fillId="0" borderId="89" xfId="17" applyNumberFormat="1" applyFont="1" applyFill="1" applyBorder="1" applyAlignment="1">
      <alignment horizontal="right" vertical="center"/>
    </xf>
    <xf numFmtId="171" fontId="103" fillId="0" borderId="102" xfId="17" applyNumberFormat="1" applyFont="1" applyFill="1" applyBorder="1" applyAlignment="1">
      <alignment horizontal="right" vertical="center"/>
    </xf>
    <xf numFmtId="0" fontId="75" fillId="0" borderId="63" xfId="17" applyFont="1" applyFill="1" applyBorder="1" applyAlignment="1">
      <alignment horizontal="center" vertical="center" wrapText="1"/>
    </xf>
    <xf numFmtId="0" fontId="75" fillId="0" borderId="66" xfId="17" applyFont="1" applyFill="1" applyBorder="1" applyAlignment="1">
      <alignment horizontal="center" vertical="center" wrapText="1"/>
    </xf>
    <xf numFmtId="0" fontId="74" fillId="0" borderId="64" xfId="17" applyFont="1" applyFill="1" applyBorder="1" applyAlignment="1">
      <alignment horizontal="center" vertical="center" wrapText="1"/>
    </xf>
    <xf numFmtId="0" fontId="74" fillId="0" borderId="43" xfId="17" applyFont="1" applyFill="1" applyBorder="1" applyAlignment="1">
      <alignment horizontal="center" vertical="center" wrapText="1"/>
    </xf>
    <xf numFmtId="0" fontId="75" fillId="0" borderId="103" xfId="17" applyFont="1" applyFill="1" applyBorder="1" applyAlignment="1">
      <alignment horizontal="center" vertical="center" wrapText="1"/>
    </xf>
    <xf numFmtId="0" fontId="75" fillId="0" borderId="77" xfId="17" applyFont="1" applyFill="1" applyBorder="1" applyAlignment="1">
      <alignment horizontal="center" vertical="center" wrapText="1"/>
    </xf>
    <xf numFmtId="0" fontId="75" fillId="0" borderId="85" xfId="17" applyFont="1" applyFill="1" applyBorder="1" applyAlignment="1">
      <alignment horizontal="center" vertical="center" wrapText="1"/>
    </xf>
    <xf numFmtId="0" fontId="74" fillId="0" borderId="111" xfId="17" applyFont="1" applyFill="1" applyBorder="1" applyAlignment="1">
      <alignment horizontal="center" vertical="center" wrapText="1"/>
    </xf>
    <xf numFmtId="0" fontId="74" fillId="0" borderId="113" xfId="17" applyFont="1" applyFill="1" applyBorder="1" applyAlignment="1">
      <alignment horizontal="center" vertical="center" wrapText="1"/>
    </xf>
    <xf numFmtId="0" fontId="74" fillId="0" borderId="112" xfId="17" applyFont="1" applyFill="1" applyBorder="1" applyAlignment="1">
      <alignment horizontal="center" vertical="center" wrapText="1"/>
    </xf>
    <xf numFmtId="0" fontId="74" fillId="0" borderId="104" xfId="17" applyFont="1" applyFill="1" applyBorder="1" applyAlignment="1">
      <alignment horizontal="center" vertical="center" wrapText="1"/>
    </xf>
    <xf numFmtId="0" fontId="74" fillId="0" borderId="94" xfId="17" applyFont="1" applyFill="1" applyBorder="1" applyAlignment="1">
      <alignment horizontal="center" vertical="center" wrapText="1"/>
    </xf>
    <xf numFmtId="0" fontId="74" fillId="0" borderId="84" xfId="17" applyFont="1" applyFill="1" applyBorder="1" applyAlignment="1">
      <alignment horizontal="center" vertical="center" wrapText="1"/>
    </xf>
    <xf numFmtId="0" fontId="74" fillId="0" borderId="100" xfId="17" applyFont="1" applyFill="1" applyBorder="1" applyAlignment="1">
      <alignment horizontal="center" vertical="center" wrapText="1"/>
    </xf>
    <xf numFmtId="1" fontId="74" fillId="0" borderId="43" xfId="17" applyNumberFormat="1" applyFont="1" applyFill="1" applyBorder="1" applyAlignment="1">
      <alignment horizontal="center" vertical="center"/>
    </xf>
    <xf numFmtId="0" fontId="74" fillId="0" borderId="99" xfId="17" applyFont="1" applyFill="1" applyBorder="1" applyAlignment="1">
      <alignment horizontal="center" wrapText="1"/>
    </xf>
    <xf numFmtId="0" fontId="74" fillId="0" borderId="85" xfId="17" applyFont="1" applyFill="1" applyBorder="1" applyAlignment="1">
      <alignment horizontal="center" wrapText="1"/>
    </xf>
    <xf numFmtId="0" fontId="74" fillId="0" borderId="117" xfId="17" quotePrefix="1" applyFont="1" applyFill="1" applyBorder="1" applyAlignment="1">
      <alignment horizontal="left" vertical="top" wrapText="1"/>
    </xf>
    <xf numFmtId="0" fontId="74" fillId="0" borderId="70" xfId="17" quotePrefix="1" applyFont="1" applyFill="1" applyBorder="1" applyAlignment="1">
      <alignment horizontal="left" vertical="top" wrapText="1"/>
    </xf>
    <xf numFmtId="0" fontId="74" fillId="0" borderId="116" xfId="17" quotePrefix="1" applyFont="1" applyFill="1" applyBorder="1" applyAlignment="1">
      <alignment horizontal="left" vertical="top" wrapText="1"/>
    </xf>
    <xf numFmtId="0" fontId="74" fillId="0" borderId="71" xfId="17" quotePrefix="1" applyFont="1" applyFill="1" applyBorder="1" applyAlignment="1">
      <alignment horizontal="left" vertical="top" wrapText="1"/>
    </xf>
    <xf numFmtId="0" fontId="73" fillId="0" borderId="117" xfId="17" applyFont="1" applyFill="1" applyBorder="1" applyAlignment="1">
      <alignment horizontal="right" vertical="top" wrapText="1"/>
    </xf>
    <xf numFmtId="0" fontId="73" fillId="0" borderId="70" xfId="17" applyFont="1" applyFill="1" applyBorder="1" applyAlignment="1">
      <alignment horizontal="right" vertical="top" wrapText="1"/>
    </xf>
    <xf numFmtId="0" fontId="73" fillId="0" borderId="116" xfId="17" applyFont="1" applyFill="1" applyBorder="1" applyAlignment="1">
      <alignment horizontal="left" vertical="top" wrapText="1"/>
    </xf>
    <xf numFmtId="0" fontId="73" fillId="0" borderId="71" xfId="17" applyFont="1" applyFill="1" applyBorder="1" applyAlignment="1">
      <alignment horizontal="left" vertical="top" wrapText="1"/>
    </xf>
    <xf numFmtId="49" fontId="73" fillId="0" borderId="118" xfId="17" applyNumberFormat="1" applyFont="1" applyFill="1" applyBorder="1" applyAlignment="1">
      <alignment horizontal="center" vertical="top"/>
    </xf>
    <xf numFmtId="49" fontId="73" fillId="0" borderId="85" xfId="17" applyNumberFormat="1" applyFont="1" applyFill="1" applyBorder="1" applyAlignment="1">
      <alignment horizontal="center" vertical="top"/>
    </xf>
    <xf numFmtId="171" fontId="72" fillId="0" borderId="43" xfId="17" applyNumberFormat="1" applyFont="1" applyFill="1" applyBorder="1" applyAlignment="1">
      <alignment horizontal="right" vertical="center"/>
    </xf>
    <xf numFmtId="171" fontId="72" fillId="0" borderId="87" xfId="17" applyNumberFormat="1" applyFont="1" applyFill="1" applyBorder="1" applyAlignment="1">
      <alignment horizontal="right" vertical="center"/>
    </xf>
    <xf numFmtId="171" fontId="72" fillId="0" borderId="88" xfId="17" applyNumberFormat="1" applyFont="1" applyFill="1" applyBorder="1" applyAlignment="1">
      <alignment horizontal="right" vertical="center"/>
    </xf>
    <xf numFmtId="171" fontId="72" fillId="0" borderId="89" xfId="17" applyNumberFormat="1" applyFont="1" applyFill="1" applyBorder="1" applyAlignment="1">
      <alignment horizontal="right" vertical="center"/>
    </xf>
    <xf numFmtId="171" fontId="72" fillId="0" borderId="102" xfId="17" applyNumberFormat="1" applyFont="1" applyFill="1" applyBorder="1" applyAlignment="1">
      <alignment horizontal="right" vertical="center"/>
    </xf>
    <xf numFmtId="0" fontId="73" fillId="0" borderId="117" xfId="17" applyFont="1" applyFill="1" applyBorder="1" applyAlignment="1">
      <alignment horizontal="left" vertical="top" wrapText="1"/>
    </xf>
    <xf numFmtId="0" fontId="73" fillId="0" borderId="70" xfId="17" applyFont="1" applyFill="1" applyBorder="1" applyAlignment="1">
      <alignment horizontal="left" vertical="top" wrapText="1"/>
    </xf>
    <xf numFmtId="0" fontId="74" fillId="0" borderId="117" xfId="17" applyFont="1" applyFill="1" applyBorder="1" applyAlignment="1">
      <alignment horizontal="left" vertical="top" wrapText="1"/>
    </xf>
    <xf numFmtId="0" fontId="74" fillId="0" borderId="70" xfId="17" applyFont="1" applyFill="1" applyBorder="1" applyAlignment="1">
      <alignment horizontal="left" vertical="top" wrapText="1"/>
    </xf>
    <xf numFmtId="0" fontId="74" fillId="0" borderId="116" xfId="17" applyFont="1" applyFill="1" applyBorder="1" applyAlignment="1">
      <alignment horizontal="left" vertical="top" wrapText="1"/>
    </xf>
    <xf numFmtId="0" fontId="74" fillId="0" borderId="71" xfId="17" applyFont="1" applyFill="1" applyBorder="1" applyAlignment="1">
      <alignment horizontal="left" vertical="top" wrapText="1"/>
    </xf>
    <xf numFmtId="0" fontId="73" fillId="0" borderId="66" xfId="17" applyFont="1" applyFill="1" applyBorder="1" applyAlignment="1">
      <alignment horizontal="right" vertical="top" wrapText="1"/>
    </xf>
    <xf numFmtId="0" fontId="73" fillId="0" borderId="72" xfId="17" applyFont="1" applyFill="1" applyBorder="1" applyAlignment="1">
      <alignment horizontal="right" vertical="top" wrapText="1"/>
    </xf>
    <xf numFmtId="0" fontId="73" fillId="0" borderId="69" xfId="17" applyFont="1" applyFill="1" applyBorder="1" applyAlignment="1">
      <alignment horizontal="left" vertical="top" wrapText="1"/>
    </xf>
    <xf numFmtId="49" fontId="73" fillId="0" borderId="105" xfId="17" applyNumberFormat="1" applyFont="1" applyFill="1" applyBorder="1" applyAlignment="1">
      <alignment horizontal="center" vertical="top"/>
    </xf>
    <xf numFmtId="171" fontId="72" fillId="0" borderId="73" xfId="17" applyNumberFormat="1" applyFont="1" applyFill="1" applyBorder="1" applyAlignment="1">
      <alignment horizontal="right" vertical="center"/>
    </xf>
    <xf numFmtId="171" fontId="72" fillId="0" borderId="108" xfId="17" applyNumberFormat="1" applyFont="1" applyFill="1" applyBorder="1" applyAlignment="1">
      <alignment horizontal="right" vertical="center"/>
    </xf>
    <xf numFmtId="171" fontId="72" fillId="0" borderId="135" xfId="17" applyNumberFormat="1" applyFont="1" applyFill="1" applyBorder="1" applyAlignment="1">
      <alignment horizontal="right" vertical="center"/>
    </xf>
    <xf numFmtId="171" fontId="72" fillId="0" borderId="107" xfId="17" applyNumberFormat="1" applyFont="1" applyFill="1" applyBorder="1" applyAlignment="1">
      <alignment horizontal="right" vertical="center"/>
    </xf>
    <xf numFmtId="1" fontId="74" fillId="0" borderId="89" xfId="17" applyNumberFormat="1" applyFont="1" applyFill="1" applyBorder="1" applyAlignment="1">
      <alignment horizontal="center" vertical="center"/>
    </xf>
    <xf numFmtId="0" fontId="73" fillId="0" borderId="115" xfId="17" applyFont="1" applyFill="1" applyBorder="1" applyAlignment="1">
      <alignment horizontal="left" vertical="top" wrapText="1"/>
    </xf>
    <xf numFmtId="0" fontId="73" fillId="0" borderId="84" xfId="17" applyFont="1" applyFill="1" applyBorder="1" applyAlignment="1">
      <alignment horizontal="left" vertical="top" wrapText="1"/>
    </xf>
    <xf numFmtId="0" fontId="74" fillId="0" borderId="70" xfId="17" applyFont="1" applyFill="1" applyBorder="1" applyAlignment="1">
      <alignment horizontal="right" vertical="top" wrapText="1"/>
    </xf>
    <xf numFmtId="0" fontId="74" fillId="0" borderId="66" xfId="17" applyFont="1" applyFill="1" applyBorder="1" applyAlignment="1">
      <alignment horizontal="right" vertical="top" wrapText="1"/>
    </xf>
    <xf numFmtId="0" fontId="73" fillId="0" borderId="116" xfId="17" quotePrefix="1" applyFont="1" applyFill="1" applyBorder="1" applyAlignment="1">
      <alignment horizontal="left" vertical="top" wrapText="1"/>
    </xf>
    <xf numFmtId="0" fontId="73" fillId="0" borderId="71" xfId="17" quotePrefix="1" applyFont="1" applyFill="1" applyBorder="1" applyAlignment="1">
      <alignment horizontal="left" vertical="top" wrapText="1"/>
    </xf>
    <xf numFmtId="0" fontId="56" fillId="0" borderId="116" xfId="17" applyFont="1" applyFill="1" applyBorder="1" applyAlignment="1">
      <alignment horizontal="left" vertical="top" wrapText="1"/>
    </xf>
    <xf numFmtId="0" fontId="56" fillId="0" borderId="71" xfId="17" applyFont="1" applyFill="1" applyBorder="1" applyAlignment="1">
      <alignment horizontal="left" vertical="top" wrapText="1"/>
    </xf>
    <xf numFmtId="0" fontId="56" fillId="0" borderId="69" xfId="17" applyFont="1" applyFill="1" applyBorder="1" applyAlignment="1">
      <alignment horizontal="left" vertical="top" wrapText="1"/>
    </xf>
    <xf numFmtId="49" fontId="73" fillId="0" borderId="116" xfId="17" applyNumberFormat="1" applyFont="1" applyFill="1" applyBorder="1" applyAlignment="1">
      <alignment horizontal="center" vertical="top"/>
    </xf>
    <xf numFmtId="49" fontId="73" fillId="0" borderId="71" xfId="17" applyNumberFormat="1" applyFont="1" applyFill="1" applyBorder="1" applyAlignment="1">
      <alignment horizontal="center" vertical="top"/>
    </xf>
    <xf numFmtId="0" fontId="75" fillId="0" borderId="64" xfId="17" applyFont="1" applyFill="1" applyBorder="1" applyAlignment="1">
      <alignment horizontal="center" vertical="center" wrapText="1"/>
    </xf>
    <xf numFmtId="0" fontId="75" fillId="0" borderId="43" xfId="17" applyFont="1" applyFill="1" applyBorder="1" applyAlignment="1">
      <alignment horizontal="center" vertical="center" wrapText="1"/>
    </xf>
    <xf numFmtId="0" fontId="74" fillId="0" borderId="84" xfId="17" applyFont="1" applyFill="1" applyBorder="1" applyAlignment="1">
      <alignment horizontal="center" wrapText="1"/>
    </xf>
    <xf numFmtId="0" fontId="56" fillId="0" borderId="115" xfId="17" applyFont="1" applyFill="1" applyBorder="1" applyAlignment="1">
      <alignment horizontal="left" vertical="top" wrapText="1"/>
    </xf>
    <xf numFmtId="0" fontId="56" fillId="0" borderId="84" xfId="17" applyFont="1" applyFill="1" applyBorder="1" applyAlignment="1">
      <alignment horizontal="left" vertical="top" wrapText="1"/>
    </xf>
    <xf numFmtId="0" fontId="73" fillId="4" borderId="115" xfId="17" applyFont="1" applyFill="1" applyBorder="1" applyAlignment="1">
      <alignment horizontal="left" vertical="top" wrapText="1"/>
    </xf>
    <xf numFmtId="0" fontId="73" fillId="4" borderId="84" xfId="17" applyFont="1" applyFill="1" applyBorder="1" applyAlignment="1">
      <alignment horizontal="left" vertical="top" wrapText="1"/>
    </xf>
    <xf numFmtId="0" fontId="74" fillId="0" borderId="115" xfId="17" applyFont="1" applyFill="1" applyBorder="1" applyAlignment="1">
      <alignment horizontal="left" vertical="top" wrapText="1"/>
    </xf>
    <xf numFmtId="0" fontId="74" fillId="0" borderId="84" xfId="17" applyFont="1" applyFill="1" applyBorder="1" applyAlignment="1">
      <alignment horizontal="left" vertical="top" wrapText="1"/>
    </xf>
    <xf numFmtId="49" fontId="74" fillId="0" borderId="116" xfId="17" applyNumberFormat="1" applyFont="1" applyFill="1" applyBorder="1" applyAlignment="1">
      <alignment horizontal="center" vertical="top"/>
    </xf>
    <xf numFmtId="49" fontId="74" fillId="0" borderId="71" xfId="17" applyNumberFormat="1" applyFont="1" applyFill="1" applyBorder="1" applyAlignment="1">
      <alignment horizontal="center" vertical="top"/>
    </xf>
    <xf numFmtId="0" fontId="73" fillId="0" borderId="106" xfId="17" applyFont="1" applyFill="1" applyBorder="1" applyAlignment="1">
      <alignment horizontal="left" vertical="top" wrapText="1"/>
    </xf>
    <xf numFmtId="49" fontId="73" fillId="0" borderId="69" xfId="17" applyNumberFormat="1" applyFont="1" applyFill="1" applyBorder="1" applyAlignment="1">
      <alignment horizontal="center" vertical="top"/>
    </xf>
    <xf numFmtId="0" fontId="75" fillId="0" borderId="70" xfId="17" applyFont="1" applyFill="1" applyBorder="1" applyAlignment="1">
      <alignment horizontal="center" vertical="center" wrapText="1"/>
    </xf>
    <xf numFmtId="0" fontId="75" fillId="0" borderId="71" xfId="17" applyFont="1" applyFill="1" applyBorder="1" applyAlignment="1">
      <alignment horizontal="center" vertical="center" wrapText="1"/>
    </xf>
    <xf numFmtId="0" fontId="74" fillId="0" borderId="99" xfId="17" applyFont="1" applyFill="1" applyBorder="1" applyAlignment="1">
      <alignment horizontal="center" vertical="center" wrapText="1"/>
    </xf>
    <xf numFmtId="0" fontId="74" fillId="0" borderId="85" xfId="17" applyFont="1" applyFill="1" applyBorder="1" applyAlignment="1">
      <alignment horizontal="center" vertical="center" wrapText="1"/>
    </xf>
    <xf numFmtId="0" fontId="74" fillId="0" borderId="115" xfId="17" applyFont="1" applyFill="1" applyBorder="1" applyAlignment="1">
      <alignment horizontal="center" vertical="center" wrapText="1"/>
    </xf>
    <xf numFmtId="0" fontId="74" fillId="0" borderId="140" xfId="17" applyFont="1" applyFill="1" applyBorder="1" applyAlignment="1">
      <alignment horizontal="center" vertical="center" wrapText="1"/>
    </xf>
    <xf numFmtId="171" fontId="72" fillId="0" borderId="99" xfId="17" applyNumberFormat="1" applyFont="1" applyFill="1" applyBorder="1" applyAlignment="1">
      <alignment horizontal="right" vertical="center"/>
    </xf>
    <xf numFmtId="171" fontId="72" fillId="0" borderId="85" xfId="17" applyNumberFormat="1" applyFont="1" applyFill="1" applyBorder="1" applyAlignment="1">
      <alignment horizontal="right" vertical="center"/>
    </xf>
    <xf numFmtId="171" fontId="103" fillId="0" borderId="116" xfId="17" applyNumberFormat="1" applyFont="1" applyFill="1" applyBorder="1" applyAlignment="1">
      <alignment horizontal="right" vertical="center"/>
    </xf>
    <xf numFmtId="171" fontId="103" fillId="0" borderId="115" xfId="17" applyNumberFormat="1" applyFont="1" applyFill="1" applyBorder="1" applyAlignment="1">
      <alignment horizontal="right" vertical="center"/>
    </xf>
    <xf numFmtId="0" fontId="74" fillId="0" borderId="87" xfId="17" applyFont="1" applyFill="1" applyBorder="1" applyAlignment="1">
      <alignment horizontal="left" vertical="top" wrapText="1"/>
    </xf>
    <xf numFmtId="0" fontId="74" fillId="0" borderId="88" xfId="17" applyFont="1" applyFill="1" applyBorder="1" applyAlignment="1">
      <alignment horizontal="left" vertical="top" wrapText="1"/>
    </xf>
    <xf numFmtId="0" fontId="74" fillId="0" borderId="89" xfId="17" applyFont="1" applyFill="1" applyBorder="1" applyAlignment="1">
      <alignment horizontal="left" vertical="top" wrapText="1"/>
    </xf>
    <xf numFmtId="0" fontId="74" fillId="0" borderId="110" xfId="17" applyFont="1" applyFill="1" applyBorder="1" applyAlignment="1">
      <alignment horizontal="center" vertical="center" wrapText="1"/>
    </xf>
    <xf numFmtId="0" fontId="27" fillId="0" borderId="43" xfId="17" applyFill="1" applyBorder="1" applyAlignment="1">
      <alignment horizontal="left" vertical="top" wrapText="1"/>
    </xf>
    <xf numFmtId="0" fontId="73" fillId="0" borderId="87" xfId="17" applyFont="1" applyFill="1" applyBorder="1" applyAlignment="1">
      <alignment horizontal="left" vertical="top" wrapText="1"/>
    </xf>
    <xf numFmtId="0" fontId="73" fillId="0" borderId="88" xfId="17" applyFont="1" applyFill="1" applyBorder="1" applyAlignment="1">
      <alignment horizontal="left" vertical="top" wrapText="1"/>
    </xf>
    <xf numFmtId="0" fontId="73" fillId="0" borderId="89" xfId="17" applyFont="1" applyFill="1" applyBorder="1" applyAlignment="1">
      <alignment horizontal="left" vertical="top" wrapText="1"/>
    </xf>
    <xf numFmtId="0" fontId="73" fillId="0" borderId="108" xfId="17" applyFont="1" applyFill="1" applyBorder="1" applyAlignment="1">
      <alignment horizontal="left" vertical="top" wrapText="1"/>
    </xf>
    <xf numFmtId="0" fontId="73" fillId="0" borderId="135" xfId="17" applyFont="1" applyFill="1" applyBorder="1" applyAlignment="1">
      <alignment horizontal="left" vertical="top" wrapText="1"/>
    </xf>
    <xf numFmtId="0" fontId="73" fillId="0" borderId="109" xfId="17" applyFont="1" applyFill="1" applyBorder="1" applyAlignment="1">
      <alignment horizontal="left" vertical="top" wrapText="1"/>
    </xf>
    <xf numFmtId="171" fontId="72" fillId="0" borderId="109" xfId="17" applyNumberFormat="1" applyFont="1" applyFill="1" applyBorder="1" applyAlignment="1">
      <alignment horizontal="right" vertical="center"/>
    </xf>
    <xf numFmtId="0" fontId="27" fillId="0" borderId="71" xfId="17" applyFont="1" applyFill="1" applyBorder="1" applyAlignment="1">
      <alignment horizontal="left" vertical="top" wrapText="1"/>
    </xf>
    <xf numFmtId="171" fontId="72" fillId="0" borderId="84" xfId="17" applyNumberFormat="1" applyFont="1" applyFill="1" applyBorder="1" applyAlignment="1">
      <alignment horizontal="right" vertical="center"/>
    </xf>
    <xf numFmtId="171" fontId="72" fillId="0" borderId="100" xfId="17" applyNumberFormat="1" applyFont="1" applyFill="1" applyBorder="1" applyAlignment="1">
      <alignment horizontal="right" vertical="center"/>
    </xf>
    <xf numFmtId="0" fontId="59" fillId="0" borderId="71" xfId="17" applyFont="1" applyFill="1" applyBorder="1" applyAlignment="1">
      <alignment horizontal="left" vertical="top" wrapText="1"/>
    </xf>
    <xf numFmtId="171" fontId="103" fillId="0" borderId="84" xfId="17" applyNumberFormat="1" applyFont="1" applyFill="1" applyBorder="1" applyAlignment="1">
      <alignment horizontal="right" vertical="center"/>
    </xf>
    <xf numFmtId="171" fontId="103" fillId="0" borderId="85" xfId="17" applyNumberFormat="1" applyFont="1" applyFill="1" applyBorder="1" applyAlignment="1">
      <alignment horizontal="right" vertical="center"/>
    </xf>
    <xf numFmtId="171" fontId="103" fillId="0" borderId="100" xfId="17" applyNumberFormat="1" applyFont="1" applyFill="1" applyBorder="1" applyAlignment="1">
      <alignment horizontal="right" vertical="center"/>
    </xf>
    <xf numFmtId="0" fontId="75" fillId="0" borderId="124" xfId="17" applyFont="1" applyFill="1" applyBorder="1" applyAlignment="1">
      <alignment horizontal="center" vertical="center" wrapText="1"/>
    </xf>
    <xf numFmtId="0" fontId="75" fillId="0" borderId="145" xfId="17" applyFont="1" applyFill="1" applyBorder="1" applyAlignment="1">
      <alignment horizontal="center" vertical="center" wrapText="1"/>
    </xf>
    <xf numFmtId="0" fontId="74" fillId="0" borderId="136" xfId="17" applyFont="1" applyFill="1" applyBorder="1" applyAlignment="1">
      <alignment horizontal="center" vertical="center" wrapText="1"/>
    </xf>
    <xf numFmtId="0" fontId="74" fillId="0" borderId="76" xfId="17" applyFont="1" applyFill="1" applyBorder="1" applyAlignment="1">
      <alignment horizontal="center" vertical="center" wrapText="1"/>
    </xf>
    <xf numFmtId="0" fontId="74" fillId="0" borderId="71" xfId="17" applyFont="1" applyFill="1" applyBorder="1" applyAlignment="1">
      <alignment horizontal="center" vertical="center" wrapText="1"/>
    </xf>
    <xf numFmtId="1" fontId="74" fillId="0" borderId="116" xfId="17" applyNumberFormat="1" applyFont="1" applyFill="1" applyBorder="1" applyAlignment="1">
      <alignment horizontal="center" vertical="center"/>
    </xf>
    <xf numFmtId="1" fontId="74" fillId="0" borderId="71" xfId="17" applyNumberFormat="1" applyFont="1" applyFill="1" applyBorder="1" applyAlignment="1">
      <alignment horizontal="center" vertical="center"/>
    </xf>
    <xf numFmtId="0" fontId="74" fillId="0" borderId="88" xfId="17" applyFont="1" applyFill="1" applyBorder="1" applyAlignment="1">
      <alignment horizontal="center" vertical="center" wrapText="1"/>
    </xf>
    <xf numFmtId="0" fontId="74" fillId="0" borderId="87" xfId="17" applyFont="1" applyFill="1" applyBorder="1" applyAlignment="1">
      <alignment horizontal="center" wrapText="1"/>
    </xf>
    <xf numFmtId="0" fontId="74" fillId="0" borderId="89" xfId="17" applyFont="1" applyFill="1" applyBorder="1" applyAlignment="1">
      <alignment horizontal="center" wrapText="1"/>
    </xf>
    <xf numFmtId="0" fontId="74" fillId="0" borderId="72" xfId="17" applyFont="1" applyFill="1" applyBorder="1" applyAlignment="1">
      <alignment horizontal="right" vertical="top" wrapText="1"/>
    </xf>
    <xf numFmtId="0" fontId="74" fillId="0" borderId="69" xfId="17" applyFont="1" applyFill="1" applyBorder="1" applyAlignment="1">
      <alignment horizontal="left" vertical="top" wrapText="1"/>
    </xf>
    <xf numFmtId="49" fontId="74" fillId="0" borderId="105" xfId="17" applyNumberFormat="1" applyFont="1" applyFill="1" applyBorder="1" applyAlignment="1">
      <alignment horizontal="center" vertical="top"/>
    </xf>
    <xf numFmtId="0" fontId="74" fillId="0" borderId="65" xfId="17" applyFont="1" applyFill="1" applyBorder="1" applyAlignment="1">
      <alignment horizontal="center" vertical="center" wrapText="1"/>
    </xf>
    <xf numFmtId="0" fontId="73" fillId="0" borderId="87" xfId="17" quotePrefix="1" applyFont="1" applyFill="1" applyBorder="1" applyAlignment="1">
      <alignment horizontal="left" vertical="top" wrapText="1"/>
    </xf>
    <xf numFmtId="0" fontId="73" fillId="0" borderId="88" xfId="17" quotePrefix="1" applyFont="1" applyFill="1" applyBorder="1" applyAlignment="1">
      <alignment horizontal="left" vertical="top" wrapText="1"/>
    </xf>
    <xf numFmtId="0" fontId="73" fillId="0" borderId="89" xfId="17" quotePrefix="1" applyFont="1" applyFill="1" applyBorder="1" applyAlignment="1">
      <alignment horizontal="left" vertical="top" wrapText="1"/>
    </xf>
    <xf numFmtId="0" fontId="104" fillId="0" borderId="87" xfId="17" applyFont="1" applyFill="1" applyBorder="1" applyAlignment="1">
      <alignment horizontal="left" vertical="top" wrapText="1"/>
    </xf>
    <xf numFmtId="0" fontId="104" fillId="0" borderId="88" xfId="17" applyFont="1" applyFill="1" applyBorder="1" applyAlignment="1">
      <alignment horizontal="left" vertical="top" wrapText="1"/>
    </xf>
    <xf numFmtId="0" fontId="104" fillId="0" borderId="89" xfId="17" applyFont="1" applyFill="1" applyBorder="1" applyAlignment="1">
      <alignment horizontal="left" vertical="top" wrapText="1"/>
    </xf>
    <xf numFmtId="0" fontId="74" fillId="0" borderId="87" xfId="17" quotePrefix="1" applyFont="1" applyFill="1" applyBorder="1" applyAlignment="1">
      <alignment horizontal="left" vertical="top" wrapText="1"/>
    </xf>
    <xf numFmtId="0" fontId="74" fillId="0" borderId="88" xfId="17" quotePrefix="1" applyFont="1" applyFill="1" applyBorder="1" applyAlignment="1">
      <alignment horizontal="left" vertical="top" wrapText="1"/>
    </xf>
    <xf numFmtId="0" fontId="74" fillId="0" borderId="89" xfId="17" quotePrefix="1" applyFont="1" applyFill="1" applyBorder="1" applyAlignment="1">
      <alignment horizontal="left" vertical="top" wrapText="1"/>
    </xf>
    <xf numFmtId="0" fontId="74" fillId="0" borderId="108" xfId="17" applyFont="1" applyFill="1" applyBorder="1" applyAlignment="1">
      <alignment horizontal="left" vertical="top" wrapText="1"/>
    </xf>
    <xf numFmtId="0" fontId="74" fillId="0" borderId="135" xfId="17" applyFont="1" applyFill="1" applyBorder="1" applyAlignment="1">
      <alignment horizontal="left" vertical="top" wrapText="1"/>
    </xf>
    <xf numFmtId="0" fontId="74" fillId="0" borderId="109" xfId="17" applyFont="1" applyFill="1" applyBorder="1" applyAlignment="1">
      <alignment horizontal="left" vertical="top" wrapText="1"/>
    </xf>
    <xf numFmtId="0" fontId="104" fillId="0" borderId="87" xfId="17" quotePrefix="1" applyFont="1" applyFill="1" applyBorder="1" applyAlignment="1">
      <alignment horizontal="left" vertical="top" wrapText="1"/>
    </xf>
    <xf numFmtId="0" fontId="104" fillId="0" borderId="88" xfId="17" quotePrefix="1" applyFont="1" applyFill="1" applyBorder="1" applyAlignment="1">
      <alignment horizontal="left" vertical="top" wrapText="1"/>
    </xf>
    <xf numFmtId="0" fontId="104" fillId="0" borderId="89" xfId="17" quotePrefix="1" applyFont="1" applyFill="1" applyBorder="1" applyAlignment="1">
      <alignment horizontal="left" vertical="top" wrapText="1"/>
    </xf>
    <xf numFmtId="3" fontId="20" fillId="2" borderId="129" xfId="0" applyNumberFormat="1" applyFont="1" applyFill="1" applyBorder="1" applyAlignment="1">
      <alignment horizontal="right" vertical="center" wrapText="1"/>
    </xf>
    <xf numFmtId="0" fontId="20" fillId="0" borderId="101" xfId="0" applyFont="1" applyBorder="1" applyAlignment="1">
      <alignment horizontal="left" vertical="center" wrapText="1"/>
    </xf>
    <xf numFmtId="0" fontId="20" fillId="0" borderId="88" xfId="0" applyFont="1" applyBorder="1" applyAlignment="1">
      <alignment horizontal="left" vertical="center" wrapText="1"/>
    </xf>
    <xf numFmtId="0" fontId="20" fillId="0" borderId="102" xfId="0" applyFont="1" applyBorder="1" applyAlignment="1">
      <alignment horizontal="left" vertical="center" wrapText="1"/>
    </xf>
    <xf numFmtId="3" fontId="20" fillId="0" borderId="130" xfId="0" applyNumberFormat="1" applyFont="1" applyBorder="1" applyAlignment="1">
      <alignment horizontal="right" vertical="center" wrapText="1"/>
    </xf>
    <xf numFmtId="3" fontId="1" fillId="4" borderId="130" xfId="0" applyNumberFormat="1" applyFont="1" applyFill="1" applyBorder="1" applyAlignment="1">
      <alignment horizontal="right" vertical="center" wrapText="1"/>
    </xf>
    <xf numFmtId="0" fontId="19" fillId="0" borderId="96" xfId="0" applyFont="1" applyBorder="1" applyAlignment="1">
      <alignment horizontal="left" vertical="center" wrapText="1"/>
    </xf>
    <xf numFmtId="0" fontId="19" fillId="0" borderId="97" xfId="0" applyFont="1" applyBorder="1" applyAlignment="1">
      <alignment horizontal="left" vertical="center" wrapText="1"/>
    </xf>
    <xf numFmtId="0" fontId="19" fillId="0" borderId="13" xfId="0" applyFont="1" applyBorder="1" applyAlignment="1">
      <alignment horizontal="left" vertical="center" wrapText="1"/>
    </xf>
    <xf numFmtId="3" fontId="1" fillId="0" borderId="130" xfId="0" applyNumberFormat="1" applyFont="1" applyBorder="1" applyAlignment="1">
      <alignment horizontal="right" vertical="center" wrapText="1"/>
    </xf>
    <xf numFmtId="3" fontId="20" fillId="2" borderId="125" xfId="0" applyNumberFormat="1" applyFont="1" applyFill="1" applyBorder="1" applyAlignment="1">
      <alignment horizontal="right" vertical="center" wrapText="1"/>
    </xf>
    <xf numFmtId="0" fontId="20" fillId="0" borderId="130" xfId="0" applyFont="1" applyBorder="1" applyAlignment="1">
      <alignment horizontal="left" vertical="center"/>
    </xf>
    <xf numFmtId="3" fontId="20" fillId="0" borderId="130" xfId="0" applyNumberFormat="1" applyFont="1" applyFill="1" applyBorder="1" applyAlignment="1">
      <alignment horizontal="right" vertical="center" wrapText="1"/>
    </xf>
    <xf numFmtId="3" fontId="20" fillId="0" borderId="130" xfId="0" applyNumberFormat="1" applyFont="1" applyFill="1" applyBorder="1" applyAlignment="1">
      <alignment horizontal="right" vertical="center"/>
    </xf>
    <xf numFmtId="3" fontId="20" fillId="0" borderId="127" xfId="0" applyNumberFormat="1" applyFont="1" applyBorder="1" applyAlignment="1">
      <alignment horizontal="right" vertical="center"/>
    </xf>
    <xf numFmtId="3" fontId="20" fillId="0" borderId="128" xfId="0" applyNumberFormat="1" applyFont="1" applyBorder="1" applyAlignment="1">
      <alignment horizontal="right" vertical="center"/>
    </xf>
    <xf numFmtId="3" fontId="20" fillId="0" borderId="124" xfId="0" applyNumberFormat="1" applyFont="1" applyBorder="1" applyAlignment="1">
      <alignment horizontal="right" vertical="center"/>
    </xf>
    <xf numFmtId="3" fontId="20" fillId="0" borderId="89" xfId="0" applyNumberFormat="1" applyFont="1" applyBorder="1" applyAlignment="1">
      <alignment horizontal="right" vertical="center"/>
    </xf>
    <xf numFmtId="3" fontId="20" fillId="0" borderId="43" xfId="0" applyNumberFormat="1" applyFont="1" applyBorder="1" applyAlignment="1">
      <alignment horizontal="right" vertical="center"/>
    </xf>
    <xf numFmtId="3" fontId="20" fillId="0" borderId="67" xfId="0" applyNumberFormat="1" applyFont="1" applyBorder="1" applyAlignment="1">
      <alignment horizontal="right" vertical="center"/>
    </xf>
    <xf numFmtId="3" fontId="1" fillId="0" borderId="101" xfId="0" applyNumberFormat="1" applyFont="1" applyFill="1" applyBorder="1" applyAlignment="1">
      <alignment horizontal="right" vertical="center" wrapText="1"/>
    </xf>
    <xf numFmtId="3" fontId="1" fillId="0" borderId="88" xfId="0" applyNumberFormat="1" applyFont="1" applyFill="1" applyBorder="1" applyAlignment="1">
      <alignment horizontal="right" vertical="center" wrapText="1"/>
    </xf>
    <xf numFmtId="3" fontId="1" fillId="0" borderId="102" xfId="0" applyNumberFormat="1" applyFont="1" applyFill="1" applyBorder="1" applyAlignment="1">
      <alignment horizontal="right" vertical="center" wrapText="1"/>
    </xf>
    <xf numFmtId="0" fontId="21" fillId="0" borderId="101" xfId="0" applyFont="1" applyBorder="1" applyAlignment="1">
      <alignment horizontal="left" vertical="center" wrapText="1"/>
    </xf>
    <xf numFmtId="0" fontId="21" fillId="0" borderId="88" xfId="0" applyFont="1" applyBorder="1" applyAlignment="1">
      <alignment horizontal="left" vertical="center" wrapText="1"/>
    </xf>
    <xf numFmtId="0" fontId="21" fillId="0" borderId="102" xfId="0" applyFont="1" applyBorder="1" applyAlignment="1">
      <alignment horizontal="left" vertical="center" wrapText="1"/>
    </xf>
    <xf numFmtId="0" fontId="1" fillId="0" borderId="130" xfId="0" applyFont="1" applyBorder="1" applyAlignment="1">
      <alignment horizontal="left" vertical="center" wrapText="1"/>
    </xf>
    <xf numFmtId="0" fontId="20" fillId="0" borderId="130" xfId="0" applyFont="1" applyBorder="1" applyAlignment="1">
      <alignment horizontal="left" vertical="center" wrapText="1"/>
    </xf>
    <xf numFmtId="0" fontId="21" fillId="0" borderId="130" xfId="0" applyFont="1" applyBorder="1" applyAlignment="1">
      <alignment horizontal="left" vertical="center" wrapText="1"/>
    </xf>
    <xf numFmtId="3" fontId="20" fillId="2" borderId="126" xfId="0" applyNumberFormat="1" applyFont="1" applyFill="1" applyBorder="1" applyAlignment="1">
      <alignment horizontal="right" vertical="center" wrapText="1"/>
    </xf>
    <xf numFmtId="0" fontId="54" fillId="0" borderId="0" xfId="0" applyFont="1" applyFill="1" applyAlignment="1">
      <alignment horizontal="left"/>
    </xf>
    <xf numFmtId="0" fontId="20" fillId="0" borderId="128" xfId="0" applyFont="1" applyBorder="1" applyAlignment="1">
      <alignment horizontal="left" vertical="center" wrapText="1"/>
    </xf>
    <xf numFmtId="3" fontId="19" fillId="2" borderId="89" xfId="0" applyNumberFormat="1" applyFont="1" applyFill="1" applyBorder="1" applyAlignment="1">
      <alignment horizontal="right" vertical="center"/>
    </xf>
    <xf numFmtId="3" fontId="19" fillId="2" borderId="43" xfId="0" applyNumberFormat="1" applyFont="1" applyFill="1" applyBorder="1" applyAlignment="1">
      <alignment horizontal="right" vertical="center"/>
    </xf>
    <xf numFmtId="0" fontId="20" fillId="0" borderId="89" xfId="0" applyFont="1" applyBorder="1" applyAlignment="1">
      <alignment horizontal="center" vertical="center"/>
    </xf>
    <xf numFmtId="0" fontId="20" fillId="0" borderId="43" xfId="0" applyFont="1" applyBorder="1" applyAlignment="1">
      <alignment horizontal="center" vertical="center"/>
    </xf>
    <xf numFmtId="0" fontId="20" fillId="0" borderId="13" xfId="0" applyFont="1" applyBorder="1" applyAlignment="1">
      <alignment horizontal="center" vertical="center"/>
    </xf>
    <xf numFmtId="0" fontId="20" fillId="0" borderId="129" xfId="0" applyFont="1" applyBorder="1" applyAlignment="1">
      <alignment horizontal="center" vertical="center"/>
    </xf>
    <xf numFmtId="0" fontId="20" fillId="0" borderId="96" xfId="0" applyFont="1" applyBorder="1" applyAlignment="1">
      <alignment horizontal="center" vertical="center"/>
    </xf>
    <xf numFmtId="0" fontId="19" fillId="0" borderId="92" xfId="0" applyFont="1" applyBorder="1" applyAlignment="1">
      <alignment horizontal="center" vertical="center" wrapText="1"/>
    </xf>
    <xf numFmtId="0" fontId="19" fillId="0" borderId="93" xfId="0" applyFont="1" applyBorder="1" applyAlignment="1">
      <alignment horizontal="center" vertical="center" wrapText="1"/>
    </xf>
    <xf numFmtId="0" fontId="19" fillId="0" borderId="96" xfId="0" applyFont="1" applyBorder="1" applyAlignment="1">
      <alignment horizontal="center" vertical="center" wrapText="1"/>
    </xf>
    <xf numFmtId="0" fontId="19" fillId="0" borderId="97" xfId="0" applyFont="1" applyBorder="1" applyAlignment="1">
      <alignment horizontal="center" vertical="center" wrapText="1"/>
    </xf>
    <xf numFmtId="0" fontId="19" fillId="0" borderId="94" xfId="0" applyFont="1" applyBorder="1" applyAlignment="1">
      <alignment horizontal="center" vertical="center" wrapText="1"/>
    </xf>
    <xf numFmtId="0" fontId="19" fillId="0" borderId="13" xfId="0" applyFont="1" applyBorder="1" applyAlignment="1">
      <alignment horizontal="center" vertical="center" wrapText="1"/>
    </xf>
    <xf numFmtId="0" fontId="20" fillId="0" borderId="92" xfId="0" applyFont="1" applyBorder="1" applyAlignment="1">
      <alignment horizontal="left" vertical="center" wrapText="1"/>
    </xf>
    <xf numFmtId="0" fontId="20" fillId="0" borderId="93" xfId="0" applyFont="1" applyBorder="1" applyAlignment="1">
      <alignment horizontal="left" vertical="center" wrapText="1"/>
    </xf>
    <xf numFmtId="0" fontId="20" fillId="0" borderId="94" xfId="0" applyFont="1" applyBorder="1" applyAlignment="1">
      <alignment horizontal="left" vertical="center" wrapText="1"/>
    </xf>
    <xf numFmtId="3" fontId="1" fillId="0" borderId="128" xfId="0" applyNumberFormat="1" applyFont="1" applyBorder="1" applyAlignment="1">
      <alignment horizontal="right" vertical="center" wrapText="1"/>
    </xf>
    <xf numFmtId="0" fontId="7" fillId="0" borderId="0" xfId="0" applyFont="1" applyAlignment="1">
      <alignment horizontal="left" vertical="top"/>
    </xf>
    <xf numFmtId="0" fontId="10" fillId="0" borderId="0" xfId="0" applyFont="1" applyAlignment="1">
      <alignment horizontal="left" vertical="top"/>
    </xf>
    <xf numFmtId="0" fontId="19" fillId="0" borderId="90" xfId="0" applyFont="1" applyBorder="1" applyAlignment="1">
      <alignment horizontal="center" vertical="center"/>
    </xf>
    <xf numFmtId="0" fontId="19" fillId="0" borderId="91" xfId="0" applyFont="1" applyBorder="1" applyAlignment="1">
      <alignment horizontal="center" vertical="center"/>
    </xf>
    <xf numFmtId="0" fontId="19" fillId="0" borderId="17" xfId="0" applyFont="1" applyBorder="1" applyAlignment="1">
      <alignment horizontal="center" vertical="center"/>
    </xf>
    <xf numFmtId="3" fontId="20" fillId="0" borderId="66" xfId="0" applyNumberFormat="1" applyFont="1" applyBorder="1" applyAlignment="1">
      <alignment horizontal="right" vertical="center"/>
    </xf>
    <xf numFmtId="3" fontId="20" fillId="4" borderId="43" xfId="0" applyNumberFormat="1" applyFont="1" applyFill="1" applyBorder="1" applyAlignment="1">
      <alignment horizontal="right" vertical="center"/>
    </xf>
    <xf numFmtId="3" fontId="20" fillId="2" borderId="43" xfId="0" applyNumberFormat="1" applyFont="1" applyFill="1" applyBorder="1" applyAlignment="1">
      <alignment horizontal="right" vertical="center"/>
    </xf>
    <xf numFmtId="3" fontId="20" fillId="2" borderId="67" xfId="0" applyNumberFormat="1" applyFont="1" applyFill="1" applyBorder="1" applyAlignment="1">
      <alignment horizontal="right" vertical="center"/>
    </xf>
    <xf numFmtId="0" fontId="19" fillId="0" borderId="130" xfId="0" applyFont="1" applyBorder="1" applyAlignment="1">
      <alignment horizontal="left" vertical="center" wrapText="1"/>
    </xf>
    <xf numFmtId="3" fontId="19" fillId="0" borderId="130" xfId="0" applyNumberFormat="1" applyFont="1" applyBorder="1" applyAlignment="1">
      <alignment horizontal="right" vertical="center" wrapText="1"/>
    </xf>
    <xf numFmtId="3" fontId="20" fillId="0" borderId="37" xfId="0" applyNumberFormat="1" applyFont="1" applyBorder="1" applyAlignment="1">
      <alignment horizontal="right" vertical="center"/>
    </xf>
    <xf numFmtId="0" fontId="19" fillId="0" borderId="129" xfId="0" applyFont="1" applyBorder="1" applyAlignment="1">
      <alignment horizontal="left" vertical="center" wrapText="1"/>
    </xf>
    <xf numFmtId="3" fontId="20" fillId="4" borderId="130" xfId="0" applyNumberFormat="1" applyFont="1" applyFill="1" applyBorder="1" applyAlignment="1">
      <alignment horizontal="right" vertical="center" wrapText="1"/>
    </xf>
    <xf numFmtId="0" fontId="7" fillId="0" borderId="0" xfId="0" applyFont="1" applyFill="1" applyAlignment="1">
      <alignment horizontal="justify" vertical="top"/>
    </xf>
    <xf numFmtId="0" fontId="11" fillId="0" borderId="0" xfId="0" applyFont="1" applyFill="1" applyAlignment="1">
      <alignment horizontal="justify" vertical="top"/>
    </xf>
    <xf numFmtId="3" fontId="20" fillId="2" borderId="130" xfId="0" applyNumberFormat="1" applyFont="1" applyFill="1" applyBorder="1" applyAlignment="1">
      <alignment horizontal="right" vertical="center"/>
    </xf>
    <xf numFmtId="0" fontId="20" fillId="0" borderId="90" xfId="0" applyFont="1" applyBorder="1" applyAlignment="1">
      <alignment horizontal="left" vertical="center"/>
    </xf>
    <xf numFmtId="0" fontId="20" fillId="0" borderId="91" xfId="0" applyFont="1" applyBorder="1" applyAlignment="1">
      <alignment horizontal="left" vertical="center"/>
    </xf>
    <xf numFmtId="0" fontId="20" fillId="0" borderId="17" xfId="0" applyFont="1" applyBorder="1" applyAlignment="1">
      <alignment horizontal="left" vertical="center"/>
    </xf>
    <xf numFmtId="0" fontId="1" fillId="0" borderId="101" xfId="0" applyFont="1" applyFill="1" applyBorder="1" applyAlignment="1">
      <alignment horizontal="left" vertical="center" wrapText="1"/>
    </xf>
    <xf numFmtId="0" fontId="20" fillId="0" borderId="88" xfId="0" applyFont="1" applyFill="1" applyBorder="1" applyAlignment="1">
      <alignment horizontal="left" vertical="center" wrapText="1"/>
    </xf>
    <xf numFmtId="0" fontId="20" fillId="0" borderId="102" xfId="0" applyFont="1" applyFill="1" applyBorder="1" applyAlignment="1">
      <alignment horizontal="left" vertical="center" wrapText="1"/>
    </xf>
    <xf numFmtId="0" fontId="19" fillId="0" borderId="126" xfId="0" applyFont="1" applyBorder="1" applyAlignment="1">
      <alignment horizontal="left" vertical="center" wrapText="1"/>
    </xf>
    <xf numFmtId="0" fontId="20" fillId="0" borderId="37" xfId="0" applyFont="1" applyBorder="1" applyAlignment="1">
      <alignment horizontal="center" vertical="center"/>
    </xf>
    <xf numFmtId="0" fontId="20" fillId="0" borderId="90" xfId="0" applyFont="1" applyBorder="1" applyAlignment="1">
      <alignment horizontal="center" vertical="center"/>
    </xf>
    <xf numFmtId="3" fontId="1" fillId="0" borderId="130" xfId="0" applyNumberFormat="1" applyFont="1" applyFill="1" applyBorder="1" applyAlignment="1">
      <alignment horizontal="right" vertical="center"/>
    </xf>
    <xf numFmtId="3" fontId="1" fillId="0" borderId="130" xfId="0" applyNumberFormat="1" applyFont="1" applyFill="1" applyBorder="1" applyAlignment="1">
      <alignment horizontal="right" vertical="center" wrapText="1"/>
    </xf>
    <xf numFmtId="3" fontId="20" fillId="0" borderId="128" xfId="0" applyNumberFormat="1" applyFont="1" applyFill="1" applyBorder="1" applyAlignment="1">
      <alignment horizontal="right" vertical="center"/>
    </xf>
    <xf numFmtId="0" fontId="19" fillId="0" borderId="37" xfId="0" applyFont="1" applyBorder="1" applyAlignment="1">
      <alignment horizontal="center" vertical="center" wrapText="1"/>
    </xf>
    <xf numFmtId="3" fontId="20" fillId="2" borderId="122" xfId="0" applyNumberFormat="1" applyFont="1" applyFill="1" applyBorder="1" applyAlignment="1">
      <alignment horizontal="right" vertical="center"/>
    </xf>
    <xf numFmtId="3" fontId="20" fillId="2" borderId="113" xfId="0" applyNumberFormat="1" applyFont="1" applyFill="1" applyBorder="1" applyAlignment="1">
      <alignment horizontal="right" vertical="center"/>
    </xf>
    <xf numFmtId="3" fontId="20" fillId="2" borderId="110" xfId="0" applyNumberFormat="1" applyFont="1" applyFill="1" applyBorder="1" applyAlignment="1">
      <alignment horizontal="right" vertical="center"/>
    </xf>
    <xf numFmtId="3" fontId="1" fillId="0" borderId="130" xfId="0" applyNumberFormat="1" applyFont="1" applyBorder="1" applyAlignment="1">
      <alignment horizontal="right" vertical="center"/>
    </xf>
    <xf numFmtId="3" fontId="1" fillId="2" borderId="130" xfId="0" applyNumberFormat="1" applyFont="1" applyFill="1" applyBorder="1" applyAlignment="1">
      <alignment horizontal="right" vertical="center"/>
    </xf>
    <xf numFmtId="3" fontId="1" fillId="0" borderId="125" xfId="0" applyNumberFormat="1" applyFont="1" applyBorder="1" applyAlignment="1">
      <alignment horizontal="right" vertical="center" wrapText="1"/>
    </xf>
    <xf numFmtId="0" fontId="1" fillId="0" borderId="130" xfId="0" applyFont="1" applyFill="1" applyBorder="1" applyAlignment="1">
      <alignment horizontal="left" vertical="center" wrapText="1"/>
    </xf>
    <xf numFmtId="0" fontId="1" fillId="0" borderId="101" xfId="0" applyFont="1" applyBorder="1" applyAlignment="1">
      <alignment horizontal="left" vertical="center" wrapText="1"/>
    </xf>
    <xf numFmtId="0" fontId="1" fillId="0" borderId="88" xfId="0" applyFont="1" applyBorder="1" applyAlignment="1">
      <alignment horizontal="left" vertical="center" wrapText="1"/>
    </xf>
    <xf numFmtId="0" fontId="1" fillId="0" borderId="102" xfId="0" applyFont="1" applyBorder="1" applyAlignment="1">
      <alignment horizontal="left" vertical="center" wrapText="1"/>
    </xf>
    <xf numFmtId="0" fontId="19" fillId="0" borderId="37" xfId="0" applyFont="1" applyFill="1" applyBorder="1" applyAlignment="1">
      <alignment horizontal="center" vertical="center" wrapText="1"/>
    </xf>
    <xf numFmtId="0" fontId="1" fillId="0" borderId="122" xfId="0" applyFont="1" applyFill="1" applyBorder="1" applyAlignment="1">
      <alignment horizontal="left" vertical="center" wrapText="1"/>
    </xf>
    <xf numFmtId="0" fontId="20" fillId="0" borderId="113" xfId="0" applyFont="1" applyFill="1" applyBorder="1" applyAlignment="1">
      <alignment horizontal="left" vertical="center" wrapText="1"/>
    </xf>
    <xf numFmtId="0" fontId="20" fillId="0" borderId="110" xfId="0" applyFont="1" applyFill="1" applyBorder="1" applyAlignment="1">
      <alignment horizontal="left" vertical="center" wrapText="1"/>
    </xf>
    <xf numFmtId="175" fontId="1" fillId="0" borderId="128" xfId="0" applyNumberFormat="1" applyFont="1" applyFill="1" applyBorder="1" applyAlignment="1">
      <alignment horizontal="right" vertical="center"/>
    </xf>
    <xf numFmtId="175" fontId="20" fillId="0" borderId="128" xfId="0" applyNumberFormat="1" applyFont="1" applyFill="1" applyBorder="1" applyAlignment="1">
      <alignment horizontal="right" vertical="center"/>
    </xf>
    <xf numFmtId="10" fontId="20" fillId="0" borderId="128" xfId="0" applyNumberFormat="1" applyFont="1" applyFill="1" applyBorder="1" applyAlignment="1">
      <alignment horizontal="right" vertical="center"/>
    </xf>
    <xf numFmtId="0" fontId="20" fillId="0" borderId="130" xfId="0" applyFont="1" applyFill="1" applyBorder="1" applyAlignment="1">
      <alignment horizontal="center" vertical="center" wrapText="1"/>
    </xf>
    <xf numFmtId="175" fontId="20" fillId="0" borderId="130" xfId="0" applyNumberFormat="1" applyFont="1" applyFill="1" applyBorder="1" applyAlignment="1">
      <alignment horizontal="right" vertical="center"/>
    </xf>
    <xf numFmtId="0" fontId="20" fillId="0" borderId="130" xfId="0" applyFont="1" applyFill="1" applyBorder="1" applyAlignment="1">
      <alignment horizontal="right" vertical="center"/>
    </xf>
    <xf numFmtId="0" fontId="19" fillId="0" borderId="37" xfId="0" applyFont="1" applyBorder="1" applyAlignment="1">
      <alignment horizontal="center" vertical="center"/>
    </xf>
    <xf numFmtId="3" fontId="20" fillId="0" borderId="130" xfId="0" applyNumberFormat="1" applyFont="1" applyBorder="1" applyAlignment="1">
      <alignment horizontal="right" vertical="center"/>
    </xf>
    <xf numFmtId="3" fontId="20" fillId="0" borderId="122" xfId="0" applyNumberFormat="1" applyFont="1" applyFill="1" applyBorder="1" applyAlignment="1">
      <alignment horizontal="right" vertical="center"/>
    </xf>
    <xf numFmtId="3" fontId="20" fillId="0" borderId="113" xfId="0" applyNumberFormat="1" applyFont="1" applyFill="1" applyBorder="1" applyAlignment="1">
      <alignment horizontal="right" vertical="center"/>
    </xf>
    <xf numFmtId="3" fontId="20" fillId="0" borderId="110" xfId="0" applyNumberFormat="1" applyFont="1" applyFill="1" applyBorder="1" applyAlignment="1">
      <alignment horizontal="right" vertical="center"/>
    </xf>
    <xf numFmtId="3" fontId="20" fillId="0" borderId="122" xfId="0" applyNumberFormat="1" applyFont="1" applyFill="1" applyBorder="1" applyAlignment="1">
      <alignment horizontal="right" vertical="center" wrapText="1"/>
    </xf>
    <xf numFmtId="3" fontId="20" fillId="0" borderId="113" xfId="0" applyNumberFormat="1" applyFont="1" applyFill="1" applyBorder="1" applyAlignment="1">
      <alignment horizontal="right" vertical="center" wrapText="1"/>
    </xf>
    <xf numFmtId="3" fontId="20" fillId="0" borderId="110" xfId="0" applyNumberFormat="1" applyFont="1" applyFill="1" applyBorder="1" applyAlignment="1">
      <alignment horizontal="right" vertical="center" wrapText="1"/>
    </xf>
    <xf numFmtId="3" fontId="20" fillId="2" borderId="128" xfId="0" applyNumberFormat="1" applyFont="1" applyFill="1" applyBorder="1" applyAlignment="1">
      <alignment horizontal="right" vertical="center"/>
    </xf>
    <xf numFmtId="0" fontId="19" fillId="0" borderId="128" xfId="0" applyFont="1" applyBorder="1" applyAlignment="1">
      <alignment horizontal="left" vertical="center" wrapText="1"/>
    </xf>
    <xf numFmtId="3" fontId="1" fillId="0" borderId="128" xfId="0" applyNumberFormat="1" applyFont="1" applyFill="1" applyBorder="1" applyAlignment="1">
      <alignment horizontal="right" vertical="center" wrapText="1"/>
    </xf>
    <xf numFmtId="3" fontId="1" fillId="0" borderId="128" xfId="0" applyNumberFormat="1" applyFont="1" applyFill="1" applyBorder="1" applyAlignment="1">
      <alignment horizontal="right" vertical="center"/>
    </xf>
    <xf numFmtId="3" fontId="20" fillId="0" borderId="128" xfId="0" applyNumberFormat="1" applyFont="1" applyFill="1" applyBorder="1" applyAlignment="1">
      <alignment horizontal="right" vertical="center" wrapText="1"/>
    </xf>
    <xf numFmtId="3" fontId="1" fillId="0" borderId="122" xfId="0" applyNumberFormat="1" applyFont="1" applyFill="1" applyBorder="1" applyAlignment="1">
      <alignment horizontal="right" vertical="center"/>
    </xf>
    <xf numFmtId="3" fontId="1" fillId="0" borderId="113" xfId="0" applyNumberFormat="1" applyFont="1" applyFill="1" applyBorder="1" applyAlignment="1">
      <alignment horizontal="right" vertical="center"/>
    </xf>
    <xf numFmtId="3" fontId="1" fillId="0" borderId="110" xfId="0" applyNumberFormat="1" applyFont="1" applyFill="1" applyBorder="1" applyAlignment="1">
      <alignment horizontal="right" vertical="center"/>
    </xf>
    <xf numFmtId="3" fontId="1" fillId="0" borderId="101" xfId="0" applyNumberFormat="1" applyFont="1" applyFill="1" applyBorder="1" applyAlignment="1">
      <alignment horizontal="right" vertical="center"/>
    </xf>
    <xf numFmtId="3" fontId="1" fillId="0" borderId="88" xfId="0" applyNumberFormat="1" applyFont="1" applyFill="1" applyBorder="1" applyAlignment="1">
      <alignment horizontal="right" vertical="center"/>
    </xf>
    <xf numFmtId="3" fontId="1" fillId="0" borderId="102" xfId="0" applyNumberFormat="1" applyFont="1" applyFill="1" applyBorder="1" applyAlignment="1">
      <alignment horizontal="right" vertical="center"/>
    </xf>
    <xf numFmtId="3" fontId="1" fillId="0" borderId="122" xfId="0" applyNumberFormat="1" applyFont="1" applyFill="1" applyBorder="1" applyAlignment="1">
      <alignment horizontal="right" vertical="center" wrapText="1"/>
    </xf>
    <xf numFmtId="3" fontId="1" fillId="0" borderId="113" xfId="0" applyNumberFormat="1" applyFont="1" applyFill="1" applyBorder="1" applyAlignment="1">
      <alignment horizontal="right" vertical="center" wrapText="1"/>
    </xf>
    <xf numFmtId="3" fontId="1" fillId="0" borderId="110" xfId="0" applyNumberFormat="1" applyFont="1" applyFill="1" applyBorder="1" applyAlignment="1">
      <alignment horizontal="right" vertical="center" wrapText="1"/>
    </xf>
    <xf numFmtId="3" fontId="20" fillId="0" borderId="101" xfId="0" applyNumberFormat="1" applyFont="1" applyFill="1" applyBorder="1" applyAlignment="1">
      <alignment horizontal="right" vertical="center"/>
    </xf>
    <xf numFmtId="3" fontId="20" fillId="0" borderId="88" xfId="0" applyNumberFormat="1" applyFont="1" applyFill="1" applyBorder="1" applyAlignment="1">
      <alignment horizontal="right" vertical="center"/>
    </xf>
    <xf numFmtId="3" fontId="20" fillId="0" borderId="102" xfId="0" applyNumberFormat="1" applyFont="1" applyFill="1" applyBorder="1" applyAlignment="1">
      <alignment horizontal="right" vertical="center"/>
    </xf>
    <xf numFmtId="0" fontId="7" fillId="0" borderId="0" xfId="0" applyFont="1" applyFill="1" applyAlignment="1">
      <alignment horizontal="justify" vertical="top" wrapText="1"/>
    </xf>
    <xf numFmtId="0" fontId="12" fillId="0" borderId="0" xfId="0" applyFont="1" applyFill="1" applyAlignment="1">
      <alignment horizontal="justify" vertical="top" wrapText="1"/>
    </xf>
    <xf numFmtId="0" fontId="7" fillId="0" borderId="0" xfId="0" applyFont="1" applyAlignment="1">
      <alignment horizontal="left" vertical="center"/>
    </xf>
    <xf numFmtId="0" fontId="1" fillId="0" borderId="37" xfId="0" applyFont="1" applyBorder="1" applyAlignment="1">
      <alignment horizontal="left" vertical="center"/>
    </xf>
    <xf numFmtId="3" fontId="1" fillId="2" borderId="126" xfId="0" applyNumberFormat="1" applyFont="1" applyFill="1" applyBorder="1" applyAlignment="1">
      <alignment horizontal="right" vertical="center"/>
    </xf>
    <xf numFmtId="3" fontId="1" fillId="2" borderId="129" xfId="0" applyNumberFormat="1" applyFont="1" applyFill="1" applyBorder="1" applyAlignment="1">
      <alignment horizontal="right" vertical="center"/>
    </xf>
    <xf numFmtId="0" fontId="1" fillId="0" borderId="101" xfId="0" applyFont="1" applyBorder="1" applyAlignment="1">
      <alignment horizontal="left" vertical="center"/>
    </xf>
    <xf numFmtId="0" fontId="1" fillId="0" borderId="88" xfId="0" applyFont="1" applyBorder="1" applyAlignment="1">
      <alignment horizontal="left" vertical="center"/>
    </xf>
    <xf numFmtId="0" fontId="1" fillId="0" borderId="102" xfId="0" applyFont="1" applyBorder="1" applyAlignment="1">
      <alignment horizontal="left" vertical="center"/>
    </xf>
    <xf numFmtId="3" fontId="1" fillId="0" borderId="101" xfId="0" applyNumberFormat="1" applyFont="1" applyBorder="1" applyAlignment="1">
      <alignment horizontal="right" vertical="center"/>
    </xf>
    <xf numFmtId="3" fontId="1" fillId="0" borderId="88" xfId="0" applyNumberFormat="1" applyFont="1" applyBorder="1" applyAlignment="1">
      <alignment horizontal="right" vertical="center"/>
    </xf>
    <xf numFmtId="3" fontId="1" fillId="0" borderId="102" xfId="0" applyNumberFormat="1" applyFont="1" applyBorder="1" applyAlignment="1">
      <alignment horizontal="right" vertical="center"/>
    </xf>
    <xf numFmtId="3" fontId="1" fillId="2" borderId="101" xfId="0" applyNumberFormat="1" applyFont="1" applyFill="1" applyBorder="1" applyAlignment="1">
      <alignment horizontal="right" vertical="center"/>
    </xf>
    <xf numFmtId="3" fontId="1" fillId="2" borderId="88" xfId="0" applyNumberFormat="1" applyFont="1" applyFill="1" applyBorder="1" applyAlignment="1">
      <alignment horizontal="right" vertical="center"/>
    </xf>
    <xf numFmtId="3" fontId="1" fillId="2" borderId="102" xfId="0" applyNumberFormat="1" applyFont="1" applyFill="1" applyBorder="1" applyAlignment="1">
      <alignment horizontal="right" vertical="center"/>
    </xf>
    <xf numFmtId="0" fontId="19" fillId="0" borderId="121" xfId="0" applyFont="1" applyBorder="1" applyAlignment="1">
      <alignment horizontal="left" vertical="center" wrapText="1"/>
    </xf>
    <xf numFmtId="0" fontId="19" fillId="0" borderId="135" xfId="0" applyFont="1" applyBorder="1" applyAlignment="1">
      <alignment horizontal="left" vertical="center" wrapText="1"/>
    </xf>
    <xf numFmtId="0" fontId="19" fillId="0" borderId="107" xfId="0" applyFont="1" applyBorder="1" applyAlignment="1">
      <alignment horizontal="left" vertical="center" wrapText="1"/>
    </xf>
    <xf numFmtId="0" fontId="1" fillId="0" borderId="130" xfId="0" applyFont="1" applyBorder="1" applyAlignment="1">
      <alignment horizontal="left" vertical="center"/>
    </xf>
    <xf numFmtId="0" fontId="19" fillId="0" borderId="122" xfId="0" applyFont="1" applyBorder="1" applyAlignment="1">
      <alignment horizontal="left" vertical="center" wrapText="1"/>
    </xf>
    <xf numFmtId="0" fontId="19" fillId="0" borderId="113" xfId="0" applyFont="1" applyBorder="1" applyAlignment="1">
      <alignment horizontal="left" vertical="center" wrapText="1"/>
    </xf>
    <xf numFmtId="0" fontId="19" fillId="0" borderId="110" xfId="0" applyFont="1" applyBorder="1" applyAlignment="1">
      <alignment horizontal="left" vertical="center" wrapText="1"/>
    </xf>
    <xf numFmtId="3" fontId="1" fillId="2" borderId="122" xfId="0" applyNumberFormat="1" applyFont="1" applyFill="1" applyBorder="1" applyAlignment="1">
      <alignment horizontal="right" vertical="center"/>
    </xf>
    <xf numFmtId="3" fontId="1" fillId="2" borderId="113" xfId="0" applyNumberFormat="1" applyFont="1" applyFill="1" applyBorder="1" applyAlignment="1">
      <alignment horizontal="right" vertical="center"/>
    </xf>
    <xf numFmtId="3" fontId="1" fillId="2" borderId="110" xfId="0" applyNumberFormat="1" applyFont="1" applyFill="1" applyBorder="1" applyAlignment="1">
      <alignment horizontal="right" vertical="center"/>
    </xf>
    <xf numFmtId="3" fontId="20" fillId="2" borderId="129" xfId="0" applyNumberFormat="1" applyFont="1" applyFill="1" applyBorder="1" applyAlignment="1">
      <alignment horizontal="right" vertical="center"/>
    </xf>
    <xf numFmtId="3" fontId="20" fillId="2" borderId="126" xfId="0" applyNumberFormat="1" applyFont="1" applyFill="1" applyBorder="1" applyAlignment="1">
      <alignment horizontal="right" vertical="center"/>
    </xf>
    <xf numFmtId="0" fontId="20" fillId="0" borderId="37" xfId="0" applyFont="1" applyBorder="1" applyAlignment="1">
      <alignment horizontal="left" vertical="center"/>
    </xf>
    <xf numFmtId="3" fontId="20" fillId="0" borderId="101" xfId="0" applyNumberFormat="1" applyFont="1" applyBorder="1" applyAlignment="1">
      <alignment horizontal="right" vertical="center"/>
    </xf>
    <xf numFmtId="3" fontId="20" fillId="0" borderId="88" xfId="0" applyNumberFormat="1" applyFont="1" applyBorder="1" applyAlignment="1">
      <alignment horizontal="right" vertical="center"/>
    </xf>
    <xf numFmtId="3" fontId="20" fillId="0" borderId="102" xfId="0" applyNumberFormat="1" applyFont="1" applyBorder="1" applyAlignment="1">
      <alignment horizontal="right" vertical="center"/>
    </xf>
    <xf numFmtId="0" fontId="20" fillId="0" borderId="101" xfId="0" applyFont="1" applyBorder="1" applyAlignment="1">
      <alignment horizontal="left" vertical="center"/>
    </xf>
    <xf numFmtId="0" fontId="20" fillId="0" borderId="88" xfId="0" applyFont="1" applyBorder="1" applyAlignment="1">
      <alignment horizontal="left" vertical="center"/>
    </xf>
    <xf numFmtId="0" fontId="20" fillId="0" borderId="102" xfId="0" applyFont="1" applyBorder="1" applyAlignment="1">
      <alignment horizontal="left" vertical="center"/>
    </xf>
    <xf numFmtId="3" fontId="20" fillId="2" borderId="101" xfId="0" applyNumberFormat="1" applyFont="1" applyFill="1" applyBorder="1" applyAlignment="1">
      <alignment horizontal="right" vertical="center"/>
    </xf>
    <xf numFmtId="3" fontId="20" fillId="2" borderId="88" xfId="0" applyNumberFormat="1" applyFont="1" applyFill="1" applyBorder="1" applyAlignment="1">
      <alignment horizontal="right" vertical="center"/>
    </xf>
    <xf numFmtId="3" fontId="20" fillId="2" borderId="102" xfId="0" applyNumberFormat="1" applyFont="1" applyFill="1" applyBorder="1" applyAlignment="1">
      <alignment horizontal="right" vertical="center"/>
    </xf>
    <xf numFmtId="3" fontId="20" fillId="0" borderId="122" xfId="0" applyNumberFormat="1" applyFont="1" applyBorder="1" applyAlignment="1">
      <alignment horizontal="right" vertical="center"/>
    </xf>
    <xf numFmtId="3" fontId="20" fillId="0" borderId="113" xfId="0" applyNumberFormat="1" applyFont="1" applyBorder="1" applyAlignment="1">
      <alignment horizontal="right" vertical="center"/>
    </xf>
    <xf numFmtId="3" fontId="20" fillId="0" borderId="110" xfId="0" applyNumberFormat="1" applyFont="1" applyBorder="1" applyAlignment="1">
      <alignment horizontal="right" vertical="center"/>
    </xf>
    <xf numFmtId="0" fontId="54" fillId="0" borderId="0" xfId="0" applyFont="1" applyAlignment="1">
      <alignment horizontal="left"/>
    </xf>
    <xf numFmtId="0" fontId="19" fillId="0" borderId="92" xfId="0" applyFont="1" applyBorder="1" applyAlignment="1">
      <alignment horizontal="left" vertical="center" wrapText="1"/>
    </xf>
    <xf numFmtId="0" fontId="19" fillId="0" borderId="93" xfId="0" applyFont="1" applyBorder="1" applyAlignment="1">
      <alignment horizontal="left" vertical="center" wrapText="1"/>
    </xf>
    <xf numFmtId="0" fontId="19" fillId="0" borderId="94" xfId="0" applyFont="1" applyBorder="1" applyAlignment="1">
      <alignment horizontal="left" vertical="center" wrapText="1"/>
    </xf>
    <xf numFmtId="3" fontId="19" fillId="0" borderId="128" xfId="0" applyNumberFormat="1" applyFont="1" applyBorder="1" applyAlignment="1">
      <alignment horizontal="right" vertical="center" wrapText="1"/>
    </xf>
    <xf numFmtId="3" fontId="19" fillId="2" borderId="66" xfId="0" applyNumberFormat="1" applyFont="1" applyFill="1" applyBorder="1" applyAlignment="1">
      <alignment horizontal="right" vertical="center"/>
    </xf>
    <xf numFmtId="3" fontId="19" fillId="2" borderId="67" xfId="0" applyNumberFormat="1" applyFont="1" applyFill="1" applyBorder="1" applyAlignment="1">
      <alignment horizontal="right" vertical="center"/>
    </xf>
    <xf numFmtId="3" fontId="20" fillId="0" borderId="129" xfId="0" applyNumberFormat="1" applyFont="1" applyBorder="1" applyAlignment="1">
      <alignment horizontal="right" vertical="center"/>
    </xf>
    <xf numFmtId="0" fontId="20" fillId="0" borderId="58" xfId="0" applyFont="1" applyBorder="1" applyAlignment="1">
      <alignment horizontal="center" vertical="center"/>
    </xf>
    <xf numFmtId="0" fontId="20" fillId="0" borderId="68" xfId="0" applyFont="1" applyBorder="1" applyAlignment="1">
      <alignment horizontal="center" vertical="center"/>
    </xf>
    <xf numFmtId="0" fontId="20" fillId="0" borderId="123" xfId="0" applyFont="1" applyBorder="1" applyAlignment="1">
      <alignment horizontal="center" vertical="center"/>
    </xf>
    <xf numFmtId="0" fontId="20" fillId="0" borderId="131" xfId="0" applyFont="1" applyBorder="1" applyAlignment="1">
      <alignment horizontal="center" vertical="center"/>
    </xf>
    <xf numFmtId="3" fontId="20" fillId="0" borderId="94" xfId="0" applyNumberFormat="1" applyFont="1" applyBorder="1" applyAlignment="1">
      <alignment horizontal="right" vertical="center"/>
    </xf>
    <xf numFmtId="3" fontId="20" fillId="0" borderId="87" xfId="0" applyNumberFormat="1" applyFont="1" applyBorder="1" applyAlignment="1">
      <alignment horizontal="right" vertical="center"/>
    </xf>
    <xf numFmtId="3" fontId="19" fillId="2" borderId="87" xfId="0" applyNumberFormat="1" applyFont="1" applyFill="1" applyBorder="1" applyAlignment="1">
      <alignment horizontal="right" vertical="center"/>
    </xf>
    <xf numFmtId="0" fontId="20" fillId="0" borderId="87" xfId="0" applyFont="1" applyBorder="1" applyAlignment="1">
      <alignment horizontal="center" vertical="center"/>
    </xf>
    <xf numFmtId="0" fontId="20" fillId="0" borderId="17" xfId="0" applyFont="1" applyBorder="1" applyAlignment="1">
      <alignment horizontal="center" vertical="center"/>
    </xf>
    <xf numFmtId="0" fontId="19" fillId="0" borderId="37" xfId="0" applyFont="1" applyBorder="1" applyAlignment="1">
      <alignment horizontal="left" vertical="center" wrapText="1"/>
    </xf>
    <xf numFmtId="0" fontId="20" fillId="0" borderId="129" xfId="0" applyFont="1" applyBorder="1" applyAlignment="1">
      <alignment horizontal="left" vertical="center" wrapText="1"/>
    </xf>
    <xf numFmtId="0" fontId="20" fillId="0" borderId="66" xfId="0" applyFont="1" applyBorder="1" applyAlignment="1">
      <alignment horizontal="left" vertical="center" wrapText="1"/>
    </xf>
    <xf numFmtId="0" fontId="20" fillId="0" borderId="43" xfId="0" applyFont="1" applyBorder="1" applyAlignment="1">
      <alignment horizontal="left" vertical="center" wrapText="1"/>
    </xf>
    <xf numFmtId="0" fontId="20" fillId="0" borderId="67" xfId="0" applyFont="1" applyBorder="1" applyAlignment="1">
      <alignment horizontal="left" vertical="center" wrapText="1"/>
    </xf>
    <xf numFmtId="0" fontId="19" fillId="0" borderId="66" xfId="0" applyFont="1" applyBorder="1" applyAlignment="1">
      <alignment horizontal="left" vertical="center" wrapText="1"/>
    </xf>
    <xf numFmtId="0" fontId="19" fillId="0" borderId="43" xfId="0" applyFont="1" applyBorder="1" applyAlignment="1">
      <alignment horizontal="left" vertical="center" wrapText="1"/>
    </xf>
    <xf numFmtId="0" fontId="19" fillId="0" borderId="67" xfId="0" applyFont="1" applyBorder="1" applyAlignment="1">
      <alignment horizontal="left" vertical="center" wrapText="1"/>
    </xf>
    <xf numFmtId="3" fontId="20" fillId="0" borderId="13" xfId="0" applyNumberFormat="1" applyFont="1" applyBorder="1" applyAlignment="1">
      <alignment horizontal="right" vertical="center"/>
    </xf>
    <xf numFmtId="3" fontId="20" fillId="0" borderId="92" xfId="0" applyNumberFormat="1" applyFont="1" applyBorder="1" applyAlignment="1">
      <alignment horizontal="right" vertical="center"/>
    </xf>
    <xf numFmtId="3" fontId="5" fillId="0" borderId="132" xfId="0" applyNumberFormat="1" applyFont="1" applyBorder="1" applyAlignment="1">
      <alignment horizontal="center" vertical="center"/>
    </xf>
    <xf numFmtId="3" fontId="5" fillId="0" borderId="91" xfId="0" applyNumberFormat="1" applyFont="1" applyBorder="1" applyAlignment="1">
      <alignment horizontal="center" vertical="center"/>
    </xf>
    <xf numFmtId="3" fontId="5" fillId="0" borderId="133" xfId="0" applyNumberFormat="1" applyFont="1" applyBorder="1" applyAlignment="1">
      <alignment horizontal="center" vertical="center"/>
    </xf>
    <xf numFmtId="3" fontId="19" fillId="0" borderId="37" xfId="0" applyNumberFormat="1" applyFont="1" applyBorder="1" applyAlignment="1">
      <alignment horizontal="right" vertical="center"/>
    </xf>
    <xf numFmtId="0" fontId="1" fillId="0" borderId="122" xfId="0" applyFont="1" applyBorder="1" applyAlignment="1">
      <alignment horizontal="left"/>
    </xf>
    <xf numFmtId="0" fontId="20" fillId="0" borderId="113" xfId="0" applyFont="1" applyBorder="1" applyAlignment="1">
      <alignment horizontal="left"/>
    </xf>
    <xf numFmtId="0" fontId="20" fillId="0" borderId="110" xfId="0" applyFont="1" applyBorder="1" applyAlignment="1">
      <alignment horizontal="left"/>
    </xf>
    <xf numFmtId="3" fontId="19" fillId="0" borderId="130" xfId="0" applyNumberFormat="1" applyFont="1" applyFill="1" applyBorder="1" applyAlignment="1">
      <alignment horizontal="right" vertical="center"/>
    </xf>
    <xf numFmtId="3" fontId="20" fillId="0" borderId="129" xfId="0" applyNumberFormat="1" applyFont="1" applyFill="1" applyBorder="1" applyAlignment="1">
      <alignment horizontal="right" vertical="center"/>
    </xf>
    <xf numFmtId="0" fontId="20" fillId="0" borderId="122" xfId="0" applyFont="1" applyBorder="1" applyAlignment="1">
      <alignment horizontal="left" vertical="center" wrapText="1"/>
    </xf>
    <xf numFmtId="0" fontId="20" fillId="0" borderId="113" xfId="0" applyFont="1" applyBorder="1" applyAlignment="1">
      <alignment horizontal="left" vertical="center" wrapText="1"/>
    </xf>
    <xf numFmtId="0" fontId="20" fillId="0" borderId="110" xfId="0" applyFont="1" applyBorder="1" applyAlignment="1">
      <alignment horizontal="left" vertical="center" wrapText="1"/>
    </xf>
    <xf numFmtId="0" fontId="11" fillId="0" borderId="0" xfId="0" applyFont="1" applyAlignment="1">
      <alignment horizontal="left" vertical="top"/>
    </xf>
    <xf numFmtId="0" fontId="19" fillId="0" borderId="101" xfId="0" applyFont="1" applyBorder="1" applyAlignment="1">
      <alignment horizontal="left" vertical="center"/>
    </xf>
    <xf numFmtId="0" fontId="19" fillId="0" borderId="88" xfId="0" applyFont="1" applyBorder="1" applyAlignment="1">
      <alignment horizontal="left" vertical="center"/>
    </xf>
    <xf numFmtId="0" fontId="19" fillId="0" borderId="102" xfId="0" applyFont="1" applyBorder="1" applyAlignment="1">
      <alignment horizontal="left" vertical="center"/>
    </xf>
    <xf numFmtId="0" fontId="19" fillId="0" borderId="121" xfId="0" applyFont="1" applyBorder="1" applyAlignment="1">
      <alignment horizontal="left" vertical="center"/>
    </xf>
    <xf numFmtId="0" fontId="19" fillId="0" borderId="135" xfId="0" applyFont="1" applyBorder="1" applyAlignment="1">
      <alignment horizontal="left" vertical="center"/>
    </xf>
    <xf numFmtId="0" fontId="19" fillId="0" borderId="107" xfId="0" applyFont="1" applyBorder="1" applyAlignment="1">
      <alignment horizontal="left" vertical="center"/>
    </xf>
    <xf numFmtId="3" fontId="19" fillId="2" borderId="13" xfId="0" applyNumberFormat="1" applyFont="1" applyFill="1" applyBorder="1" applyAlignment="1">
      <alignment horizontal="right" vertical="center"/>
    </xf>
    <xf numFmtId="3" fontId="19" fillId="2" borderId="129" xfId="0" applyNumberFormat="1" applyFont="1" applyFill="1" applyBorder="1" applyAlignment="1">
      <alignment horizontal="right" vertical="center"/>
    </xf>
    <xf numFmtId="0" fontId="19" fillId="0" borderId="37" xfId="0" applyFont="1" applyBorder="1" applyAlignment="1">
      <alignment horizontal="left" vertical="center"/>
    </xf>
    <xf numFmtId="0" fontId="5" fillId="0" borderId="37" xfId="0" applyFont="1" applyBorder="1" applyAlignment="1">
      <alignment horizontal="left" vertical="center"/>
    </xf>
    <xf numFmtId="0" fontId="1" fillId="0" borderId="90" xfId="0" applyFont="1" applyBorder="1" applyAlignment="1">
      <alignment horizontal="center" vertical="center"/>
    </xf>
    <xf numFmtId="0" fontId="5" fillId="0" borderId="91" xfId="0" applyFont="1" applyBorder="1" applyAlignment="1">
      <alignment horizontal="center" vertical="center"/>
    </xf>
    <xf numFmtId="0" fontId="5" fillId="0" borderId="17" xfId="0" applyFont="1" applyBorder="1" applyAlignment="1">
      <alignment horizontal="center" vertical="center"/>
    </xf>
    <xf numFmtId="0" fontId="1" fillId="0" borderId="90" xfId="0" quotePrefix="1" applyFont="1" applyBorder="1" applyAlignment="1">
      <alignment horizontal="center" vertical="center"/>
    </xf>
    <xf numFmtId="0" fontId="5" fillId="0" borderId="133" xfId="0" applyFont="1" applyBorder="1" applyAlignment="1">
      <alignment horizontal="center" vertical="center"/>
    </xf>
    <xf numFmtId="3" fontId="19" fillId="0" borderId="101" xfId="0" applyNumberFormat="1" applyFont="1" applyBorder="1" applyAlignment="1">
      <alignment horizontal="right" vertical="center"/>
    </xf>
    <xf numFmtId="3" fontId="19" fillId="0" borderId="88" xfId="0" applyNumberFormat="1" applyFont="1" applyBorder="1" applyAlignment="1">
      <alignment horizontal="right" vertical="center"/>
    </xf>
    <xf numFmtId="3" fontId="19" fillId="0" borderId="102" xfId="0" applyNumberFormat="1" applyFont="1" applyBorder="1" applyAlignment="1">
      <alignment horizontal="right" vertical="center"/>
    </xf>
    <xf numFmtId="3" fontId="19" fillId="0" borderId="101" xfId="0" applyNumberFormat="1" applyFont="1" applyFill="1" applyBorder="1" applyAlignment="1">
      <alignment horizontal="right" vertical="center"/>
    </xf>
    <xf numFmtId="3" fontId="19" fillId="0" borderId="88" xfId="0" applyNumberFormat="1" applyFont="1" applyFill="1" applyBorder="1" applyAlignment="1">
      <alignment horizontal="right" vertical="center"/>
    </xf>
    <xf numFmtId="3" fontId="19" fillId="0" borderId="102" xfId="0" applyNumberFormat="1" applyFont="1" applyFill="1" applyBorder="1" applyAlignment="1">
      <alignment horizontal="right" vertical="center"/>
    </xf>
    <xf numFmtId="3" fontId="19" fillId="0" borderId="128" xfId="0" applyNumberFormat="1" applyFont="1" applyFill="1" applyBorder="1" applyAlignment="1">
      <alignment horizontal="right" vertical="center"/>
    </xf>
    <xf numFmtId="0" fontId="20" fillId="0" borderId="98" xfId="0" applyFont="1" applyBorder="1" applyAlignment="1">
      <alignment horizontal="left" vertical="center" wrapText="1"/>
    </xf>
    <xf numFmtId="0" fontId="20" fillId="0" borderId="99" xfId="0" applyFont="1" applyBorder="1" applyAlignment="1">
      <alignment horizontal="left" vertical="center" wrapText="1"/>
    </xf>
    <xf numFmtId="0" fontId="20" fillId="0" borderId="100" xfId="0" applyFont="1" applyBorder="1" applyAlignment="1">
      <alignment horizontal="left" vertical="center" wrapText="1"/>
    </xf>
    <xf numFmtId="3" fontId="20" fillId="0" borderId="100" xfId="0" applyNumberFormat="1" applyFont="1" applyFill="1" applyBorder="1" applyAlignment="1">
      <alignment horizontal="right" vertical="center"/>
    </xf>
    <xf numFmtId="3" fontId="20" fillId="0" borderId="139" xfId="0" applyNumberFormat="1" applyFont="1" applyFill="1" applyBorder="1" applyAlignment="1">
      <alignment horizontal="right" vertical="center"/>
    </xf>
    <xf numFmtId="3" fontId="1" fillId="0" borderId="139" xfId="0" applyNumberFormat="1" applyFont="1" applyBorder="1" applyAlignment="1">
      <alignment horizontal="right" vertical="center"/>
    </xf>
    <xf numFmtId="0" fontId="7" fillId="0" borderId="0" xfId="0" applyFont="1" applyFill="1" applyAlignment="1">
      <alignment horizontal="left" vertical="top"/>
    </xf>
    <xf numFmtId="0" fontId="5" fillId="0" borderId="128" xfId="0" applyFont="1" applyBorder="1" applyAlignment="1">
      <alignment horizontal="right" vertical="center"/>
    </xf>
    <xf numFmtId="0" fontId="4" fillId="0" borderId="130" xfId="0" applyFont="1" applyBorder="1" applyAlignment="1">
      <alignment horizontal="left" vertical="center" wrapText="1"/>
    </xf>
    <xf numFmtId="0" fontId="19" fillId="0" borderId="90" xfId="0" applyFont="1" applyBorder="1" applyAlignment="1">
      <alignment horizontal="center" vertical="center" wrapText="1"/>
    </xf>
    <xf numFmtId="0" fontId="19" fillId="0" borderId="91" xfId="0" applyFont="1" applyBorder="1" applyAlignment="1">
      <alignment horizontal="center" vertical="center" wrapText="1"/>
    </xf>
    <xf numFmtId="0" fontId="19" fillId="0" borderId="17" xfId="0" applyFont="1" applyBorder="1" applyAlignment="1">
      <alignment horizontal="center" vertical="center" wrapText="1"/>
    </xf>
    <xf numFmtId="0" fontId="5" fillId="0" borderId="122" xfId="0" applyFont="1" applyBorder="1" applyAlignment="1">
      <alignment horizontal="right" vertical="center"/>
    </xf>
    <xf numFmtId="0" fontId="5" fillId="0" borderId="113" xfId="0" applyFont="1" applyBorder="1" applyAlignment="1">
      <alignment horizontal="right" vertical="center"/>
    </xf>
    <xf numFmtId="0" fontId="5" fillId="0" borderId="64" xfId="0" applyFont="1" applyBorder="1" applyAlignment="1">
      <alignment horizontal="right" vertical="center"/>
    </xf>
    <xf numFmtId="0" fontId="11" fillId="0" borderId="0" xfId="0" applyFont="1" applyFill="1" applyAlignment="1">
      <alignment horizontal="left" vertical="top"/>
    </xf>
    <xf numFmtId="0" fontId="19" fillId="0" borderId="122" xfId="0" applyFont="1" applyBorder="1" applyAlignment="1">
      <alignment horizontal="left" vertical="center"/>
    </xf>
    <xf numFmtId="0" fontId="19" fillId="0" borderId="113" xfId="0" applyFont="1" applyBorder="1" applyAlignment="1">
      <alignment horizontal="left" vertical="center"/>
    </xf>
    <xf numFmtId="0" fontId="19" fillId="0" borderId="110" xfId="0" applyFont="1" applyBorder="1" applyAlignment="1">
      <alignment horizontal="left" vertical="center"/>
    </xf>
    <xf numFmtId="3" fontId="20" fillId="0" borderId="100" xfId="0" applyNumberFormat="1" applyFont="1" applyBorder="1" applyAlignment="1">
      <alignment horizontal="right" vertical="center"/>
    </xf>
    <xf numFmtId="3" fontId="20" fillId="0" borderId="139" xfId="0" applyNumberFormat="1" applyFont="1" applyBorder="1" applyAlignment="1">
      <alignment horizontal="right" vertical="center"/>
    </xf>
    <xf numFmtId="0" fontId="4" fillId="0" borderId="129" xfId="0" applyFont="1" applyBorder="1" applyAlignment="1">
      <alignment horizontal="left" vertical="center" wrapText="1"/>
    </xf>
    <xf numFmtId="3" fontId="20" fillId="0" borderId="121" xfId="0" applyNumberFormat="1" applyFont="1" applyBorder="1" applyAlignment="1">
      <alignment horizontal="right" vertical="center"/>
    </xf>
    <xf numFmtId="3" fontId="20" fillId="0" borderId="135" xfId="0" applyNumberFormat="1" applyFont="1" applyBorder="1" applyAlignment="1">
      <alignment horizontal="right" vertical="center"/>
    </xf>
    <xf numFmtId="3" fontId="20" fillId="0" borderId="107" xfId="0" applyNumberFormat="1" applyFont="1" applyBorder="1" applyAlignment="1">
      <alignment horizontal="right" vertical="center"/>
    </xf>
    <xf numFmtId="0" fontId="1" fillId="0" borderId="121" xfId="0" applyFont="1" applyBorder="1" applyAlignment="1">
      <alignment horizontal="left" vertical="center" wrapText="1"/>
    </xf>
    <xf numFmtId="0" fontId="1" fillId="0" borderId="135" xfId="0" applyFont="1" applyBorder="1" applyAlignment="1">
      <alignment horizontal="left" vertical="center" wrapText="1"/>
    </xf>
    <xf numFmtId="0" fontId="1" fillId="0" borderId="107" xfId="0" applyFont="1" applyBorder="1" applyAlignment="1">
      <alignment horizontal="left" vertical="center" wrapText="1"/>
    </xf>
    <xf numFmtId="0" fontId="19" fillId="0" borderId="90" xfId="0" applyFont="1" applyBorder="1" applyAlignment="1">
      <alignment horizontal="left" vertical="center" wrapText="1"/>
    </xf>
    <xf numFmtId="0" fontId="19" fillId="0" borderId="91" xfId="0" applyFont="1" applyBorder="1" applyAlignment="1">
      <alignment horizontal="left" vertical="center" wrapText="1"/>
    </xf>
    <xf numFmtId="0" fontId="19" fillId="0" borderId="17" xfId="0" applyFont="1" applyBorder="1" applyAlignment="1">
      <alignment horizontal="left" vertical="center" wrapText="1"/>
    </xf>
    <xf numFmtId="3" fontId="20" fillId="0" borderId="131" xfId="0" applyNumberFormat="1" applyFont="1" applyBorder="1" applyAlignment="1">
      <alignment horizontal="right" vertical="center"/>
    </xf>
    <xf numFmtId="3" fontId="20" fillId="0" borderId="137" xfId="0" applyNumberFormat="1" applyFont="1" applyBorder="1" applyAlignment="1">
      <alignment horizontal="right" vertical="center"/>
    </xf>
    <xf numFmtId="3" fontId="20" fillId="2" borderId="137" xfId="0" applyNumberFormat="1" applyFont="1" applyFill="1" applyBorder="1" applyAlignment="1">
      <alignment horizontal="right" vertical="center"/>
    </xf>
    <xf numFmtId="3" fontId="20" fillId="2" borderId="123" xfId="0" applyNumberFormat="1" applyFont="1" applyFill="1" applyBorder="1" applyAlignment="1">
      <alignment horizontal="right" vertical="center"/>
    </xf>
    <xf numFmtId="0" fontId="1" fillId="0" borderId="122" xfId="0" applyFont="1" applyBorder="1" applyAlignment="1">
      <alignment horizontal="left" vertical="center" wrapText="1"/>
    </xf>
    <xf numFmtId="3" fontId="20" fillId="0" borderId="63" xfId="0" applyNumberFormat="1" applyFont="1" applyBorder="1" applyAlignment="1">
      <alignment horizontal="right" vertical="center"/>
    </xf>
    <xf numFmtId="3" fontId="20" fillId="0" borderId="64" xfId="0" applyNumberFormat="1" applyFont="1" applyBorder="1" applyAlignment="1">
      <alignment horizontal="right" vertical="center"/>
    </xf>
    <xf numFmtId="3" fontId="20" fillId="4" borderId="64" xfId="0" applyNumberFormat="1" applyFont="1" applyFill="1" applyBorder="1" applyAlignment="1">
      <alignment horizontal="right" vertical="center"/>
    </xf>
    <xf numFmtId="3" fontId="20" fillId="2" borderId="64" xfId="0" applyNumberFormat="1" applyFont="1" applyFill="1" applyBorder="1" applyAlignment="1">
      <alignment horizontal="right" vertical="center"/>
    </xf>
    <xf numFmtId="3" fontId="20" fillId="2" borderId="65" xfId="0" applyNumberFormat="1" applyFont="1" applyFill="1" applyBorder="1" applyAlignment="1">
      <alignment horizontal="right" vertical="center"/>
    </xf>
    <xf numFmtId="0" fontId="20" fillId="0" borderId="135" xfId="0" applyFont="1" applyBorder="1" applyAlignment="1">
      <alignment horizontal="left" vertical="center" wrapText="1"/>
    </xf>
    <xf numFmtId="0" fontId="20" fillId="0" borderId="107" xfId="0" applyFont="1" applyBorder="1" applyAlignment="1">
      <alignment horizontal="left" vertical="center" wrapText="1"/>
    </xf>
    <xf numFmtId="0" fontId="1" fillId="4" borderId="101" xfId="0" applyFont="1" applyFill="1" applyBorder="1" applyAlignment="1">
      <alignment horizontal="left" vertical="center" wrapText="1"/>
    </xf>
    <xf numFmtId="0" fontId="20" fillId="4" borderId="88" xfId="0" applyFont="1" applyFill="1" applyBorder="1" applyAlignment="1">
      <alignment horizontal="left" vertical="center" wrapText="1"/>
    </xf>
    <xf numFmtId="0" fontId="20" fillId="4" borderId="102" xfId="0" applyFont="1" applyFill="1" applyBorder="1" applyAlignment="1">
      <alignment horizontal="left" vertical="center" wrapText="1"/>
    </xf>
    <xf numFmtId="3" fontId="1" fillId="0" borderId="43" xfId="0" applyNumberFormat="1" applyFont="1" applyFill="1" applyBorder="1" applyAlignment="1">
      <alignment horizontal="right" vertical="center"/>
    </xf>
    <xf numFmtId="3" fontId="20" fillId="0" borderId="43" xfId="0" applyNumberFormat="1" applyFont="1" applyFill="1" applyBorder="1" applyAlignment="1">
      <alignment horizontal="right" vertical="center"/>
    </xf>
    <xf numFmtId="3" fontId="20" fillId="0" borderId="112" xfId="0" applyNumberFormat="1" applyFont="1" applyBorder="1" applyAlignment="1">
      <alignment horizontal="right" vertical="center"/>
    </xf>
    <xf numFmtId="3" fontId="20" fillId="0" borderId="111" xfId="0" applyNumberFormat="1" applyFont="1" applyBorder="1" applyAlignment="1">
      <alignment horizontal="right" vertical="center"/>
    </xf>
    <xf numFmtId="3" fontId="20" fillId="2" borderId="111" xfId="0" applyNumberFormat="1" applyFont="1" applyFill="1" applyBorder="1" applyAlignment="1">
      <alignment horizontal="right" vertical="center"/>
    </xf>
    <xf numFmtId="3" fontId="19" fillId="0" borderId="37" xfId="0" applyNumberFormat="1" applyFont="1" applyBorder="1" applyAlignment="1">
      <alignment horizontal="right" vertical="center" wrapText="1"/>
    </xf>
    <xf numFmtId="3" fontId="1" fillId="0" borderId="138" xfId="0" applyNumberFormat="1" applyFont="1" applyFill="1" applyBorder="1" applyAlignment="1">
      <alignment horizontal="right" vertical="center" wrapText="1"/>
    </xf>
    <xf numFmtId="3" fontId="20" fillId="0" borderId="64" xfId="0" applyNumberFormat="1" applyFont="1" applyFill="1" applyBorder="1" applyAlignment="1">
      <alignment horizontal="right" vertical="center"/>
    </xf>
    <xf numFmtId="0" fontId="19" fillId="0" borderId="37" xfId="0" applyFont="1" applyFill="1" applyBorder="1" applyAlignment="1">
      <alignment horizontal="left" vertical="center" wrapText="1"/>
    </xf>
    <xf numFmtId="3" fontId="19" fillId="2" borderId="90" xfId="0" applyNumberFormat="1" applyFont="1" applyFill="1" applyBorder="1" applyAlignment="1">
      <alignment horizontal="right" vertical="center"/>
    </xf>
    <xf numFmtId="3" fontId="19" fillId="2" borderId="91" xfId="0" applyNumberFormat="1" applyFont="1" applyFill="1" applyBorder="1" applyAlignment="1">
      <alignment horizontal="right" vertical="center"/>
    </xf>
    <xf numFmtId="3" fontId="19" fillId="2" borderId="17" xfId="0" applyNumberFormat="1" applyFont="1" applyFill="1" applyBorder="1" applyAlignment="1">
      <alignment horizontal="right" vertical="center"/>
    </xf>
    <xf numFmtId="3" fontId="1" fillId="0" borderId="138" xfId="0" applyNumberFormat="1" applyFont="1" applyBorder="1" applyAlignment="1">
      <alignment horizontal="right" vertical="center" wrapText="1"/>
    </xf>
    <xf numFmtId="3" fontId="1" fillId="2" borderId="138" xfId="0" applyNumberFormat="1" applyFont="1" applyFill="1" applyBorder="1" applyAlignment="1">
      <alignment horizontal="right" vertical="center"/>
    </xf>
    <xf numFmtId="0" fontId="1" fillId="0" borderId="138" xfId="0" applyFont="1" applyFill="1" applyBorder="1" applyAlignment="1">
      <alignment horizontal="left" vertical="center" wrapText="1"/>
    </xf>
    <xf numFmtId="0" fontId="1" fillId="0" borderId="88" xfId="0" applyFont="1" applyFill="1" applyBorder="1" applyAlignment="1">
      <alignment horizontal="left" vertical="center" wrapText="1"/>
    </xf>
    <xf numFmtId="0" fontId="1" fillId="0" borderId="102" xfId="0" applyFont="1" applyFill="1" applyBorder="1" applyAlignment="1">
      <alignment horizontal="left" vertical="center" wrapText="1"/>
    </xf>
    <xf numFmtId="3" fontId="1" fillId="0" borderId="126" xfId="0" applyNumberFormat="1" applyFont="1" applyBorder="1" applyAlignment="1">
      <alignment horizontal="right" vertical="center"/>
    </xf>
    <xf numFmtId="3" fontId="1" fillId="0" borderId="126" xfId="0" applyNumberFormat="1" applyFont="1" applyFill="1" applyBorder="1" applyAlignment="1">
      <alignment horizontal="right" vertical="center"/>
    </xf>
    <xf numFmtId="3" fontId="20" fillId="0" borderId="122" xfId="0" applyNumberFormat="1" applyFont="1" applyBorder="1" applyAlignment="1">
      <alignment horizontal="center"/>
    </xf>
    <xf numFmtId="3" fontId="20" fillId="0" borderId="113" xfId="0" applyNumberFormat="1" applyFont="1" applyBorder="1" applyAlignment="1">
      <alignment horizontal="center"/>
    </xf>
    <xf numFmtId="3" fontId="20" fillId="0" borderId="112" xfId="0" applyNumberFormat="1" applyFont="1" applyBorder="1" applyAlignment="1">
      <alignment horizontal="center"/>
    </xf>
    <xf numFmtId="0" fontId="20" fillId="0" borderId="125" xfId="0" applyFont="1" applyBorder="1" applyAlignment="1">
      <alignment horizontal="left" vertical="center" wrapText="1"/>
    </xf>
    <xf numFmtId="3" fontId="20" fillId="0" borderId="125" xfId="0" applyNumberFormat="1" applyFont="1" applyBorder="1" applyAlignment="1">
      <alignment horizontal="center"/>
    </xf>
    <xf numFmtId="3" fontId="20" fillId="0" borderId="72" xfId="0" applyNumberFormat="1" applyFont="1" applyBorder="1" applyAlignment="1">
      <alignment horizontal="center"/>
    </xf>
    <xf numFmtId="0" fontId="7" fillId="0" borderId="0" xfId="0" applyFont="1" applyAlignment="1">
      <alignment horizontal="justify" vertical="top" wrapText="1"/>
    </xf>
    <xf numFmtId="0" fontId="11" fillId="0" borderId="0" xfId="0" applyFont="1" applyAlignment="1">
      <alignment horizontal="justify" vertical="top" wrapText="1"/>
    </xf>
    <xf numFmtId="0" fontId="19" fillId="0" borderId="125" xfId="0" applyFont="1" applyBorder="1" applyAlignment="1">
      <alignment horizontal="left" vertical="center"/>
    </xf>
    <xf numFmtId="0" fontId="20" fillId="0" borderId="126" xfId="0" applyFont="1" applyBorder="1" applyAlignment="1">
      <alignment horizontal="left" vertical="center"/>
    </xf>
    <xf numFmtId="3" fontId="20" fillId="0" borderId="126" xfId="0" applyNumberFormat="1" applyFont="1" applyFill="1" applyBorder="1" applyAlignment="1">
      <alignment horizontal="right" vertical="center"/>
    </xf>
    <xf numFmtId="0" fontId="19" fillId="4" borderId="37" xfId="0" applyFont="1" applyFill="1" applyBorder="1" applyAlignment="1">
      <alignment horizontal="center" vertical="center"/>
    </xf>
    <xf numFmtId="3" fontId="20" fillId="0" borderId="90" xfId="0" applyNumberFormat="1" applyFont="1" applyFill="1" applyBorder="1" applyAlignment="1">
      <alignment horizontal="right" vertical="center"/>
    </xf>
    <xf numFmtId="3" fontId="20" fillId="0" borderId="91" xfId="0" applyNumberFormat="1" applyFont="1" applyFill="1" applyBorder="1" applyAlignment="1">
      <alignment horizontal="right" vertical="center"/>
    </xf>
    <xf numFmtId="3" fontId="20" fillId="0" borderId="17" xfId="0" applyNumberFormat="1" applyFont="1" applyFill="1" applyBorder="1" applyAlignment="1">
      <alignment horizontal="right" vertical="center"/>
    </xf>
    <xf numFmtId="3" fontId="20" fillId="4" borderId="121" xfId="0" applyNumberFormat="1" applyFont="1" applyFill="1" applyBorder="1" applyAlignment="1">
      <alignment horizontal="right" vertical="center"/>
    </xf>
    <xf numFmtId="3" fontId="20" fillId="4" borderId="135" xfId="0" applyNumberFormat="1" applyFont="1" applyFill="1" applyBorder="1" applyAlignment="1">
      <alignment horizontal="right" vertical="center"/>
    </xf>
    <xf numFmtId="3" fontId="20" fillId="4" borderId="107" xfId="0" applyNumberFormat="1" applyFont="1" applyFill="1" applyBorder="1" applyAlignment="1">
      <alignment horizontal="right" vertical="center"/>
    </xf>
    <xf numFmtId="3" fontId="19" fillId="0" borderId="90" xfId="0" applyNumberFormat="1" applyFont="1" applyBorder="1" applyAlignment="1">
      <alignment horizontal="right" vertical="center"/>
    </xf>
    <xf numFmtId="3" fontId="19" fillId="0" borderId="91" xfId="0" applyNumberFormat="1" applyFont="1" applyBorder="1" applyAlignment="1">
      <alignment horizontal="right" vertical="center"/>
    </xf>
    <xf numFmtId="3" fontId="19" fillId="0" borderId="17" xfId="0" applyNumberFormat="1" applyFont="1" applyBorder="1" applyAlignment="1">
      <alignment horizontal="right" vertical="center"/>
    </xf>
    <xf numFmtId="0" fontId="20" fillId="0" borderId="121" xfId="0" applyFont="1" applyBorder="1" applyAlignment="1">
      <alignment horizontal="left" vertical="center" wrapText="1"/>
    </xf>
    <xf numFmtId="3" fontId="20" fillId="0" borderId="121" xfId="0" applyNumberFormat="1" applyFont="1" applyBorder="1" applyAlignment="1">
      <alignment horizontal="center"/>
    </xf>
    <xf numFmtId="3" fontId="20" fillId="0" borderId="135" xfId="0" applyNumberFormat="1" applyFont="1" applyBorder="1" applyAlignment="1">
      <alignment horizontal="center"/>
    </xf>
    <xf numFmtId="3" fontId="20" fillId="0" borderId="109" xfId="0" applyNumberFormat="1" applyFont="1" applyBorder="1" applyAlignment="1">
      <alignment horizontal="center"/>
    </xf>
    <xf numFmtId="3" fontId="20" fillId="0" borderId="122" xfId="0" applyNumberFormat="1" applyFont="1" applyBorder="1" applyAlignment="1">
      <alignment horizontal="right"/>
    </xf>
    <xf numFmtId="3" fontId="20" fillId="0" borderId="113" xfId="0" applyNumberFormat="1" applyFont="1" applyBorder="1" applyAlignment="1">
      <alignment horizontal="right"/>
    </xf>
    <xf numFmtId="3" fontId="20" fillId="0" borderId="112" xfId="0" applyNumberFormat="1" applyFont="1" applyBorder="1" applyAlignment="1">
      <alignment horizontal="right"/>
    </xf>
    <xf numFmtId="3" fontId="20" fillId="0" borderId="121" xfId="0" applyNumberFormat="1" applyFont="1" applyBorder="1" applyAlignment="1">
      <alignment horizontal="right"/>
    </xf>
    <xf numFmtId="3" fontId="20" fillId="0" borderId="135" xfId="0" applyNumberFormat="1" applyFont="1" applyBorder="1" applyAlignment="1">
      <alignment horizontal="right"/>
    </xf>
    <xf numFmtId="3" fontId="20" fillId="0" borderId="109" xfId="0" applyNumberFormat="1" applyFont="1" applyBorder="1" applyAlignment="1">
      <alignment horizontal="right"/>
    </xf>
    <xf numFmtId="0" fontId="2" fillId="0" borderId="101" xfId="0" applyFont="1" applyBorder="1" applyAlignment="1">
      <alignment horizontal="left" vertical="center" wrapText="1"/>
    </xf>
    <xf numFmtId="0" fontId="7" fillId="0" borderId="0" xfId="0" applyFont="1" applyAlignment="1">
      <alignment horizontal="left" vertical="top" wrapText="1"/>
    </xf>
    <xf numFmtId="3" fontId="1" fillId="0" borderId="13" xfId="0" applyNumberFormat="1" applyFont="1" applyBorder="1" applyAlignment="1">
      <alignment horizontal="right" vertical="center"/>
    </xf>
    <xf numFmtId="3" fontId="1" fillId="0" borderId="129" xfId="0" applyNumberFormat="1" applyFont="1" applyBorder="1" applyAlignment="1">
      <alignment horizontal="right" vertical="center"/>
    </xf>
    <xf numFmtId="0" fontId="20" fillId="0" borderId="126" xfId="0" applyFont="1" applyBorder="1" applyAlignment="1">
      <alignment horizontal="left" vertical="center" wrapText="1"/>
    </xf>
    <xf numFmtId="3" fontId="1" fillId="4" borderId="94" xfId="0" applyNumberFormat="1" applyFont="1" applyFill="1" applyBorder="1" applyAlignment="1">
      <alignment horizontal="right" vertical="center"/>
    </xf>
    <xf numFmtId="3" fontId="20" fillId="4" borderId="128" xfId="0" applyNumberFormat="1" applyFont="1" applyFill="1" applyBorder="1" applyAlignment="1">
      <alignment horizontal="right" vertical="center"/>
    </xf>
    <xf numFmtId="3" fontId="1" fillId="4" borderId="128" xfId="0" applyNumberFormat="1" applyFont="1" applyFill="1" applyBorder="1" applyAlignment="1">
      <alignment horizontal="right" vertical="center"/>
    </xf>
    <xf numFmtId="0" fontId="7" fillId="0" borderId="0" xfId="0" applyFont="1" applyAlignment="1">
      <alignment horizontal="justify" vertical="top"/>
    </xf>
    <xf numFmtId="0" fontId="11" fillId="0" borderId="0" xfId="0" applyFont="1" applyAlignment="1">
      <alignment horizontal="justify" vertical="top"/>
    </xf>
    <xf numFmtId="3" fontId="19" fillId="2" borderId="72" xfId="0" applyNumberFormat="1" applyFont="1" applyFill="1" applyBorder="1" applyAlignment="1">
      <alignment horizontal="right" vertical="center"/>
    </xf>
    <xf numFmtId="3" fontId="19" fillId="2" borderId="73" xfId="0" applyNumberFormat="1" applyFont="1" applyFill="1" applyBorder="1" applyAlignment="1">
      <alignment horizontal="right" vertical="center"/>
    </xf>
    <xf numFmtId="0" fontId="7" fillId="4" borderId="0" xfId="0" applyFont="1" applyFill="1" applyAlignment="1">
      <alignment horizontal="justify" vertical="top"/>
    </xf>
    <xf numFmtId="0" fontId="11" fillId="4" borderId="0" xfId="0" applyFont="1" applyFill="1" applyAlignment="1">
      <alignment horizontal="justify" vertical="top"/>
    </xf>
    <xf numFmtId="3" fontId="19" fillId="2" borderId="74" xfId="0" applyNumberFormat="1" applyFont="1" applyFill="1" applyBorder="1" applyAlignment="1">
      <alignment horizontal="right" vertical="center"/>
    </xf>
    <xf numFmtId="3" fontId="20" fillId="0" borderId="66" xfId="0" applyNumberFormat="1" applyFont="1" applyFill="1" applyBorder="1" applyAlignment="1">
      <alignment horizontal="right" vertical="center"/>
    </xf>
    <xf numFmtId="0" fontId="20" fillId="0" borderId="37" xfId="0" applyFont="1" applyBorder="1" applyAlignment="1">
      <alignment horizontal="left" vertical="center" wrapText="1"/>
    </xf>
    <xf numFmtId="0" fontId="7" fillId="4" borderId="0" xfId="0" applyFont="1" applyFill="1" applyAlignment="1">
      <alignment horizontal="justify" vertical="top" wrapText="1"/>
    </xf>
    <xf numFmtId="0" fontId="11" fillId="4" borderId="0" xfId="0" applyFont="1" applyFill="1" applyAlignment="1">
      <alignment horizontal="justify" vertical="top" wrapText="1"/>
    </xf>
    <xf numFmtId="0" fontId="12" fillId="0" borderId="0" xfId="0" applyFont="1" applyAlignment="1">
      <alignment horizontal="justify" vertical="top" wrapText="1"/>
    </xf>
    <xf numFmtId="0" fontId="12" fillId="4" borderId="0" xfId="0" applyFont="1" applyFill="1" applyAlignment="1">
      <alignment horizontal="justify" vertical="top" wrapText="1"/>
    </xf>
    <xf numFmtId="3" fontId="1" fillId="0" borderId="128" xfId="0" applyNumberFormat="1" applyFont="1" applyBorder="1" applyAlignment="1">
      <alignment horizontal="right" vertical="center"/>
    </xf>
    <xf numFmtId="3" fontId="1" fillId="2" borderId="128" xfId="0" applyNumberFormat="1" applyFont="1" applyFill="1" applyBorder="1" applyAlignment="1">
      <alignment horizontal="right" vertical="center"/>
    </xf>
    <xf numFmtId="0" fontId="19" fillId="0" borderId="0" xfId="0" applyFont="1" applyAlignment="1">
      <alignment horizontal="center"/>
    </xf>
    <xf numFmtId="0" fontId="13" fillId="0" borderId="0" xfId="0" applyFont="1" applyAlignment="1">
      <alignment horizontal="justify" vertical="top" wrapText="1"/>
    </xf>
    <xf numFmtId="0" fontId="20" fillId="0" borderId="0" xfId="0" applyFont="1" applyAlignment="1">
      <alignment horizontal="left"/>
    </xf>
    <xf numFmtId="0" fontId="1" fillId="0" borderId="0" xfId="0" applyNumberFormat="1" applyFont="1" applyAlignment="1">
      <alignment horizontal="center"/>
    </xf>
    <xf numFmtId="0" fontId="1" fillId="0" borderId="0" xfId="0" applyFont="1" applyAlignment="1">
      <alignment horizontal="center"/>
    </xf>
    <xf numFmtId="0" fontId="1" fillId="0" borderId="0" xfId="0" applyNumberFormat="1" applyFont="1" applyFill="1" applyAlignment="1">
      <alignment horizontal="center"/>
    </xf>
    <xf numFmtId="0" fontId="1" fillId="0" borderId="0" xfId="0" quotePrefix="1" applyFont="1" applyFill="1" applyAlignment="1">
      <alignment horizontal="center"/>
    </xf>
    <xf numFmtId="0" fontId="1" fillId="0" borderId="0" xfId="0" applyFont="1" applyFill="1" applyAlignment="1">
      <alignment horizontal="center"/>
    </xf>
    <xf numFmtId="0" fontId="19" fillId="0" borderId="97" xfId="0" applyFont="1" applyBorder="1" applyAlignment="1">
      <alignment horizontal="center" wrapText="1"/>
    </xf>
    <xf numFmtId="0" fontId="19" fillId="0" borderId="97" xfId="0" applyFont="1" applyFill="1" applyBorder="1" applyAlignment="1">
      <alignment horizontal="center" wrapText="1"/>
    </xf>
    <xf numFmtId="0" fontId="7" fillId="0" borderId="0" xfId="0" applyFont="1" applyAlignment="1">
      <alignment vertical="top" wrapText="1"/>
    </xf>
    <xf numFmtId="0" fontId="19" fillId="0" borderId="106" xfId="0" applyFont="1" applyBorder="1" applyAlignment="1">
      <alignment horizontal="center"/>
    </xf>
    <xf numFmtId="0" fontId="19" fillId="0" borderId="97" xfId="0" applyFont="1" applyBorder="1" applyAlignment="1">
      <alignment horizontal="center"/>
    </xf>
    <xf numFmtId="0" fontId="19" fillId="0" borderId="105" xfId="0" applyFont="1" applyBorder="1" applyAlignment="1">
      <alignment horizontal="center"/>
    </xf>
    <xf numFmtId="3" fontId="20" fillId="4" borderId="129" xfId="0" applyNumberFormat="1" applyFont="1" applyFill="1" applyBorder="1" applyAlignment="1">
      <alignment horizontal="right" vertical="center" wrapText="1"/>
    </xf>
    <xf numFmtId="0" fontId="19" fillId="0" borderId="37" xfId="0" applyNumberFormat="1" applyFont="1" applyBorder="1" applyAlignment="1">
      <alignment horizontal="center" vertical="center" wrapText="1"/>
    </xf>
    <xf numFmtId="0" fontId="20" fillId="0" borderId="129" xfId="0" applyNumberFormat="1" applyFont="1" applyBorder="1" applyAlignment="1">
      <alignment horizontal="left" vertical="center" wrapText="1"/>
    </xf>
    <xf numFmtId="0" fontId="20" fillId="0" borderId="130" xfId="0" applyNumberFormat="1" applyFont="1" applyBorder="1" applyAlignment="1">
      <alignment horizontal="left" vertical="center" wrapText="1"/>
    </xf>
    <xf numFmtId="0" fontId="20" fillId="0" borderId="128" xfId="0" applyNumberFormat="1" applyFont="1" applyBorder="1" applyAlignment="1">
      <alignment horizontal="left" vertical="center" wrapText="1"/>
    </xf>
    <xf numFmtId="0" fontId="19" fillId="0" borderId="121" xfId="0" applyFont="1" applyFill="1" applyBorder="1" applyAlignment="1">
      <alignment horizontal="left" vertical="center" wrapText="1"/>
    </xf>
    <xf numFmtId="0" fontId="19" fillId="0" borderId="135" xfId="0" applyFont="1" applyFill="1" applyBorder="1" applyAlignment="1">
      <alignment horizontal="left" vertical="center" wrapText="1"/>
    </xf>
    <xf numFmtId="0" fontId="19" fillId="0" borderId="107" xfId="0" applyFont="1" applyFill="1" applyBorder="1" applyAlignment="1">
      <alignment horizontal="left" vertical="center" wrapText="1"/>
    </xf>
    <xf numFmtId="175" fontId="20" fillId="0" borderId="129" xfId="0" applyNumberFormat="1" applyFont="1" applyFill="1" applyBorder="1" applyAlignment="1">
      <alignment horizontal="right" vertical="center"/>
    </xf>
    <xf numFmtId="9" fontId="20" fillId="0" borderId="121" xfId="1" applyFont="1" applyFill="1" applyBorder="1" applyAlignment="1">
      <alignment horizontal="right" vertical="center"/>
    </xf>
    <xf numFmtId="9" fontId="20" fillId="0" borderId="135" xfId="1" applyFont="1" applyFill="1" applyBorder="1" applyAlignment="1">
      <alignment horizontal="right" vertical="center"/>
    </xf>
    <xf numFmtId="9" fontId="20" fillId="0" borderId="107" xfId="1" applyFont="1" applyFill="1" applyBorder="1" applyAlignment="1">
      <alignment horizontal="right" vertical="center"/>
    </xf>
    <xf numFmtId="0" fontId="20" fillId="2" borderId="97" xfId="0" applyFont="1" applyFill="1" applyBorder="1" applyAlignment="1">
      <alignment horizontal="center"/>
    </xf>
    <xf numFmtId="0" fontId="20" fillId="2" borderId="105" xfId="0" applyFont="1" applyFill="1" applyBorder="1" applyAlignment="1">
      <alignment horizontal="center"/>
    </xf>
    <xf numFmtId="0" fontId="7" fillId="0" borderId="0" xfId="0" applyFont="1" applyAlignment="1">
      <alignment horizontal="left"/>
    </xf>
    <xf numFmtId="0" fontId="12" fillId="4" borderId="0" xfId="0" applyFont="1" applyFill="1" applyAlignment="1">
      <alignment horizontal="justify" vertical="top"/>
    </xf>
    <xf numFmtId="0" fontId="27" fillId="0" borderId="0" xfId="0" applyFont="1" applyAlignment="1">
      <alignment horizontal="justify" vertical="top" wrapText="1"/>
    </xf>
    <xf numFmtId="0" fontId="12" fillId="0" borderId="0" xfId="0" applyFont="1" applyFill="1" applyAlignment="1">
      <alignment horizontal="justify" vertical="top"/>
    </xf>
    <xf numFmtId="0" fontId="81" fillId="0" borderId="0" xfId="0" applyFont="1" applyAlignment="1">
      <alignment horizontal="center"/>
    </xf>
    <xf numFmtId="0" fontId="20" fillId="0" borderId="99" xfId="0" applyFont="1" applyBorder="1" applyAlignment="1">
      <alignment horizontal="left"/>
    </xf>
    <xf numFmtId="0" fontId="81" fillId="0" borderId="99" xfId="0" applyFont="1" applyBorder="1" applyAlignment="1">
      <alignment horizontal="center"/>
    </xf>
    <xf numFmtId="3" fontId="1" fillId="0" borderId="122" xfId="0" applyNumberFormat="1" applyFont="1" applyBorder="1" applyAlignment="1">
      <alignment horizontal="right" vertical="center" wrapText="1"/>
    </xf>
    <xf numFmtId="3" fontId="1" fillId="0" borderId="113" xfId="0" applyNumberFormat="1" applyFont="1" applyBorder="1" applyAlignment="1">
      <alignment horizontal="right" vertical="center" wrapText="1"/>
    </xf>
    <xf numFmtId="3" fontId="1" fillId="0" borderId="110" xfId="0" applyNumberFormat="1" applyFont="1" applyBorder="1" applyAlignment="1">
      <alignment horizontal="right" vertical="center" wrapText="1"/>
    </xf>
    <xf numFmtId="3" fontId="5" fillId="0" borderId="113" xfId="0" applyNumberFormat="1" applyFont="1" applyBorder="1" applyAlignment="1">
      <alignment horizontal="right" vertical="center"/>
    </xf>
    <xf numFmtId="3" fontId="5" fillId="0" borderId="110" xfId="0" applyNumberFormat="1" applyFont="1" applyBorder="1" applyAlignment="1">
      <alignment horizontal="right" vertical="center"/>
    </xf>
    <xf numFmtId="0" fontId="7" fillId="4" borderId="0" xfId="0" applyFont="1" applyFill="1" applyAlignment="1">
      <alignment horizontal="left"/>
    </xf>
    <xf numFmtId="0" fontId="19" fillId="0" borderId="128" xfId="0" applyFont="1" applyBorder="1" applyAlignment="1">
      <alignment horizontal="center" vertical="center" wrapText="1"/>
    </xf>
    <xf numFmtId="3" fontId="5" fillId="0" borderId="91" xfId="0" applyNumberFormat="1" applyFont="1" applyBorder="1" applyAlignment="1">
      <alignment horizontal="right" vertical="center"/>
    </xf>
    <xf numFmtId="3" fontId="5" fillId="0" borderId="17" xfId="0" applyNumberFormat="1" applyFont="1" applyBorder="1" applyAlignment="1">
      <alignment horizontal="right" vertical="center"/>
    </xf>
    <xf numFmtId="0" fontId="5" fillId="0" borderId="128" xfId="0" applyFont="1" applyBorder="1" applyAlignment="1">
      <alignment horizontal="center" vertical="center"/>
    </xf>
    <xf numFmtId="0" fontId="11" fillId="0" borderId="0" xfId="0" applyFont="1" applyAlignment="1">
      <alignment horizontal="left" vertical="top" wrapText="1"/>
    </xf>
    <xf numFmtId="0" fontId="19" fillId="0" borderId="129" xfId="0" applyFont="1" applyBorder="1" applyAlignment="1">
      <alignment horizontal="left"/>
    </xf>
    <xf numFmtId="0" fontId="1" fillId="0" borderId="101" xfId="0" applyFont="1" applyBorder="1" applyAlignment="1">
      <alignment horizontal="left"/>
    </xf>
    <xf numFmtId="0" fontId="20" fillId="0" borderId="88" xfId="0" applyFont="1" applyBorder="1" applyAlignment="1">
      <alignment horizontal="left"/>
    </xf>
    <xf numFmtId="0" fontId="20" fillId="0" borderId="102" xfId="0" applyFont="1" applyBorder="1" applyAlignment="1">
      <alignment horizontal="left"/>
    </xf>
    <xf numFmtId="3" fontId="1" fillId="0" borderId="67" xfId="0" applyNumberFormat="1" applyFont="1" applyFill="1" applyBorder="1" applyAlignment="1">
      <alignment horizontal="right" vertical="center"/>
    </xf>
    <xf numFmtId="3" fontId="1" fillId="0" borderId="66" xfId="0" applyNumberFormat="1" applyFont="1" applyFill="1" applyBorder="1" applyAlignment="1">
      <alignment horizontal="right" vertical="center"/>
    </xf>
    <xf numFmtId="0" fontId="1" fillId="0" borderId="130" xfId="0" applyFont="1" applyBorder="1" applyAlignment="1">
      <alignment horizontal="center" vertical="center"/>
    </xf>
    <xf numFmtId="0" fontId="1" fillId="0" borderId="101" xfId="0" applyFont="1" applyBorder="1" applyAlignment="1">
      <alignment horizontal="center" vertical="center"/>
    </xf>
    <xf numFmtId="3" fontId="1" fillId="0" borderId="67" xfId="0" applyNumberFormat="1" applyFont="1" applyBorder="1" applyAlignment="1">
      <alignment horizontal="right" vertical="center"/>
    </xf>
    <xf numFmtId="3" fontId="1" fillId="0" borderId="66" xfId="0" applyNumberFormat="1" applyFont="1" applyBorder="1" applyAlignment="1">
      <alignment horizontal="right" vertical="center"/>
    </xf>
    <xf numFmtId="3" fontId="1" fillId="0" borderId="101" xfId="0" applyNumberFormat="1" applyFont="1" applyBorder="1" applyAlignment="1">
      <alignment horizontal="right" vertical="center" wrapText="1"/>
    </xf>
    <xf numFmtId="3" fontId="1" fillId="0" borderId="88" xfId="0" applyNumberFormat="1" applyFont="1" applyBorder="1" applyAlignment="1">
      <alignment horizontal="right" vertical="center" wrapText="1"/>
    </xf>
    <xf numFmtId="3" fontId="1" fillId="0" borderId="102" xfId="0" applyNumberFormat="1" applyFont="1" applyBorder="1" applyAlignment="1">
      <alignment horizontal="right" vertical="center" wrapText="1"/>
    </xf>
    <xf numFmtId="0" fontId="1" fillId="0" borderId="29" xfId="0" applyFont="1" applyFill="1" applyBorder="1" applyAlignment="1">
      <alignment horizontal="right" vertical="center"/>
    </xf>
    <xf numFmtId="0" fontId="1" fillId="0" borderId="44" xfId="0" applyFont="1" applyFill="1" applyBorder="1" applyAlignment="1">
      <alignment horizontal="right" vertical="center"/>
    </xf>
    <xf numFmtId="3" fontId="1" fillId="0" borderId="43" xfId="0" applyNumberFormat="1" applyFont="1" applyBorder="1" applyAlignment="1">
      <alignment horizontal="right" vertical="center"/>
    </xf>
    <xf numFmtId="3" fontId="1" fillId="0" borderId="114" xfId="0" applyNumberFormat="1" applyFont="1" applyBorder="1" applyAlignment="1">
      <alignment horizontal="right" vertical="center"/>
    </xf>
    <xf numFmtId="3" fontId="1" fillId="0" borderId="44" xfId="0" applyNumberFormat="1" applyFont="1" applyBorder="1" applyAlignment="1">
      <alignment horizontal="right" vertical="center"/>
    </xf>
    <xf numFmtId="3" fontId="1" fillId="0" borderId="145" xfId="0" applyNumberFormat="1" applyFont="1" applyBorder="1" applyAlignment="1">
      <alignment horizontal="right" vertical="center"/>
    </xf>
    <xf numFmtId="0" fontId="1" fillId="0" borderId="29" xfId="0" applyFont="1" applyBorder="1" applyAlignment="1">
      <alignment horizontal="right" vertical="center"/>
    </xf>
    <xf numFmtId="0" fontId="1" fillId="0" borderId="44" xfId="0" applyFont="1" applyBorder="1" applyAlignment="1">
      <alignment horizontal="right" vertical="center"/>
    </xf>
    <xf numFmtId="0" fontId="1" fillId="0" borderId="102" xfId="0" applyFont="1" applyFill="1" applyBorder="1" applyAlignment="1">
      <alignment horizontal="right" vertical="center"/>
    </xf>
    <xf numFmtId="0" fontId="1" fillId="0" borderId="130" xfId="0" applyFont="1" applyFill="1" applyBorder="1" applyAlignment="1">
      <alignment horizontal="right" vertical="center"/>
    </xf>
    <xf numFmtId="0" fontId="1" fillId="0" borderId="102" xfId="0" applyFont="1" applyBorder="1" applyAlignment="1">
      <alignment horizontal="right" vertical="center"/>
    </xf>
    <xf numFmtId="0" fontId="1" fillId="0" borderId="130" xfId="0" applyFont="1" applyBorder="1" applyAlignment="1">
      <alignment horizontal="right" vertical="center"/>
    </xf>
    <xf numFmtId="0" fontId="1" fillId="0" borderId="130" xfId="0" applyFont="1" applyFill="1" applyBorder="1" applyAlignment="1">
      <alignment horizontal="center" vertical="center"/>
    </xf>
    <xf numFmtId="0" fontId="1" fillId="0" borderId="101" xfId="0" applyFont="1" applyFill="1" applyBorder="1" applyAlignment="1">
      <alignment horizontal="center" vertical="center"/>
    </xf>
    <xf numFmtId="1" fontId="1" fillId="0" borderId="102" xfId="0" applyNumberFormat="1" applyFont="1" applyFill="1" applyBorder="1" applyAlignment="1">
      <alignment horizontal="right" vertical="center"/>
    </xf>
    <xf numFmtId="1" fontId="1" fillId="0" borderId="130" xfId="0" applyNumberFormat="1" applyFont="1" applyFill="1" applyBorder="1" applyAlignment="1">
      <alignment horizontal="right" vertical="center"/>
    </xf>
    <xf numFmtId="0" fontId="19" fillId="0" borderId="125" xfId="0" applyFont="1" applyBorder="1" applyAlignment="1">
      <alignment horizontal="center" vertical="center"/>
    </xf>
    <xf numFmtId="0" fontId="19" fillId="0" borderId="121" xfId="0" applyFont="1" applyBorder="1" applyAlignment="1">
      <alignment horizontal="center" vertical="center"/>
    </xf>
    <xf numFmtId="3" fontId="19" fillId="0" borderId="74" xfId="0" applyNumberFormat="1" applyFont="1" applyFill="1" applyBorder="1" applyAlignment="1">
      <alignment horizontal="right" vertical="center"/>
    </xf>
    <xf numFmtId="3" fontId="19" fillId="0" borderId="125" xfId="0" applyNumberFormat="1" applyFont="1" applyFill="1" applyBorder="1" applyAlignment="1">
      <alignment horizontal="right" vertical="center"/>
    </xf>
    <xf numFmtId="3" fontId="19" fillId="0" borderId="72" xfId="0" applyNumberFormat="1" applyFont="1" applyFill="1" applyBorder="1" applyAlignment="1">
      <alignment horizontal="right" vertical="center"/>
    </xf>
    <xf numFmtId="1" fontId="19" fillId="0" borderId="74" xfId="0" applyNumberFormat="1" applyFont="1" applyBorder="1" applyAlignment="1">
      <alignment horizontal="right" vertical="center"/>
    </xf>
    <xf numFmtId="1" fontId="19" fillId="0" borderId="125" xfId="0" applyNumberFormat="1" applyFont="1" applyBorder="1" applyAlignment="1">
      <alignment horizontal="right" vertical="center"/>
    </xf>
    <xf numFmtId="1" fontId="19" fillId="0" borderId="74" xfId="0" applyNumberFormat="1" applyFont="1" applyFill="1" applyBorder="1" applyAlignment="1">
      <alignment horizontal="right" vertical="center"/>
    </xf>
    <xf numFmtId="1" fontId="19" fillId="0" borderId="125" xfId="0" applyNumberFormat="1" applyFont="1" applyFill="1" applyBorder="1" applyAlignment="1">
      <alignment horizontal="right" vertical="center"/>
    </xf>
    <xf numFmtId="0" fontId="1" fillId="0" borderId="129" xfId="0" applyFont="1" applyBorder="1" applyAlignment="1">
      <alignment horizontal="center" vertical="center"/>
    </xf>
    <xf numFmtId="3" fontId="1" fillId="4" borderId="122" xfId="0" applyNumberFormat="1" applyFont="1" applyFill="1" applyBorder="1" applyAlignment="1">
      <alignment horizontal="right" vertical="center"/>
    </xf>
    <xf numFmtId="3" fontId="1" fillId="4" borderId="113" xfId="0" applyNumberFormat="1" applyFont="1" applyFill="1" applyBorder="1" applyAlignment="1">
      <alignment horizontal="right" vertical="center"/>
    </xf>
    <xf numFmtId="3" fontId="1" fillId="4" borderId="110" xfId="0" applyNumberFormat="1" applyFont="1" applyFill="1" applyBorder="1" applyAlignment="1">
      <alignment horizontal="right" vertical="center"/>
    </xf>
    <xf numFmtId="3" fontId="1" fillId="4" borderId="101" xfId="0" applyNumberFormat="1" applyFont="1" applyFill="1" applyBorder="1" applyAlignment="1">
      <alignment horizontal="right" vertical="center"/>
    </xf>
    <xf numFmtId="3" fontId="1" fillId="4" borderId="88" xfId="0" applyNumberFormat="1" applyFont="1" applyFill="1" applyBorder="1" applyAlignment="1">
      <alignment horizontal="right" vertical="center"/>
    </xf>
    <xf numFmtId="3" fontId="1" fillId="4" borderId="102" xfId="0" applyNumberFormat="1" applyFont="1" applyFill="1" applyBorder="1" applyAlignment="1">
      <alignment horizontal="right" vertical="center"/>
    </xf>
    <xf numFmtId="0" fontId="1" fillId="0" borderId="128" xfId="0" applyFont="1" applyBorder="1" applyAlignment="1">
      <alignment horizontal="center" vertical="center"/>
    </xf>
    <xf numFmtId="0" fontId="19" fillId="0" borderId="125" xfId="0" applyFont="1" applyFill="1" applyBorder="1" applyAlignment="1">
      <alignment horizontal="center" vertical="center"/>
    </xf>
    <xf numFmtId="0" fontId="19" fillId="0" borderId="121" xfId="0" applyFont="1" applyFill="1" applyBorder="1" applyAlignment="1">
      <alignment horizontal="center" vertical="center"/>
    </xf>
    <xf numFmtId="3" fontId="19" fillId="0" borderId="67" xfId="0" applyNumberFormat="1" applyFont="1" applyFill="1" applyBorder="1" applyAlignment="1">
      <alignment horizontal="right" vertical="center"/>
    </xf>
    <xf numFmtId="3" fontId="19" fillId="0" borderId="66" xfId="0" applyNumberFormat="1" applyFont="1" applyFill="1" applyBorder="1" applyAlignment="1">
      <alignment horizontal="right" vertical="center"/>
    </xf>
    <xf numFmtId="3" fontId="19" fillId="0" borderId="67" xfId="0" applyNumberFormat="1" applyFont="1" applyBorder="1" applyAlignment="1">
      <alignment horizontal="right" vertical="center"/>
    </xf>
    <xf numFmtId="3" fontId="19" fillId="0" borderId="130" xfId="0" applyNumberFormat="1" applyFont="1" applyBorder="1" applyAlignment="1">
      <alignment horizontal="right" vertical="center"/>
    </xf>
    <xf numFmtId="3" fontId="19" fillId="0" borderId="66" xfId="0" applyNumberFormat="1" applyFont="1" applyBorder="1" applyAlignment="1">
      <alignment horizontal="right" vertical="center"/>
    </xf>
    <xf numFmtId="0" fontId="19" fillId="0" borderId="101" xfId="0" applyFont="1" applyBorder="1" applyAlignment="1">
      <alignment horizontal="left" vertical="center" wrapText="1"/>
    </xf>
    <xf numFmtId="0" fontId="19" fillId="0" borderId="88" xfId="0" applyFont="1" applyBorder="1" applyAlignment="1">
      <alignment horizontal="left" vertical="center" wrapText="1"/>
    </xf>
    <xf numFmtId="0" fontId="107" fillId="0" borderId="122" xfId="0" applyFont="1" applyFill="1" applyBorder="1" applyAlignment="1">
      <alignment horizontal="left" vertical="center" wrapText="1"/>
    </xf>
    <xf numFmtId="0" fontId="107" fillId="0" borderId="113" xfId="0" applyFont="1" applyFill="1" applyBorder="1" applyAlignment="1">
      <alignment horizontal="left" vertical="center" wrapText="1"/>
    </xf>
    <xf numFmtId="0" fontId="107" fillId="0" borderId="110" xfId="0" applyFont="1" applyFill="1" applyBorder="1" applyAlignment="1">
      <alignment horizontal="left" vertical="center" wrapText="1"/>
    </xf>
    <xf numFmtId="3" fontId="1" fillId="0" borderId="122" xfId="0" applyNumberFormat="1" applyFont="1" applyBorder="1" applyAlignment="1">
      <alignment horizontal="center" vertical="center"/>
    </xf>
    <xf numFmtId="3" fontId="20" fillId="0" borderId="113" xfId="0" applyNumberFormat="1" applyFont="1" applyBorder="1" applyAlignment="1">
      <alignment horizontal="center" vertical="center"/>
    </xf>
    <xf numFmtId="3" fontId="20" fillId="0" borderId="110" xfId="0" applyNumberFormat="1" applyFont="1" applyBorder="1" applyAlignment="1">
      <alignment horizontal="center" vertical="center"/>
    </xf>
    <xf numFmtId="3" fontId="1" fillId="0" borderId="121" xfId="0" applyNumberFormat="1" applyFont="1" applyBorder="1" applyAlignment="1">
      <alignment horizontal="center" vertical="center"/>
    </xf>
    <xf numFmtId="3" fontId="20" fillId="0" borderId="135" xfId="0" applyNumberFormat="1" applyFont="1" applyBorder="1" applyAlignment="1">
      <alignment horizontal="center" vertical="center"/>
    </xf>
    <xf numFmtId="3" fontId="20" fillId="0" borderId="107" xfId="0" applyNumberFormat="1" applyFont="1" applyBorder="1" applyAlignment="1">
      <alignment horizontal="center" vertical="center"/>
    </xf>
    <xf numFmtId="0" fontId="1" fillId="0" borderId="127" xfId="0" applyFont="1" applyFill="1" applyBorder="1" applyAlignment="1">
      <alignment horizontal="center" vertical="center"/>
    </xf>
    <xf numFmtId="0" fontId="1" fillId="0" borderId="128" xfId="0" applyFont="1" applyFill="1" applyBorder="1" applyAlignment="1">
      <alignment horizontal="center" vertical="center"/>
    </xf>
    <xf numFmtId="0" fontId="1" fillId="0" borderId="124" xfId="0" applyFont="1" applyFill="1" applyBorder="1" applyAlignment="1">
      <alignment horizontal="center" vertical="center"/>
    </xf>
    <xf numFmtId="0" fontId="1" fillId="0" borderId="94" xfId="0" applyFont="1" applyFill="1" applyBorder="1" applyAlignment="1">
      <alignment horizontal="center" vertical="center"/>
    </xf>
    <xf numFmtId="3" fontId="1" fillId="0" borderId="92" xfId="0" applyNumberFormat="1" applyFont="1" applyBorder="1" applyAlignment="1">
      <alignment horizontal="right" vertical="center"/>
    </xf>
    <xf numFmtId="0" fontId="1" fillId="0" borderId="127" xfId="0" applyFont="1" applyBorder="1" applyAlignment="1">
      <alignment horizontal="center" vertical="center"/>
    </xf>
    <xf numFmtId="0" fontId="1" fillId="0" borderId="124" xfId="0" applyFont="1" applyBorder="1" applyAlignment="1">
      <alignment horizontal="center" vertical="center"/>
    </xf>
    <xf numFmtId="0" fontId="1" fillId="0" borderId="67" xfId="0" applyFont="1" applyFill="1" applyBorder="1" applyAlignment="1">
      <alignment horizontal="right" vertical="center"/>
    </xf>
    <xf numFmtId="3" fontId="1" fillId="4" borderId="67" xfId="0" applyNumberFormat="1" applyFont="1" applyFill="1" applyBorder="1" applyAlignment="1">
      <alignment horizontal="right" vertical="center"/>
    </xf>
    <xf numFmtId="3" fontId="1" fillId="4" borderId="130" xfId="0" applyNumberFormat="1" applyFont="1" applyFill="1" applyBorder="1" applyAlignment="1">
      <alignment horizontal="right" vertical="center"/>
    </xf>
    <xf numFmtId="3" fontId="1" fillId="4" borderId="66" xfId="0" applyNumberFormat="1" applyFont="1" applyFill="1" applyBorder="1" applyAlignment="1">
      <alignment horizontal="right" vertical="center"/>
    </xf>
    <xf numFmtId="3" fontId="1" fillId="0" borderId="126" xfId="0" applyNumberFormat="1" applyFont="1" applyBorder="1" applyAlignment="1">
      <alignment horizontal="center" vertical="center"/>
    </xf>
    <xf numFmtId="3" fontId="20" fillId="0" borderId="126" xfId="0" applyNumberFormat="1" applyFont="1" applyBorder="1" applyAlignment="1">
      <alignment horizontal="center" vertical="center"/>
    </xf>
    <xf numFmtId="0" fontId="95" fillId="0" borderId="101" xfId="0" applyFont="1" applyBorder="1" applyAlignment="1">
      <alignment horizontal="left" vertical="center" wrapText="1"/>
    </xf>
    <xf numFmtId="0" fontId="95" fillId="0" borderId="88" xfId="0" applyFont="1" applyBorder="1" applyAlignment="1">
      <alignment horizontal="left" vertical="center" wrapText="1"/>
    </xf>
    <xf numFmtId="0" fontId="95" fillId="0" borderId="102" xfId="0" applyFont="1" applyBorder="1" applyAlignment="1">
      <alignment horizontal="left" vertical="center" wrapText="1"/>
    </xf>
    <xf numFmtId="0" fontId="1" fillId="0" borderId="94" xfId="0" applyFont="1" applyBorder="1" applyAlignment="1">
      <alignment horizontal="center" vertical="center"/>
    </xf>
    <xf numFmtId="0" fontId="1" fillId="0" borderId="67" xfId="0" applyFont="1" applyBorder="1" applyAlignment="1">
      <alignment horizontal="right" vertical="center"/>
    </xf>
    <xf numFmtId="0" fontId="19" fillId="0" borderId="92" xfId="0" applyFont="1" applyBorder="1" applyAlignment="1">
      <alignment horizontal="center" vertical="center"/>
    </xf>
    <xf numFmtId="0" fontId="19" fillId="0" borderId="93" xfId="0" applyFont="1" applyBorder="1" applyAlignment="1">
      <alignment horizontal="center" vertical="center"/>
    </xf>
    <xf numFmtId="0" fontId="19" fillId="0" borderId="94" xfId="0" applyFont="1" applyBorder="1" applyAlignment="1">
      <alignment horizontal="center" vertical="center"/>
    </xf>
    <xf numFmtId="0" fontId="19" fillId="0" borderId="96" xfId="0" applyFont="1" applyBorder="1" applyAlignment="1">
      <alignment horizontal="center" vertical="center"/>
    </xf>
    <xf numFmtId="0" fontId="19" fillId="0" borderId="97" xfId="0" applyFont="1" applyBorder="1" applyAlignment="1">
      <alignment horizontal="center" vertical="center"/>
    </xf>
    <xf numFmtId="0" fontId="19" fillId="0" borderId="13" xfId="0" applyFont="1" applyBorder="1" applyAlignment="1">
      <alignment horizontal="center" vertical="center"/>
    </xf>
    <xf numFmtId="0" fontId="19" fillId="0" borderId="92" xfId="0" applyFont="1" applyFill="1" applyBorder="1" applyAlignment="1">
      <alignment horizontal="center" vertical="center" wrapText="1"/>
    </xf>
    <xf numFmtId="0" fontId="19" fillId="0" borderId="93" xfId="0" applyFont="1" applyFill="1" applyBorder="1" applyAlignment="1">
      <alignment horizontal="center" vertical="center" wrapText="1"/>
    </xf>
    <xf numFmtId="0" fontId="19" fillId="0" borderId="94" xfId="0" applyFont="1" applyFill="1" applyBorder="1" applyAlignment="1">
      <alignment horizontal="center" vertical="center" wrapText="1"/>
    </xf>
    <xf numFmtId="0" fontId="19" fillId="0" borderId="96" xfId="0" applyFont="1" applyFill="1" applyBorder="1" applyAlignment="1">
      <alignment horizontal="center" vertical="center" wrapText="1"/>
    </xf>
    <xf numFmtId="0" fontId="19" fillId="0" borderId="97" xfId="0" applyFont="1" applyFill="1" applyBorder="1" applyAlignment="1">
      <alignment horizontal="center" vertical="center" wrapText="1"/>
    </xf>
    <xf numFmtId="0" fontId="19" fillId="0" borderId="13" xfId="0" applyFont="1" applyFill="1" applyBorder="1" applyAlignment="1">
      <alignment horizontal="center" vertical="center" wrapText="1"/>
    </xf>
    <xf numFmtId="3" fontId="1" fillId="0" borderId="129" xfId="0" applyNumberFormat="1" applyFont="1" applyBorder="1" applyAlignment="1">
      <alignment horizontal="center" vertical="center"/>
    </xf>
    <xf numFmtId="3" fontId="20" fillId="0" borderId="129" xfId="0" applyNumberFormat="1" applyFont="1" applyBorder="1" applyAlignment="1">
      <alignment horizontal="center" vertical="center"/>
    </xf>
    <xf numFmtId="0" fontId="95" fillId="0" borderId="66" xfId="0" applyFont="1" applyFill="1" applyBorder="1" applyAlignment="1">
      <alignment horizontal="left" vertical="center" wrapText="1"/>
    </xf>
    <xf numFmtId="0" fontId="95" fillId="0" borderId="43" xfId="0" applyFont="1" applyFill="1" applyBorder="1" applyAlignment="1">
      <alignment horizontal="left" vertical="center" wrapText="1"/>
    </xf>
    <xf numFmtId="0" fontId="95" fillId="0" borderId="72" xfId="0" applyFont="1" applyFill="1" applyBorder="1" applyAlignment="1">
      <alignment horizontal="left" vertical="center" wrapText="1"/>
    </xf>
    <xf numFmtId="0" fontId="95" fillId="0" borderId="73" xfId="0" applyFont="1" applyFill="1" applyBorder="1" applyAlignment="1">
      <alignment horizontal="left" vertical="center" wrapText="1"/>
    </xf>
    <xf numFmtId="0" fontId="107" fillId="0" borderId="66" xfId="0" applyFont="1" applyFill="1" applyBorder="1" applyAlignment="1">
      <alignment horizontal="left"/>
    </xf>
    <xf numFmtId="0" fontId="107" fillId="0" borderId="43" xfId="0" applyFont="1" applyFill="1" applyBorder="1" applyAlignment="1">
      <alignment horizontal="left"/>
    </xf>
    <xf numFmtId="0" fontId="107" fillId="0" borderId="43" xfId="0" applyFont="1" applyFill="1" applyBorder="1" applyAlignment="1">
      <alignment horizontal="center"/>
    </xf>
    <xf numFmtId="0" fontId="107" fillId="0" borderId="67" xfId="0" applyFont="1" applyFill="1" applyBorder="1" applyAlignment="1">
      <alignment horizontal="center"/>
    </xf>
    <xf numFmtId="0" fontId="95" fillId="0" borderId="43" xfId="0" applyFont="1" applyFill="1" applyBorder="1" applyAlignment="1">
      <alignment horizontal="center" vertical="center"/>
    </xf>
    <xf numFmtId="0" fontId="95" fillId="0" borderId="67" xfId="0" applyFont="1" applyFill="1" applyBorder="1" applyAlignment="1">
      <alignment horizontal="center" vertical="center"/>
    </xf>
    <xf numFmtId="0" fontId="95" fillId="0" borderId="73" xfId="0" applyFont="1" applyFill="1" applyBorder="1" applyAlignment="1">
      <alignment horizontal="center" vertical="center"/>
    </xf>
    <xf numFmtId="0" fontId="95" fillId="0" borderId="74" xfId="0" applyFont="1" applyFill="1" applyBorder="1" applyAlignment="1">
      <alignment horizontal="center" vertical="center"/>
    </xf>
    <xf numFmtId="0" fontId="1" fillId="0" borderId="126" xfId="0" applyFont="1" applyFill="1" applyBorder="1" applyAlignment="1">
      <alignment horizontal="left" vertical="center" wrapText="1"/>
    </xf>
    <xf numFmtId="0" fontId="1" fillId="0" borderId="122" xfId="0" applyFont="1" applyBorder="1" applyAlignment="1">
      <alignment horizontal="left" vertical="center"/>
    </xf>
    <xf numFmtId="0" fontId="1" fillId="0" borderId="113" xfId="0" applyFont="1" applyBorder="1" applyAlignment="1">
      <alignment horizontal="left" vertical="center"/>
    </xf>
    <xf numFmtId="0" fontId="1" fillId="0" borderId="110" xfId="0" applyFont="1" applyBorder="1" applyAlignment="1">
      <alignment horizontal="left" vertical="center"/>
    </xf>
    <xf numFmtId="0" fontId="1" fillId="0" borderId="101" xfId="0" applyFont="1" applyFill="1" applyBorder="1" applyAlignment="1">
      <alignment horizontal="left" vertical="center"/>
    </xf>
    <xf numFmtId="0" fontId="1" fillId="0" borderId="88" xfId="0" applyFont="1" applyFill="1" applyBorder="1" applyAlignment="1">
      <alignment horizontal="left" vertical="center"/>
    </xf>
    <xf numFmtId="0" fontId="1" fillId="0" borderId="102" xfId="0" applyFont="1" applyFill="1" applyBorder="1" applyAlignment="1">
      <alignment horizontal="left" vertical="center"/>
    </xf>
    <xf numFmtId="3" fontId="1" fillId="0" borderId="92" xfId="0" applyNumberFormat="1" applyFont="1" applyFill="1" applyBorder="1" applyAlignment="1">
      <alignment horizontal="right" vertical="center"/>
    </xf>
    <xf numFmtId="0" fontId="1" fillId="0" borderId="113" xfId="0" applyFont="1" applyBorder="1" applyAlignment="1">
      <alignment horizontal="left" vertical="center" wrapText="1"/>
    </xf>
    <xf numFmtId="0" fontId="27" fillId="0" borderId="0" xfId="0" applyFont="1" applyFill="1" applyAlignment="1">
      <alignment horizontal="left" vertical="top"/>
    </xf>
    <xf numFmtId="0" fontId="27" fillId="4" borderId="0" xfId="0" applyFont="1" applyFill="1" applyAlignment="1">
      <alignment horizontal="justify" vertical="top" wrapText="1"/>
    </xf>
    <xf numFmtId="0" fontId="1" fillId="0" borderId="0" xfId="0" applyFont="1" applyAlignment="1">
      <alignment horizontal="left" wrapText="1"/>
    </xf>
    <xf numFmtId="0" fontId="1" fillId="0" borderId="0" xfId="0" applyFont="1" applyAlignment="1">
      <alignment horizontal="left"/>
    </xf>
    <xf numFmtId="0" fontId="7" fillId="0" borderId="0" xfId="0" applyFont="1" applyFill="1" applyAlignment="1">
      <alignment horizontal="left" vertical="top" wrapText="1"/>
    </xf>
    <xf numFmtId="0" fontId="1" fillId="0" borderId="130" xfId="0" applyFont="1" applyFill="1" applyBorder="1" applyAlignment="1">
      <alignment horizontal="center" vertical="center" wrapText="1"/>
    </xf>
    <xf numFmtId="0" fontId="54" fillId="0" borderId="0" xfId="0" applyFont="1" applyFill="1" applyAlignment="1">
      <alignment horizontal="left" vertical="top"/>
    </xf>
    <xf numFmtId="0" fontId="7" fillId="0" borderId="0" xfId="0" applyFont="1" applyFill="1" applyAlignment="1">
      <alignment vertical="top" wrapText="1"/>
    </xf>
    <xf numFmtId="0" fontId="1" fillId="0" borderId="129" xfId="0" applyFont="1" applyBorder="1" applyAlignment="1">
      <alignment horizontal="left" vertical="center" wrapText="1"/>
    </xf>
    <xf numFmtId="3" fontId="1" fillId="0" borderId="129" xfId="0" applyNumberFormat="1" applyFont="1" applyFill="1" applyBorder="1" applyAlignment="1">
      <alignment horizontal="right" vertical="center"/>
    </xf>
    <xf numFmtId="0" fontId="1" fillId="0" borderId="128" xfId="0" applyFont="1" applyBorder="1" applyAlignment="1">
      <alignment horizontal="left" vertical="center" wrapText="1"/>
    </xf>
    <xf numFmtId="0" fontId="11" fillId="0" borderId="0" xfId="0" applyFont="1" applyAlignment="1">
      <alignment horizontal="left"/>
    </xf>
    <xf numFmtId="3" fontId="1" fillId="0" borderId="121" xfId="0" applyNumberFormat="1" applyFont="1" applyBorder="1" applyAlignment="1">
      <alignment horizontal="right" vertical="center"/>
    </xf>
    <xf numFmtId="3" fontId="1" fillId="0" borderId="135" xfId="0" applyNumberFormat="1" applyFont="1" applyBorder="1" applyAlignment="1">
      <alignment horizontal="right" vertical="center"/>
    </xf>
    <xf numFmtId="3" fontId="1" fillId="0" borderId="107" xfId="0" applyNumberFormat="1" applyFont="1" applyBorder="1" applyAlignment="1">
      <alignment horizontal="right" vertical="center"/>
    </xf>
    <xf numFmtId="3" fontId="20" fillId="4" borderId="130" xfId="0" applyNumberFormat="1" applyFont="1" applyFill="1" applyBorder="1" applyAlignment="1">
      <alignment horizontal="right" vertical="center"/>
    </xf>
    <xf numFmtId="3" fontId="19" fillId="0" borderId="122" xfId="0" applyNumberFormat="1" applyFont="1" applyBorder="1" applyAlignment="1">
      <alignment horizontal="right" vertical="center" wrapText="1"/>
    </xf>
    <xf numFmtId="3" fontId="19" fillId="0" borderId="113" xfId="0" applyNumberFormat="1" applyFont="1" applyBorder="1" applyAlignment="1">
      <alignment horizontal="right" vertical="center" wrapText="1"/>
    </xf>
    <xf numFmtId="3" fontId="19" fillId="0" borderId="110" xfId="0" applyNumberFormat="1" applyFont="1" applyBorder="1" applyAlignment="1">
      <alignment horizontal="right" vertical="center" wrapText="1"/>
    </xf>
    <xf numFmtId="3" fontId="5" fillId="0" borderId="111" xfId="0" applyNumberFormat="1" applyFont="1" applyBorder="1" applyAlignment="1">
      <alignment horizontal="center" vertical="center"/>
    </xf>
    <xf numFmtId="3" fontId="5" fillId="0" borderId="113" xfId="0" applyNumberFormat="1" applyFont="1" applyBorder="1" applyAlignment="1">
      <alignment horizontal="center" vertical="center"/>
    </xf>
    <xf numFmtId="3" fontId="5" fillId="0" borderId="112" xfId="0" applyNumberFormat="1" applyFont="1" applyBorder="1" applyAlignment="1">
      <alignment horizontal="center" vertical="center"/>
    </xf>
    <xf numFmtId="0" fontId="19" fillId="0" borderId="102" xfId="0" applyFont="1" applyBorder="1" applyAlignment="1">
      <alignment horizontal="left" vertical="center" wrapText="1"/>
    </xf>
    <xf numFmtId="3" fontId="1" fillId="0" borderId="121" xfId="0" applyNumberFormat="1" applyFont="1" applyFill="1" applyBorder="1" applyAlignment="1">
      <alignment horizontal="right" vertical="center" wrapText="1"/>
    </xf>
    <xf numFmtId="3" fontId="1" fillId="0" borderId="135" xfId="0" applyNumberFormat="1" applyFont="1" applyFill="1" applyBorder="1" applyAlignment="1">
      <alignment horizontal="right" vertical="center" wrapText="1"/>
    </xf>
    <xf numFmtId="3" fontId="1" fillId="0" borderId="107" xfId="0" applyNumberFormat="1" applyFont="1" applyFill="1" applyBorder="1" applyAlignment="1">
      <alignment horizontal="right" vertical="center" wrapText="1"/>
    </xf>
    <xf numFmtId="3" fontId="20" fillId="0" borderId="125" xfId="0" applyNumberFormat="1" applyFont="1" applyBorder="1" applyAlignment="1">
      <alignment horizontal="right" vertical="center"/>
    </xf>
    <xf numFmtId="3" fontId="29" fillId="0" borderId="0" xfId="2" applyNumberFormat="1" applyFont="1" applyAlignment="1">
      <alignment horizontal="left" vertical="center" wrapText="1"/>
    </xf>
    <xf numFmtId="3" fontId="29" fillId="0" borderId="0" xfId="2" applyNumberFormat="1" applyFont="1" applyAlignment="1">
      <alignment vertical="center" wrapText="1"/>
    </xf>
    <xf numFmtId="0" fontId="60" fillId="0" borderId="104" xfId="8" applyFont="1" applyFill="1" applyBorder="1" applyAlignment="1">
      <alignment horizontal="left" vertical="top" wrapText="1"/>
    </xf>
    <xf numFmtId="0" fontId="60" fillId="0" borderId="103" xfId="8" applyFont="1" applyFill="1" applyBorder="1" applyAlignment="1">
      <alignment horizontal="left" vertical="top" wrapText="1"/>
    </xf>
    <xf numFmtId="0" fontId="60" fillId="0" borderId="75" xfId="8" applyFont="1" applyFill="1" applyBorder="1" applyAlignment="1">
      <alignment horizontal="left" vertical="top" wrapText="1"/>
    </xf>
    <xf numFmtId="0" fontId="60" fillId="0" borderId="77" xfId="8" applyFont="1" applyFill="1" applyBorder="1" applyAlignment="1">
      <alignment horizontal="left" vertical="top" wrapText="1"/>
    </xf>
    <xf numFmtId="0" fontId="30" fillId="0" borderId="106" xfId="8" applyFont="1" applyBorder="1" applyAlignment="1">
      <alignment horizontal="center" vertical="top"/>
    </xf>
    <xf numFmtId="0" fontId="30" fillId="0" borderId="97" xfId="8" applyFont="1" applyBorder="1" applyAlignment="1">
      <alignment horizontal="center" vertical="top"/>
    </xf>
    <xf numFmtId="0" fontId="30" fillId="0" borderId="105" xfId="8" applyFont="1" applyBorder="1" applyAlignment="1">
      <alignment horizontal="center" vertical="top"/>
    </xf>
    <xf numFmtId="0" fontId="30" fillId="0" borderId="106" xfId="8" applyFont="1" applyFill="1" applyBorder="1" applyAlignment="1">
      <alignment horizontal="center" vertical="top"/>
    </xf>
    <xf numFmtId="0" fontId="30" fillId="0" borderId="13" xfId="8" applyFont="1" applyBorder="1" applyAlignment="1">
      <alignment horizontal="center" vertical="top"/>
    </xf>
    <xf numFmtId="171" fontId="72" fillId="0" borderId="87" xfId="8" applyNumberFormat="1" applyFont="1" applyFill="1" applyBorder="1" applyAlignment="1">
      <alignment horizontal="center" vertical="center"/>
    </xf>
    <xf numFmtId="171" fontId="72" fillId="0" borderId="88" xfId="8" applyNumberFormat="1" applyFont="1" applyFill="1" applyBorder="1" applyAlignment="1">
      <alignment horizontal="center" vertical="center"/>
    </xf>
    <xf numFmtId="171" fontId="72" fillId="0" borderId="89" xfId="8" applyNumberFormat="1" applyFont="1" applyFill="1" applyBorder="1" applyAlignment="1">
      <alignment horizontal="center" vertical="center"/>
    </xf>
    <xf numFmtId="49" fontId="74" fillId="0" borderId="115" xfId="8" applyNumberFormat="1" applyFont="1" applyFill="1" applyBorder="1" applyAlignment="1">
      <alignment horizontal="center" vertical="top"/>
    </xf>
    <xf numFmtId="49" fontId="74" fillId="0" borderId="118" xfId="8" applyNumberFormat="1" applyFont="1" applyFill="1" applyBorder="1" applyAlignment="1">
      <alignment horizontal="center" vertical="top"/>
    </xf>
    <xf numFmtId="49" fontId="74" fillId="0" borderId="84" xfId="8" applyNumberFormat="1" applyFont="1" applyFill="1" applyBorder="1" applyAlignment="1">
      <alignment horizontal="center" vertical="top"/>
    </xf>
    <xf numFmtId="49" fontId="74" fillId="0" borderId="85" xfId="8" applyNumberFormat="1" applyFont="1" applyFill="1" applyBorder="1" applyAlignment="1">
      <alignment horizontal="center" vertical="top"/>
    </xf>
    <xf numFmtId="49" fontId="73" fillId="0" borderId="115" xfId="8" applyNumberFormat="1" applyFont="1" applyFill="1" applyBorder="1" applyAlignment="1">
      <alignment horizontal="center" vertical="top"/>
    </xf>
    <xf numFmtId="49" fontId="73" fillId="0" borderId="118" xfId="8" applyNumberFormat="1" applyFont="1" applyFill="1" applyBorder="1" applyAlignment="1">
      <alignment horizontal="center" vertical="top"/>
    </xf>
    <xf numFmtId="49" fontId="73" fillId="0" borderId="84" xfId="8" applyNumberFormat="1" applyFont="1" applyFill="1" applyBorder="1" applyAlignment="1">
      <alignment horizontal="center" vertical="top"/>
    </xf>
    <xf numFmtId="49" fontId="73" fillId="0" borderId="85" xfId="8" applyNumberFormat="1" applyFont="1" applyFill="1" applyBorder="1" applyAlignment="1">
      <alignment horizontal="center" vertical="top"/>
    </xf>
    <xf numFmtId="171" fontId="72" fillId="0" borderId="87" xfId="8" applyNumberFormat="1" applyFont="1" applyFill="1" applyBorder="1" applyAlignment="1">
      <alignment horizontal="right" vertical="center"/>
    </xf>
    <xf numFmtId="171" fontId="72" fillId="0" borderId="88" xfId="8" applyNumberFormat="1" applyFont="1" applyFill="1" applyBorder="1" applyAlignment="1">
      <alignment horizontal="right" vertical="center"/>
    </xf>
    <xf numFmtId="171" fontId="72" fillId="0" borderId="89" xfId="8" applyNumberFormat="1" applyFont="1" applyFill="1" applyBorder="1" applyAlignment="1">
      <alignment horizontal="right" vertical="center"/>
    </xf>
    <xf numFmtId="171" fontId="72" fillId="0" borderId="43" xfId="8" applyNumberFormat="1" applyFont="1" applyFill="1" applyBorder="1" applyAlignment="1">
      <alignment horizontal="right" vertical="center"/>
    </xf>
    <xf numFmtId="171" fontId="72" fillId="0" borderId="102" xfId="8" applyNumberFormat="1" applyFont="1" applyFill="1" applyBorder="1" applyAlignment="1">
      <alignment horizontal="right" vertical="center"/>
    </xf>
    <xf numFmtId="0" fontId="74" fillId="0" borderId="111" xfId="8" applyFont="1" applyFill="1" applyBorder="1" applyAlignment="1">
      <alignment horizontal="center" vertical="center" wrapText="1"/>
    </xf>
    <xf numFmtId="0" fontId="74" fillId="0" borderId="110" xfId="8" applyFont="1" applyFill="1" applyBorder="1" applyAlignment="1">
      <alignment horizontal="center" vertical="center" wrapText="1"/>
    </xf>
    <xf numFmtId="0" fontId="74" fillId="0" borderId="84" xfId="8" applyFont="1" applyFill="1" applyBorder="1" applyAlignment="1">
      <alignment horizontal="center" vertical="center" wrapText="1"/>
    </xf>
    <xf numFmtId="0" fontId="74" fillId="0" borderId="100" xfId="8" applyFont="1" applyFill="1" applyBorder="1" applyAlignment="1">
      <alignment horizontal="center" vertical="center" wrapText="1"/>
    </xf>
    <xf numFmtId="0" fontId="74" fillId="0" borderId="112" xfId="8" applyFont="1" applyFill="1" applyBorder="1" applyAlignment="1">
      <alignment horizontal="center" vertical="center" wrapText="1"/>
    </xf>
    <xf numFmtId="0" fontId="74" fillId="0" borderId="85" xfId="8" applyFont="1" applyFill="1" applyBorder="1" applyAlignment="1">
      <alignment horizontal="center" vertical="center" wrapText="1"/>
    </xf>
    <xf numFmtId="0" fontId="74" fillId="0" borderId="75" xfId="8" applyFont="1" applyFill="1" applyBorder="1" applyAlignment="1">
      <alignment horizontal="center" vertical="center" wrapText="1"/>
    </xf>
    <xf numFmtId="0" fontId="74" fillId="0" borderId="29" xfId="8" applyFont="1" applyFill="1" applyBorder="1" applyAlignment="1">
      <alignment horizontal="center" vertical="center" wrapText="1"/>
    </xf>
    <xf numFmtId="0" fontId="74" fillId="0" borderId="84" xfId="8" applyFont="1" applyFill="1" applyBorder="1" applyAlignment="1">
      <alignment horizontal="center" wrapText="1"/>
    </xf>
    <xf numFmtId="0" fontId="74" fillId="0" borderId="85" xfId="8" applyFont="1" applyFill="1" applyBorder="1" applyAlignment="1">
      <alignment horizontal="center" wrapText="1"/>
    </xf>
    <xf numFmtId="0" fontId="74" fillId="0" borderId="87" xfId="8" applyFont="1" applyFill="1" applyBorder="1" applyAlignment="1">
      <alignment horizontal="center" vertical="center" wrapText="1"/>
    </xf>
    <xf numFmtId="0" fontId="74" fillId="0" borderId="102" xfId="8" applyFont="1" applyFill="1" applyBorder="1" applyAlignment="1">
      <alignment horizontal="center" vertical="center" wrapText="1"/>
    </xf>
    <xf numFmtId="0" fontId="75" fillId="0" borderId="70" xfId="8" applyFont="1" applyFill="1" applyBorder="1" applyAlignment="1">
      <alignment horizontal="center" vertical="center" wrapText="1"/>
    </xf>
    <xf numFmtId="0" fontId="75" fillId="0" borderId="66" xfId="8" applyFont="1" applyFill="1" applyBorder="1" applyAlignment="1">
      <alignment horizontal="center" vertical="center" wrapText="1"/>
    </xf>
    <xf numFmtId="0" fontId="73" fillId="0" borderId="70" xfId="8" applyFont="1" applyFill="1" applyBorder="1" applyAlignment="1">
      <alignment horizontal="right" vertical="top" wrapText="1"/>
    </xf>
    <xf numFmtId="0" fontId="73" fillId="0" borderId="66" xfId="8" applyFont="1" applyFill="1" applyBorder="1" applyAlignment="1">
      <alignment horizontal="right" vertical="top" wrapText="1"/>
    </xf>
    <xf numFmtId="0" fontId="73" fillId="0" borderId="71" xfId="8" applyFont="1" applyFill="1" applyBorder="1" applyAlignment="1">
      <alignment horizontal="left" vertical="top" wrapText="1"/>
    </xf>
    <xf numFmtId="0" fontId="73" fillId="0" borderId="43" xfId="8" applyFont="1" applyFill="1" applyBorder="1" applyAlignment="1">
      <alignment horizontal="left" vertical="top" wrapText="1"/>
    </xf>
    <xf numFmtId="49" fontId="73" fillId="0" borderId="71" xfId="8" applyNumberFormat="1" applyFont="1" applyFill="1" applyBorder="1" applyAlignment="1">
      <alignment horizontal="center" vertical="top"/>
    </xf>
    <xf numFmtId="49" fontId="73" fillId="0" borderId="43" xfId="8" applyNumberFormat="1" applyFont="1" applyFill="1" applyBorder="1" applyAlignment="1">
      <alignment horizontal="center" vertical="top"/>
    </xf>
    <xf numFmtId="0" fontId="74" fillId="0" borderId="71" xfId="8" applyFont="1" applyFill="1" applyBorder="1" applyAlignment="1">
      <alignment horizontal="center" vertical="center" wrapText="1"/>
    </xf>
    <xf numFmtId="0" fontId="74" fillId="0" borderId="43" xfId="8" applyFont="1" applyFill="1" applyBorder="1" applyAlignment="1">
      <alignment horizontal="center" vertical="center" wrapText="1"/>
    </xf>
    <xf numFmtId="0" fontId="75" fillId="0" borderId="71" xfId="8" applyFont="1" applyFill="1" applyBorder="1" applyAlignment="1">
      <alignment horizontal="center" vertical="center" wrapText="1"/>
    </xf>
    <xf numFmtId="0" fontId="75" fillId="0" borderId="43" xfId="8" applyFont="1" applyFill="1" applyBorder="1" applyAlignment="1">
      <alignment horizontal="center" vertical="center" wrapText="1"/>
    </xf>
    <xf numFmtId="0" fontId="74" fillId="0" borderId="99" xfId="8" applyFont="1" applyFill="1" applyBorder="1" applyAlignment="1">
      <alignment horizontal="center" vertical="center" wrapText="1"/>
    </xf>
    <xf numFmtId="1" fontId="74" fillId="0" borderId="43" xfId="8" applyNumberFormat="1" applyFont="1" applyFill="1" applyBorder="1" applyAlignment="1">
      <alignment horizontal="center" vertical="center"/>
    </xf>
    <xf numFmtId="0" fontId="73" fillId="0" borderId="66" xfId="8" applyFont="1" applyFill="1" applyBorder="1" applyAlignment="1">
      <alignment horizontal="left" vertical="top" wrapText="1"/>
    </xf>
    <xf numFmtId="0" fontId="74" fillId="0" borderId="66" xfId="8" applyFont="1" applyFill="1" applyBorder="1" applyAlignment="1">
      <alignment horizontal="left" vertical="top" wrapText="1"/>
    </xf>
    <xf numFmtId="0" fontId="74" fillId="0" borderId="71" xfId="8" quotePrefix="1" applyFont="1" applyFill="1" applyBorder="1" applyAlignment="1">
      <alignment horizontal="left" vertical="top" wrapText="1"/>
    </xf>
    <xf numFmtId="0" fontId="74" fillId="0" borderId="43" xfId="8" applyFont="1" applyFill="1" applyBorder="1" applyAlignment="1">
      <alignment horizontal="left" vertical="top" wrapText="1"/>
    </xf>
    <xf numFmtId="0" fontId="74" fillId="0" borderId="70" xfId="8" quotePrefix="1" applyFont="1" applyFill="1" applyBorder="1" applyAlignment="1">
      <alignment horizontal="right" vertical="top" wrapText="1"/>
    </xf>
    <xf numFmtId="0" fontId="74" fillId="0" borderId="66" xfId="8" applyFont="1" applyFill="1" applyBorder="1" applyAlignment="1">
      <alignment horizontal="right" vertical="top" wrapText="1"/>
    </xf>
    <xf numFmtId="49" fontId="74" fillId="0" borderId="43" xfId="8" applyNumberFormat="1" applyFont="1" applyFill="1" applyBorder="1" applyAlignment="1">
      <alignment horizontal="center" vertical="top"/>
    </xf>
    <xf numFmtId="0" fontId="74" fillId="0" borderId="66" xfId="8" quotePrefix="1" applyFont="1" applyFill="1" applyBorder="1" applyAlignment="1">
      <alignment horizontal="right" vertical="top" wrapText="1"/>
    </xf>
    <xf numFmtId="0" fontId="74" fillId="0" borderId="43" xfId="8" quotePrefix="1" applyFont="1" applyFill="1" applyBorder="1" applyAlignment="1">
      <alignment horizontal="left" vertical="top" wrapText="1"/>
    </xf>
    <xf numFmtId="0" fontId="74" fillId="0" borderId="115" xfId="8" applyFont="1" applyFill="1" applyBorder="1" applyAlignment="1">
      <alignment horizontal="center" vertical="center" wrapText="1"/>
    </xf>
    <xf numFmtId="0" fontId="74" fillId="0" borderId="116" xfId="8" applyFont="1" applyFill="1" applyBorder="1" applyAlignment="1">
      <alignment horizontal="center" vertical="center" wrapText="1"/>
    </xf>
    <xf numFmtId="0" fontId="74" fillId="0" borderId="75" xfId="8" applyFont="1" applyFill="1" applyBorder="1" applyAlignment="1">
      <alignment horizontal="center" wrapText="1"/>
    </xf>
    <xf numFmtId="0" fontId="74" fillId="0" borderId="77" xfId="8" applyFont="1" applyFill="1" applyBorder="1" applyAlignment="1">
      <alignment horizontal="center" wrapText="1"/>
    </xf>
    <xf numFmtId="0" fontId="73" fillId="0" borderId="66" xfId="8" quotePrefix="1" applyFont="1" applyFill="1" applyBorder="1" applyAlignment="1">
      <alignment horizontal="left" vertical="top" wrapText="1"/>
    </xf>
    <xf numFmtId="0" fontId="74" fillId="0" borderId="66" xfId="8" quotePrefix="1" applyFont="1" applyFill="1" applyBorder="1" applyAlignment="1">
      <alignment horizontal="left" vertical="top" wrapText="1"/>
    </xf>
    <xf numFmtId="0" fontId="75" fillId="0" borderId="117" xfId="8" applyFont="1" applyFill="1" applyBorder="1" applyAlignment="1">
      <alignment horizontal="center" vertical="center" wrapText="1"/>
    </xf>
    <xf numFmtId="1" fontId="74" fillId="0" borderId="116" xfId="8" applyNumberFormat="1" applyFont="1" applyFill="1" applyBorder="1" applyAlignment="1">
      <alignment horizontal="center" vertical="center"/>
    </xf>
    <xf numFmtId="0" fontId="73" fillId="0" borderId="66" xfId="8" applyFont="1" applyFill="1" applyBorder="1" applyAlignment="1">
      <alignment horizontal="center" vertical="top" wrapText="1"/>
    </xf>
    <xf numFmtId="0" fontId="73" fillId="0" borderId="66" xfId="8" quotePrefix="1" applyFont="1" applyFill="1" applyBorder="1" applyAlignment="1">
      <alignment horizontal="center" vertical="top" wrapText="1"/>
    </xf>
    <xf numFmtId="0" fontId="73" fillId="0" borderId="66" xfId="8" applyFont="1" applyFill="1" applyBorder="1"/>
    <xf numFmtId="0" fontId="75" fillId="0" borderId="63" xfId="8" applyFont="1" applyFill="1" applyBorder="1" applyAlignment="1">
      <alignment horizontal="center" vertical="center" wrapText="1"/>
    </xf>
    <xf numFmtId="0" fontId="74" fillId="0" borderId="64" xfId="8" applyFont="1" applyFill="1" applyBorder="1" applyAlignment="1">
      <alignment horizontal="center" vertical="center" wrapText="1"/>
    </xf>
    <xf numFmtId="0" fontId="74" fillId="0" borderId="66" xfId="8" applyFont="1" applyFill="1" applyBorder="1" applyAlignment="1">
      <alignment horizontal="left" vertical="center"/>
    </xf>
    <xf numFmtId="0" fontId="75" fillId="0" borderId="0" xfId="8" applyFont="1" applyFill="1" applyBorder="1" applyAlignment="1">
      <alignment horizontal="center" vertical="center" wrapText="1"/>
    </xf>
    <xf numFmtId="0" fontId="75" fillId="0" borderId="77" xfId="8" applyFont="1" applyFill="1" applyBorder="1" applyAlignment="1">
      <alignment horizontal="center" vertical="center" wrapText="1"/>
    </xf>
    <xf numFmtId="0" fontId="75" fillId="0" borderId="99" xfId="8" applyFont="1" applyFill="1" applyBorder="1" applyAlignment="1">
      <alignment horizontal="center" vertical="center" wrapText="1"/>
    </xf>
    <xf numFmtId="0" fontId="75" fillId="0" borderId="85" xfId="8" applyFont="1" applyFill="1" applyBorder="1" applyAlignment="1">
      <alignment horizontal="center" vertical="center" wrapText="1"/>
    </xf>
    <xf numFmtId="0" fontId="27" fillId="0" borderId="43" xfId="8" applyFont="1" applyFill="1" applyBorder="1" applyAlignment="1">
      <alignment horizontal="left" vertical="top" wrapText="1"/>
    </xf>
    <xf numFmtId="0" fontId="27" fillId="0" borderId="43" xfId="8" applyFill="1" applyBorder="1" applyAlignment="1">
      <alignment horizontal="left" vertical="top" wrapText="1"/>
    </xf>
    <xf numFmtId="0" fontId="74" fillId="0" borderId="73" xfId="8" applyFont="1" applyFill="1" applyBorder="1" applyAlignment="1">
      <alignment horizontal="left" vertical="top" wrapText="1"/>
    </xf>
    <xf numFmtId="0" fontId="27" fillId="0" borderId="73" xfId="8" applyFill="1" applyBorder="1" applyAlignment="1">
      <alignment horizontal="left" vertical="top" wrapText="1"/>
    </xf>
    <xf numFmtId="0" fontId="73" fillId="0" borderId="73" xfId="8" applyFont="1" applyFill="1" applyBorder="1" applyAlignment="1">
      <alignment horizontal="left" vertical="top" wrapText="1"/>
    </xf>
    <xf numFmtId="0" fontId="27" fillId="0" borderId="73" xfId="8" applyFont="1" applyFill="1" applyBorder="1" applyAlignment="1">
      <alignment horizontal="left" vertical="top" wrapText="1"/>
    </xf>
    <xf numFmtId="0" fontId="74" fillId="0" borderId="113" xfId="8" applyFont="1" applyFill="1" applyBorder="1" applyAlignment="1">
      <alignment horizontal="center" vertical="center" wrapText="1"/>
    </xf>
    <xf numFmtId="0" fontId="27" fillId="0" borderId="113" xfId="8" applyFill="1" applyBorder="1" applyAlignment="1">
      <alignment horizontal="center" vertical="center" wrapText="1"/>
    </xf>
    <xf numFmtId="0" fontId="27" fillId="0" borderId="112" xfId="8" applyFill="1" applyBorder="1" applyAlignment="1">
      <alignment horizontal="center" vertical="center" wrapText="1"/>
    </xf>
    <xf numFmtId="0" fontId="74" fillId="0" borderId="104" xfId="8" applyFont="1" applyFill="1" applyBorder="1" applyAlignment="1">
      <alignment horizontal="center" vertical="center" wrapText="1"/>
    </xf>
    <xf numFmtId="0" fontId="74" fillId="0" borderId="94" xfId="8" applyFont="1" applyFill="1" applyBorder="1" applyAlignment="1">
      <alignment horizontal="center" vertical="center" wrapText="1"/>
    </xf>
    <xf numFmtId="171" fontId="72" fillId="0" borderId="84" xfId="8" applyNumberFormat="1" applyFont="1" applyFill="1" applyBorder="1" applyAlignment="1">
      <alignment horizontal="right" vertical="center"/>
    </xf>
    <xf numFmtId="171" fontId="72" fillId="0" borderId="99" xfId="8" applyNumberFormat="1" applyFont="1" applyFill="1" applyBorder="1" applyAlignment="1">
      <alignment horizontal="right" vertical="center"/>
    </xf>
    <xf numFmtId="0" fontId="74" fillId="0" borderId="87" xfId="8" applyFont="1" applyFill="1" applyBorder="1" applyAlignment="1">
      <alignment horizontal="center" wrapText="1"/>
    </xf>
    <xf numFmtId="0" fontId="74" fillId="0" borderId="88" xfId="8" applyFont="1" applyFill="1" applyBorder="1" applyAlignment="1">
      <alignment horizontal="center" wrapText="1"/>
    </xf>
    <xf numFmtId="0" fontId="74" fillId="0" borderId="89" xfId="8" applyFont="1" applyFill="1" applyBorder="1" applyAlignment="1">
      <alignment horizontal="center" wrapText="1"/>
    </xf>
    <xf numFmtId="0" fontId="74" fillId="0" borderId="88" xfId="8" applyFont="1" applyFill="1" applyBorder="1" applyAlignment="1">
      <alignment horizontal="center" vertical="center" wrapText="1"/>
    </xf>
    <xf numFmtId="0" fontId="74" fillId="0" borderId="89" xfId="8" applyFont="1" applyFill="1" applyBorder="1" applyAlignment="1">
      <alignment horizontal="center" vertical="center" wrapText="1"/>
    </xf>
    <xf numFmtId="0" fontId="74" fillId="0" borderId="65" xfId="8" applyFont="1" applyFill="1" applyBorder="1" applyAlignment="1">
      <alignment horizontal="center" vertical="center" wrapText="1"/>
    </xf>
    <xf numFmtId="0" fontId="58" fillId="0" borderId="0" xfId="8" applyFont="1" applyFill="1" applyAlignment="1">
      <alignment horizontal="center" vertical="center" wrapText="1"/>
    </xf>
    <xf numFmtId="0" fontId="58" fillId="0" borderId="97" xfId="8" applyFont="1" applyFill="1" applyBorder="1" applyAlignment="1">
      <alignment horizontal="center" vertical="center" wrapText="1"/>
    </xf>
    <xf numFmtId="0" fontId="60" fillId="0" borderId="104" xfId="8" applyFont="1" applyFill="1" applyBorder="1" applyAlignment="1">
      <alignment horizontal="center" vertical="top" wrapText="1"/>
    </xf>
    <xf numFmtId="0" fontId="60" fillId="0" borderId="93" xfId="8" applyFont="1" applyFill="1" applyBorder="1" applyAlignment="1">
      <alignment horizontal="center" vertical="top" wrapText="1"/>
    </xf>
    <xf numFmtId="0" fontId="60" fillId="0" borderId="103" xfId="8" applyFont="1" applyFill="1" applyBorder="1" applyAlignment="1">
      <alignment horizontal="center" vertical="top" wrapText="1"/>
    </xf>
    <xf numFmtId="0" fontId="60" fillId="0" borderId="75" xfId="8" applyFont="1" applyFill="1" applyBorder="1" applyAlignment="1">
      <alignment horizontal="center" vertical="top" wrapText="1"/>
    </xf>
    <xf numFmtId="0" fontId="60" fillId="0" borderId="0" xfId="8" applyFont="1" applyFill="1" applyBorder="1" applyAlignment="1">
      <alignment horizontal="center" vertical="top" wrapText="1"/>
    </xf>
    <xf numFmtId="0" fontId="60" fillId="0" borderId="77" xfId="8" applyFont="1" applyFill="1" applyBorder="1" applyAlignment="1">
      <alignment horizontal="center" vertical="top" wrapText="1"/>
    </xf>
    <xf numFmtId="0" fontId="60" fillId="0" borderId="94" xfId="8" applyFont="1" applyFill="1" applyBorder="1" applyAlignment="1">
      <alignment horizontal="center" vertical="top" wrapText="1"/>
    </xf>
    <xf numFmtId="0" fontId="60" fillId="0" borderId="29" xfId="8" applyFont="1" applyFill="1" applyBorder="1" applyAlignment="1">
      <alignment horizontal="center" vertical="top" wrapText="1"/>
    </xf>
    <xf numFmtId="3" fontId="49" fillId="0" borderId="0" xfId="7" applyNumberFormat="1" applyFont="1" applyFill="1" applyAlignment="1">
      <alignment horizontal="center"/>
    </xf>
    <xf numFmtId="0" fontId="58" fillId="3" borderId="116" xfId="0" applyFont="1" applyFill="1" applyBorder="1" applyAlignment="1" applyProtection="1">
      <alignment horizontal="center" vertical="center" wrapText="1"/>
    </xf>
    <xf numFmtId="0" fontId="58" fillId="3" borderId="76" xfId="0" applyFont="1" applyFill="1" applyBorder="1" applyAlignment="1" applyProtection="1">
      <alignment horizontal="center" vertical="center" wrapText="1"/>
    </xf>
    <xf numFmtId="0" fontId="58" fillId="3" borderId="71" xfId="0" applyFont="1" applyFill="1" applyBorder="1" applyAlignment="1" applyProtection="1">
      <alignment horizontal="center" vertical="center" wrapText="1"/>
    </xf>
    <xf numFmtId="176" fontId="58" fillId="0" borderId="87" xfId="0" applyNumberFormat="1" applyFont="1" applyFill="1" applyBorder="1" applyAlignment="1" applyProtection="1">
      <alignment horizontal="center"/>
    </xf>
    <xf numFmtId="176" fontId="58" fillId="0" borderId="89" xfId="0" applyNumberFormat="1" applyFont="1" applyFill="1" applyBorder="1" applyAlignment="1" applyProtection="1">
      <alignment horizontal="center"/>
    </xf>
    <xf numFmtId="0" fontId="60" fillId="0" borderId="141" xfId="8" applyFont="1" applyFill="1" applyBorder="1" applyAlignment="1">
      <alignment horizontal="left" wrapText="1"/>
    </xf>
    <xf numFmtId="0" fontId="60" fillId="0" borderId="119" xfId="8" applyFont="1" applyFill="1" applyBorder="1" applyAlignment="1">
      <alignment horizontal="left" wrapText="1"/>
    </xf>
    <xf numFmtId="0" fontId="60" fillId="0" borderId="95" xfId="8" applyFont="1" applyFill="1" applyBorder="1" applyAlignment="1">
      <alignment horizontal="left" wrapText="1"/>
    </xf>
    <xf numFmtId="0" fontId="60" fillId="0" borderId="0" xfId="8" applyFont="1" applyFill="1" applyBorder="1" applyAlignment="1">
      <alignment horizontal="left" wrapText="1"/>
    </xf>
    <xf numFmtId="0" fontId="60" fillId="0" borderId="96" xfId="8" applyFont="1" applyFill="1" applyBorder="1" applyAlignment="1">
      <alignment horizontal="left" wrapText="1"/>
    </xf>
    <xf numFmtId="0" fontId="60" fillId="0" borderId="97" xfId="8" applyFont="1" applyFill="1" applyBorder="1" applyAlignment="1">
      <alignment horizontal="left" wrapText="1"/>
    </xf>
    <xf numFmtId="0" fontId="27" fillId="0" borderId="0" xfId="8" applyFill="1" applyAlignment="1">
      <alignment vertical="center"/>
    </xf>
    <xf numFmtId="0" fontId="58" fillId="0" borderId="0" xfId="8" applyFont="1" applyFill="1" applyBorder="1" applyAlignment="1">
      <alignment horizontal="center" vertical="center" wrapText="1"/>
    </xf>
    <xf numFmtId="0" fontId="27" fillId="0" borderId="0" xfId="8" applyFill="1" applyBorder="1" applyAlignment="1">
      <alignment vertical="center"/>
    </xf>
    <xf numFmtId="0" fontId="57" fillId="0" borderId="90" xfId="8" applyFont="1" applyFill="1" applyBorder="1" applyAlignment="1">
      <alignment vertical="center"/>
    </xf>
    <xf numFmtId="0" fontId="57" fillId="0" borderId="91" xfId="8" applyFont="1" applyFill="1" applyBorder="1" applyAlignment="1">
      <alignment vertical="center"/>
    </xf>
    <xf numFmtId="0" fontId="75" fillId="0" borderId="111" xfId="17" applyFont="1" applyFill="1" applyBorder="1" applyAlignment="1">
      <alignment horizontal="center" vertical="center" wrapText="1"/>
    </xf>
    <xf numFmtId="0" fontId="75" fillId="0" borderId="87" xfId="17" applyFont="1" applyFill="1" applyBorder="1" applyAlignment="1">
      <alignment horizontal="center" vertical="center" wrapText="1"/>
    </xf>
    <xf numFmtId="0" fontId="75" fillId="0" borderId="112" xfId="17" applyFont="1" applyFill="1" applyBorder="1" applyAlignment="1">
      <alignment horizontal="center" vertical="center" wrapText="1"/>
    </xf>
    <xf numFmtId="0" fontId="75" fillId="0" borderId="89" xfId="17" applyFont="1" applyFill="1" applyBorder="1" applyAlignment="1">
      <alignment horizontal="center" vertical="center" wrapText="1"/>
    </xf>
    <xf numFmtId="0" fontId="74" fillId="0" borderId="0" xfId="17" applyFont="1" applyFill="1" applyBorder="1" applyAlignment="1">
      <alignment horizontal="center" wrapText="1"/>
    </xf>
    <xf numFmtId="0" fontId="74" fillId="0" borderId="77" xfId="17" applyFont="1" applyFill="1" applyBorder="1" applyAlignment="1">
      <alignment horizontal="center" wrapText="1"/>
    </xf>
    <xf numFmtId="0" fontId="73" fillId="0" borderId="63" xfId="17" applyFont="1" applyFill="1" applyBorder="1" applyAlignment="1">
      <alignment horizontal="right" vertical="top" wrapText="1"/>
    </xf>
    <xf numFmtId="0" fontId="73" fillId="0" borderId="136" xfId="17" applyFont="1" applyFill="1" applyBorder="1" applyAlignment="1">
      <alignment horizontal="left" vertical="top" wrapText="1"/>
    </xf>
    <xf numFmtId="49" fontId="73" fillId="0" borderId="103" xfId="17" applyNumberFormat="1" applyFont="1" applyFill="1" applyBorder="1" applyAlignment="1">
      <alignment horizontal="center" vertical="top"/>
    </xf>
    <xf numFmtId="171" fontId="72" fillId="0" borderId="64" xfId="17" applyNumberFormat="1" applyFont="1" applyFill="1" applyBorder="1" applyAlignment="1">
      <alignment horizontal="right" vertical="center"/>
    </xf>
    <xf numFmtId="171" fontId="72" fillId="0" borderId="111" xfId="17" applyNumberFormat="1" applyFont="1" applyFill="1" applyBorder="1" applyAlignment="1">
      <alignment horizontal="right" vertical="center"/>
    </xf>
    <xf numFmtId="171" fontId="72" fillId="0" borderId="113" xfId="17" applyNumberFormat="1" applyFont="1" applyFill="1" applyBorder="1" applyAlignment="1">
      <alignment horizontal="right" vertical="center"/>
    </xf>
    <xf numFmtId="171" fontId="72" fillId="0" borderId="112" xfId="17" applyNumberFormat="1" applyFont="1" applyFill="1" applyBorder="1" applyAlignment="1">
      <alignment horizontal="right" vertical="center"/>
    </xf>
    <xf numFmtId="0" fontId="75" fillId="0" borderId="117" xfId="17" applyFont="1" applyFill="1" applyBorder="1" applyAlignment="1">
      <alignment horizontal="center" vertical="center" wrapText="1"/>
    </xf>
    <xf numFmtId="0" fontId="74" fillId="0" borderId="116" xfId="17" applyFont="1" applyFill="1" applyBorder="1" applyAlignment="1">
      <alignment horizontal="center" vertical="center" wrapText="1"/>
    </xf>
    <xf numFmtId="0" fontId="75" fillId="0" borderId="115" xfId="17" applyFont="1" applyFill="1" applyBorder="1" applyAlignment="1">
      <alignment horizontal="center" vertical="center" wrapText="1"/>
    </xf>
    <xf numFmtId="0" fontId="75" fillId="0" borderId="118" xfId="17" applyFont="1" applyFill="1" applyBorder="1" applyAlignment="1">
      <alignment horizontal="center" vertical="center" wrapText="1"/>
    </xf>
    <xf numFmtId="0" fontId="73" fillId="4" borderId="116" xfId="17" applyFont="1" applyFill="1" applyBorder="1" applyAlignment="1">
      <alignment horizontal="left" vertical="top" wrapText="1"/>
    </xf>
    <xf numFmtId="0" fontId="73" fillId="4" borderId="71" xfId="17" applyFont="1" applyFill="1" applyBorder="1" applyAlignment="1">
      <alignment horizontal="left" vertical="top" wrapText="1"/>
    </xf>
    <xf numFmtId="0" fontId="74" fillId="0" borderId="76" xfId="17" applyFont="1" applyFill="1" applyBorder="1" applyAlignment="1">
      <alignment horizontal="left" vertical="top" wrapText="1"/>
    </xf>
    <xf numFmtId="0" fontId="74" fillId="0" borderId="89" xfId="17" applyFont="1" applyFill="1" applyBorder="1" applyAlignment="1">
      <alignment horizontal="center" vertical="center" wrapText="1"/>
    </xf>
    <xf numFmtId="0" fontId="27" fillId="0" borderId="88" xfId="17" applyFill="1" applyBorder="1" applyAlignment="1">
      <alignment horizontal="left" vertical="top" wrapText="1"/>
    </xf>
    <xf numFmtId="0" fontId="27" fillId="0" borderId="89" xfId="17" applyFill="1" applyBorder="1" applyAlignment="1">
      <alignment horizontal="left" vertical="top" wrapText="1"/>
    </xf>
    <xf numFmtId="0" fontId="27" fillId="0" borderId="88" xfId="17" applyFont="1" applyFill="1" applyBorder="1" applyAlignment="1">
      <alignment horizontal="left" vertical="top" wrapText="1"/>
    </xf>
    <xf numFmtId="0" fontId="27" fillId="0" borderId="89" xfId="17" applyFont="1" applyFill="1" applyBorder="1" applyAlignment="1">
      <alignment horizontal="left" vertical="top" wrapText="1"/>
    </xf>
    <xf numFmtId="0" fontId="59" fillId="0" borderId="88" xfId="17" applyFont="1" applyFill="1" applyBorder="1" applyAlignment="1">
      <alignment horizontal="left" vertical="top" wrapText="1"/>
    </xf>
    <xf numFmtId="0" fontId="59" fillId="0" borderId="89" xfId="17" applyFont="1" applyFill="1" applyBorder="1" applyAlignment="1">
      <alignment horizontal="left" vertical="top" wrapText="1"/>
    </xf>
    <xf numFmtId="0" fontId="60" fillId="0" borderId="75" xfId="17" applyFont="1" applyFill="1" applyBorder="1" applyAlignment="1">
      <alignment horizontal="left"/>
    </xf>
    <xf numFmtId="0" fontId="60" fillId="0" borderId="0" xfId="17" applyFont="1" applyFill="1" applyAlignment="1">
      <alignment horizontal="left"/>
    </xf>
    <xf numFmtId="0" fontId="73" fillId="0" borderId="87" xfId="8" applyFont="1" applyFill="1" applyBorder="1" applyAlignment="1">
      <alignment horizontal="left" vertical="top" wrapText="1"/>
    </xf>
    <xf numFmtId="0" fontId="73" fillId="0" borderId="88" xfId="8" applyFont="1" applyFill="1" applyBorder="1" applyAlignment="1">
      <alignment horizontal="left" vertical="top" wrapText="1"/>
    </xf>
    <xf numFmtId="0" fontId="73" fillId="0" borderId="89" xfId="8" applyFont="1" applyFill="1" applyBorder="1" applyAlignment="1">
      <alignment horizontal="left" vertical="top" wrapText="1"/>
    </xf>
    <xf numFmtId="0" fontId="73" fillId="0" borderId="108" xfId="8" applyFont="1" applyFill="1" applyBorder="1" applyAlignment="1">
      <alignment horizontal="left" vertical="top" wrapText="1"/>
    </xf>
    <xf numFmtId="0" fontId="73" fillId="0" borderId="135" xfId="8" applyFont="1" applyFill="1" applyBorder="1" applyAlignment="1">
      <alignment horizontal="left" vertical="top" wrapText="1"/>
    </xf>
    <xf numFmtId="0" fontId="73" fillId="0" borderId="109" xfId="8" applyFont="1" applyFill="1" applyBorder="1" applyAlignment="1">
      <alignment horizontal="left" vertical="top" wrapText="1"/>
    </xf>
    <xf numFmtId="171" fontId="72" fillId="0" borderId="108" xfId="8" applyNumberFormat="1" applyFont="1" applyFill="1" applyBorder="1" applyAlignment="1">
      <alignment horizontal="right" vertical="center"/>
    </xf>
    <xf numFmtId="171" fontId="72" fillId="0" borderId="109" xfId="8" applyNumberFormat="1" applyFont="1" applyFill="1" applyBorder="1" applyAlignment="1">
      <alignment horizontal="right" vertical="center"/>
    </xf>
    <xf numFmtId="171" fontId="72" fillId="0" borderId="107" xfId="8" applyNumberFormat="1" applyFont="1" applyFill="1" applyBorder="1" applyAlignment="1">
      <alignment horizontal="right" vertical="center"/>
    </xf>
    <xf numFmtId="0" fontId="74" fillId="0" borderId="87" xfId="8" applyFont="1" applyFill="1" applyBorder="1" applyAlignment="1">
      <alignment horizontal="left" vertical="top" wrapText="1"/>
    </xf>
    <xf numFmtId="0" fontId="74" fillId="0" borderId="88" xfId="8" applyFont="1" applyFill="1" applyBorder="1" applyAlignment="1">
      <alignment horizontal="left" vertical="top" wrapText="1"/>
    </xf>
    <xf numFmtId="0" fontId="74" fillId="0" borderId="89" xfId="8" applyFont="1" applyFill="1" applyBorder="1" applyAlignment="1">
      <alignment horizontal="left" vertical="top" wrapText="1"/>
    </xf>
    <xf numFmtId="0" fontId="74" fillId="0" borderId="84" xfId="8" applyFont="1" applyFill="1" applyBorder="1" applyAlignment="1">
      <alignment horizontal="center" vertical="top" wrapText="1"/>
    </xf>
    <xf numFmtId="0" fontId="74" fillId="0" borderId="99" xfId="8" applyFont="1" applyFill="1" applyBorder="1" applyAlignment="1">
      <alignment horizontal="center" vertical="top" wrapText="1"/>
    </xf>
    <xf numFmtId="0" fontId="74" fillId="0" borderId="85" xfId="8" applyFont="1" applyFill="1" applyBorder="1" applyAlignment="1">
      <alignment horizontal="center" vertical="top" wrapText="1"/>
    </xf>
    <xf numFmtId="0" fontId="73" fillId="0" borderId="117" xfId="8" applyFont="1" applyFill="1" applyBorder="1" applyAlignment="1">
      <alignment horizontal="right" vertical="top" wrapText="1"/>
    </xf>
    <xf numFmtId="0" fontId="73" fillId="0" borderId="43" xfId="8" quotePrefix="1" applyFont="1" applyFill="1" applyBorder="1" applyAlignment="1">
      <alignment horizontal="left" vertical="top" wrapText="1"/>
    </xf>
    <xf numFmtId="0" fontId="73" fillId="0" borderId="117" xfId="8" applyFont="1" applyFill="1" applyBorder="1" applyAlignment="1">
      <alignment horizontal="left" vertical="top" wrapText="1"/>
    </xf>
    <xf numFmtId="0" fontId="73" fillId="0" borderId="70" xfId="8" applyFont="1" applyFill="1" applyBorder="1" applyAlignment="1">
      <alignment horizontal="left" vertical="top" wrapText="1"/>
    </xf>
    <xf numFmtId="0" fontId="74" fillId="0" borderId="117" xfId="8" applyFont="1" applyFill="1" applyBorder="1" applyAlignment="1">
      <alignment horizontal="left" vertical="top" wrapText="1"/>
    </xf>
    <xf numFmtId="0" fontId="74" fillId="0" borderId="70" xfId="8" applyFont="1" applyFill="1" applyBorder="1" applyAlignment="1">
      <alignment horizontal="left" vertical="top" wrapText="1"/>
    </xf>
    <xf numFmtId="0" fontId="75" fillId="0" borderId="145" xfId="8" applyFont="1" applyFill="1" applyBorder="1" applyAlignment="1">
      <alignment horizontal="center" vertical="center" wrapText="1"/>
    </xf>
    <xf numFmtId="0" fontId="74" fillId="0" borderId="76" xfId="8" applyFont="1" applyFill="1" applyBorder="1" applyAlignment="1">
      <alignment horizontal="center" vertical="center" wrapText="1"/>
    </xf>
    <xf numFmtId="0" fontId="75" fillId="0" borderId="76" xfId="8" applyFont="1" applyFill="1" applyBorder="1" applyAlignment="1">
      <alignment horizontal="center" vertical="center" wrapText="1"/>
    </xf>
    <xf numFmtId="1" fontId="74" fillId="0" borderId="71" xfId="8" applyNumberFormat="1" applyFont="1" applyFill="1" applyBorder="1" applyAlignment="1">
      <alignment horizontal="center" vertical="center"/>
    </xf>
    <xf numFmtId="0" fontId="74" fillId="0" borderId="117" xfId="8" quotePrefix="1" applyFont="1" applyFill="1" applyBorder="1" applyAlignment="1">
      <alignment horizontal="right" vertical="top" wrapText="1"/>
    </xf>
    <xf numFmtId="171" fontId="72" fillId="0" borderId="71" xfId="8" applyNumberFormat="1" applyFont="1" applyFill="1" applyBorder="1" applyAlignment="1">
      <alignment horizontal="right" vertical="center"/>
    </xf>
    <xf numFmtId="0" fontId="73" fillId="0" borderId="116" xfId="8" applyFont="1" applyFill="1" applyBorder="1" applyAlignment="1">
      <alignment horizontal="left" vertical="top" wrapText="1"/>
    </xf>
    <xf numFmtId="0" fontId="73" fillId="0" borderId="117" xfId="8" applyFont="1" applyFill="1" applyBorder="1" applyAlignment="1">
      <alignment horizontal="center" vertical="top" wrapText="1"/>
    </xf>
    <xf numFmtId="0" fontId="73" fillId="0" borderId="70" xfId="8" applyFont="1" applyFill="1" applyBorder="1" applyAlignment="1">
      <alignment horizontal="center" vertical="top" wrapText="1"/>
    </xf>
    <xf numFmtId="0" fontId="73" fillId="0" borderId="76" xfId="8" applyFont="1" applyFill="1" applyBorder="1" applyAlignment="1">
      <alignment horizontal="left" vertical="top" wrapText="1"/>
    </xf>
    <xf numFmtId="0" fontId="73" fillId="0" borderId="117" xfId="8" quotePrefix="1" applyFont="1" applyFill="1" applyBorder="1" applyAlignment="1">
      <alignment horizontal="left" vertical="top" wrapText="1"/>
    </xf>
    <xf numFmtId="0" fontId="73" fillId="0" borderId="70" xfId="8" quotePrefix="1" applyFont="1" applyFill="1" applyBorder="1" applyAlignment="1">
      <alignment horizontal="left" vertical="top" wrapText="1"/>
    </xf>
    <xf numFmtId="0" fontId="74" fillId="0" borderId="117" xfId="8" quotePrefix="1" applyFont="1" applyFill="1" applyBorder="1" applyAlignment="1">
      <alignment horizontal="left" vertical="top" wrapText="1"/>
    </xf>
    <xf numFmtId="0" fontId="74" fillId="0" borderId="70" xfId="8" quotePrefix="1" applyFont="1" applyFill="1" applyBorder="1" applyAlignment="1">
      <alignment horizontal="left" vertical="top" wrapText="1"/>
    </xf>
    <xf numFmtId="0" fontId="73" fillId="0" borderId="117" xfId="8" quotePrefix="1" applyFont="1" applyFill="1" applyBorder="1" applyAlignment="1">
      <alignment horizontal="center" vertical="top" wrapText="1"/>
    </xf>
    <xf numFmtId="0" fontId="73" fillId="0" borderId="70" xfId="8" quotePrefix="1" applyFont="1" applyFill="1" applyBorder="1" applyAlignment="1">
      <alignment horizontal="center" vertical="top" wrapText="1"/>
    </xf>
    <xf numFmtId="171" fontId="72" fillId="0" borderId="85" xfId="8" applyNumberFormat="1" applyFont="1" applyFill="1" applyBorder="1" applyAlignment="1">
      <alignment horizontal="right" vertical="center"/>
    </xf>
    <xf numFmtId="49" fontId="73" fillId="0" borderId="116" xfId="8" applyNumberFormat="1" applyFont="1" applyFill="1" applyBorder="1" applyAlignment="1">
      <alignment horizontal="center" vertical="top"/>
    </xf>
    <xf numFmtId="171" fontId="72" fillId="0" borderId="115" xfId="8" applyNumberFormat="1" applyFont="1" applyFill="1" applyBorder="1" applyAlignment="1">
      <alignment horizontal="right" vertical="center"/>
    </xf>
    <xf numFmtId="171" fontId="72" fillId="0" borderId="119" xfId="8" applyNumberFormat="1" applyFont="1" applyFill="1" applyBorder="1" applyAlignment="1">
      <alignment horizontal="right" vertical="center"/>
    </xf>
    <xf numFmtId="171" fontId="72" fillId="0" borderId="118" xfId="8" applyNumberFormat="1" applyFont="1" applyFill="1" applyBorder="1" applyAlignment="1">
      <alignment horizontal="right" vertical="center"/>
    </xf>
    <xf numFmtId="49" fontId="74" fillId="0" borderId="116" xfId="8" applyNumberFormat="1" applyFont="1" applyFill="1" applyBorder="1" applyAlignment="1">
      <alignment horizontal="center" vertical="top"/>
    </xf>
    <xf numFmtId="49" fontId="74" fillId="0" borderId="71" xfId="8" applyNumberFormat="1" applyFont="1" applyFill="1" applyBorder="1" applyAlignment="1">
      <alignment horizontal="center" vertical="top"/>
    </xf>
    <xf numFmtId="0" fontId="74" fillId="0" borderId="117" xfId="8" applyFont="1" applyFill="1" applyBorder="1" applyAlignment="1">
      <alignment horizontal="left" vertical="center"/>
    </xf>
    <xf numFmtId="0" fontId="74" fillId="0" borderId="70" xfId="8" applyFont="1" applyFill="1" applyBorder="1" applyAlignment="1">
      <alignment horizontal="left" vertical="center"/>
    </xf>
    <xf numFmtId="0" fontId="74" fillId="0" borderId="71" xfId="8" applyFont="1" applyFill="1" applyBorder="1" applyAlignment="1">
      <alignment horizontal="left" vertical="top" wrapText="1"/>
    </xf>
    <xf numFmtId="0" fontId="60" fillId="0" borderId="87" xfId="8" applyFont="1" applyFill="1" applyBorder="1" applyAlignment="1">
      <alignment horizontal="center" vertical="center"/>
    </xf>
    <xf numFmtId="0" fontId="60" fillId="0" borderId="89" xfId="8" applyFont="1" applyFill="1" applyBorder="1" applyAlignment="1">
      <alignment horizontal="center" vertical="center"/>
    </xf>
    <xf numFmtId="0" fontId="72" fillId="0" borderId="87" xfId="8" applyFont="1" applyFill="1" applyBorder="1" applyAlignment="1">
      <alignment horizontal="left" vertical="center"/>
    </xf>
    <xf numFmtId="0" fontId="27" fillId="0" borderId="88" xfId="8" applyBorder="1" applyAlignment="1">
      <alignment horizontal="left" vertical="center"/>
    </xf>
    <xf numFmtId="0" fontId="27" fillId="0" borderId="89" xfId="8" applyBorder="1" applyAlignment="1">
      <alignment horizontal="left" vertical="center"/>
    </xf>
    <xf numFmtId="0" fontId="75" fillId="0" borderId="124" xfId="8" applyFont="1" applyFill="1" applyBorder="1" applyAlignment="1">
      <alignment horizontal="center" vertical="center" wrapText="1"/>
    </xf>
    <xf numFmtId="0" fontId="74" fillId="0" borderId="136" xfId="8" applyFont="1" applyFill="1" applyBorder="1" applyAlignment="1">
      <alignment horizontal="center" vertical="center" wrapText="1"/>
    </xf>
    <xf numFmtId="0" fontId="75" fillId="0" borderId="136" xfId="8" applyFont="1" applyFill="1" applyBorder="1" applyAlignment="1">
      <alignment horizontal="center" vertical="center" wrapText="1"/>
    </xf>
    <xf numFmtId="0" fontId="27" fillId="0" borderId="97" xfId="8" applyFill="1" applyBorder="1" applyAlignment="1">
      <alignment vertical="center"/>
    </xf>
    <xf numFmtId="0" fontId="27" fillId="0" borderId="91" xfId="8" applyFill="1" applyBorder="1" applyAlignment="1">
      <alignment vertical="center"/>
    </xf>
    <xf numFmtId="0" fontId="60" fillId="0" borderId="115" xfId="8" applyFont="1" applyFill="1" applyBorder="1" applyAlignment="1">
      <alignment horizontal="left" wrapText="1"/>
    </xf>
    <xf numFmtId="0" fontId="60" fillId="0" borderId="75" xfId="8" applyFont="1" applyFill="1" applyBorder="1" applyAlignment="1">
      <alignment horizontal="left" wrapText="1"/>
    </xf>
    <xf numFmtId="0" fontId="60" fillId="0" borderId="106" xfId="8" applyFont="1" applyFill="1" applyBorder="1" applyAlignment="1">
      <alignment horizontal="left" wrapText="1"/>
    </xf>
    <xf numFmtId="0" fontId="73" fillId="0" borderId="0" xfId="17" applyFont="1" applyFill="1" applyAlignment="1">
      <alignment horizontal="left" vertical="center" wrapText="1"/>
    </xf>
    <xf numFmtId="0" fontId="19" fillId="0" borderId="87" xfId="0" applyFont="1" applyBorder="1" applyAlignment="1">
      <alignment horizontal="left" vertical="center" wrapText="1"/>
    </xf>
    <xf numFmtId="0" fontId="6" fillId="0" borderId="98" xfId="0" applyFont="1" applyBorder="1" applyAlignment="1">
      <alignment horizontal="left" vertical="center" wrapText="1"/>
    </xf>
    <xf numFmtId="0" fontId="6" fillId="0" borderId="101" xfId="0" applyFont="1" applyBorder="1" applyAlignment="1">
      <alignment horizontal="left" vertical="center" wrapText="1"/>
    </xf>
    <xf numFmtId="0" fontId="6" fillId="0" borderId="121" xfId="0" applyFont="1" applyBorder="1" applyAlignment="1">
      <alignment horizontal="left" vertical="center" wrapText="1"/>
    </xf>
    <xf numFmtId="0" fontId="1" fillId="0" borderId="96" xfId="0" applyFont="1" applyBorder="1" applyAlignment="1">
      <alignment horizontal="left" vertical="center" wrapText="1"/>
    </xf>
    <xf numFmtId="3" fontId="1" fillId="0" borderId="72" xfId="0" applyNumberFormat="1" applyFont="1" applyBorder="1" applyAlignment="1">
      <alignment horizontal="right" vertical="center"/>
    </xf>
    <xf numFmtId="3" fontId="1" fillId="0" borderId="73" xfId="0" applyNumberFormat="1" applyFont="1" applyBorder="1" applyAlignment="1">
      <alignment horizontal="right" vertical="center"/>
    </xf>
    <xf numFmtId="3" fontId="1" fillId="0" borderId="74" xfId="0" applyNumberFormat="1" applyFont="1" applyBorder="1" applyAlignment="1">
      <alignment horizontal="right" vertical="center"/>
    </xf>
    <xf numFmtId="0" fontId="1" fillId="0" borderId="92" xfId="0" applyFont="1" applyBorder="1" applyAlignment="1">
      <alignment horizontal="left" vertical="center" wrapText="1"/>
    </xf>
    <xf numFmtId="3" fontId="1" fillId="0" borderId="63" xfId="0" applyNumberFormat="1" applyFont="1" applyFill="1" applyBorder="1" applyAlignment="1">
      <alignment horizontal="right" vertical="center"/>
    </xf>
    <xf numFmtId="3" fontId="1" fillId="0" borderId="64" xfId="0" applyNumberFormat="1" applyFont="1" applyFill="1" applyBorder="1" applyAlignment="1">
      <alignment horizontal="right" vertical="center"/>
    </xf>
    <xf numFmtId="3" fontId="1" fillId="0" borderId="65" xfId="0" applyNumberFormat="1" applyFont="1" applyFill="1" applyBorder="1" applyAlignment="1">
      <alignment horizontal="right" vertical="center"/>
    </xf>
    <xf numFmtId="3" fontId="1" fillId="0" borderId="94" xfId="0" applyNumberFormat="1" applyFont="1" applyBorder="1" applyAlignment="1">
      <alignment horizontal="right" vertical="center"/>
    </xf>
    <xf numFmtId="0" fontId="6" fillId="0" borderId="130" xfId="0" applyFont="1" applyBorder="1" applyAlignment="1">
      <alignment horizontal="left" vertical="center"/>
    </xf>
    <xf numFmtId="0" fontId="19" fillId="0" borderId="63" xfId="0" applyFont="1" applyBorder="1" applyAlignment="1">
      <alignment horizontal="left" vertical="center" wrapText="1"/>
    </xf>
    <xf numFmtId="0" fontId="19" fillId="0" borderId="64" xfId="0" applyFont="1" applyBorder="1" applyAlignment="1">
      <alignment horizontal="left" vertical="center" wrapText="1"/>
    </xf>
    <xf numFmtId="0" fontId="19" fillId="0" borderId="111" xfId="0" applyFont="1" applyBorder="1" applyAlignment="1">
      <alignment horizontal="left" vertical="center" wrapText="1"/>
    </xf>
    <xf numFmtId="0" fontId="19" fillId="0" borderId="125" xfId="0" applyFont="1" applyBorder="1" applyAlignment="1">
      <alignment horizontal="left" vertical="center" wrapText="1"/>
    </xf>
    <xf numFmtId="3" fontId="19" fillId="0" borderId="125" xfId="0" applyNumberFormat="1" applyFont="1" applyBorder="1" applyAlignment="1">
      <alignment horizontal="right" vertical="center"/>
    </xf>
    <xf numFmtId="3" fontId="19" fillId="0" borderId="72" xfId="0" applyNumberFormat="1" applyFont="1" applyBorder="1" applyAlignment="1">
      <alignment horizontal="right" vertical="center"/>
    </xf>
    <xf numFmtId="3" fontId="19" fillId="0" borderId="73" xfId="0" applyNumberFormat="1" applyFont="1" applyBorder="1" applyAlignment="1">
      <alignment horizontal="right" vertical="center"/>
    </xf>
    <xf numFmtId="3" fontId="19" fillId="0" borderId="74" xfId="0" applyNumberFormat="1" applyFont="1" applyBorder="1" applyAlignment="1">
      <alignment horizontal="right" vertical="center"/>
    </xf>
    <xf numFmtId="3" fontId="19" fillId="2" borderId="125" xfId="0" applyNumberFormat="1" applyFont="1" applyFill="1" applyBorder="1" applyAlignment="1">
      <alignment horizontal="right" vertical="center"/>
    </xf>
    <xf numFmtId="3" fontId="20" fillId="0" borderId="126" xfId="0" applyNumberFormat="1" applyFont="1" applyBorder="1" applyAlignment="1">
      <alignment horizontal="right" vertical="center"/>
    </xf>
    <xf numFmtId="3" fontId="20" fillId="0" borderId="65" xfId="0" applyNumberFormat="1" applyFont="1" applyBorder="1" applyAlignment="1">
      <alignment horizontal="right" vertical="center"/>
    </xf>
    <xf numFmtId="0" fontId="20" fillId="0" borderId="126" xfId="0" applyFont="1" applyBorder="1" applyAlignment="1">
      <alignment horizontal="center" vertical="center"/>
    </xf>
    <xf numFmtId="0" fontId="20" fillId="0" borderId="130" xfId="0" applyFont="1" applyBorder="1" applyAlignment="1">
      <alignment horizontal="center" vertical="center"/>
    </xf>
    <xf numFmtId="0" fontId="54" fillId="0" borderId="0" xfId="0" applyFont="1" applyAlignment="1">
      <alignment horizontal="left" vertical="top"/>
    </xf>
    <xf numFmtId="0" fontId="20" fillId="0" borderId="125" xfId="0" applyFont="1" applyBorder="1" applyAlignment="1">
      <alignment horizontal="center" vertical="center"/>
    </xf>
    <xf numFmtId="0" fontId="54" fillId="0" borderId="0" xfId="0" applyFont="1" applyAlignment="1">
      <alignment horizontal="left" wrapText="1"/>
    </xf>
    <xf numFmtId="0" fontId="10" fillId="0" borderId="0" xfId="0" applyFont="1" applyAlignment="1">
      <alignment horizontal="left" vertical="top" wrapText="1"/>
    </xf>
    <xf numFmtId="3" fontId="20" fillId="0" borderId="90" xfId="0" applyNumberFormat="1" applyFont="1" applyBorder="1" applyAlignment="1">
      <alignment horizontal="right" vertical="center"/>
    </xf>
    <xf numFmtId="0" fontId="6" fillId="0" borderId="122" xfId="0" applyFont="1" applyBorder="1" applyAlignment="1">
      <alignment horizontal="left" vertical="center" wrapText="1"/>
    </xf>
    <xf numFmtId="0" fontId="6" fillId="0" borderId="101" xfId="0" applyFont="1" applyFill="1" applyBorder="1" applyAlignment="1">
      <alignment horizontal="left" vertical="center" wrapText="1"/>
    </xf>
    <xf numFmtId="0" fontId="4" fillId="0" borderId="101" xfId="0" applyFont="1" applyFill="1" applyBorder="1" applyAlignment="1">
      <alignment horizontal="left" vertical="center" wrapText="1"/>
    </xf>
    <xf numFmtId="0" fontId="10" fillId="0" borderId="0" xfId="0" applyFont="1" applyAlignment="1">
      <alignment horizontal="left"/>
    </xf>
    <xf numFmtId="3" fontId="20" fillId="0" borderId="125" xfId="0" applyNumberFormat="1" applyFont="1" applyBorder="1" applyAlignment="1">
      <alignment horizontal="right" vertical="center" wrapText="1"/>
    </xf>
    <xf numFmtId="3" fontId="20" fillId="0" borderId="101" xfId="0" applyNumberFormat="1" applyFont="1" applyBorder="1" applyAlignment="1">
      <alignment horizontal="right" vertical="center" wrapText="1"/>
    </xf>
    <xf numFmtId="3" fontId="20" fillId="0" borderId="88" xfId="0" applyNumberFormat="1" applyFont="1" applyBorder="1" applyAlignment="1">
      <alignment horizontal="right" vertical="center" wrapText="1"/>
    </xf>
    <xf numFmtId="3" fontId="20" fillId="0" borderId="102" xfId="0" applyNumberFormat="1" applyFont="1" applyBorder="1" applyAlignment="1">
      <alignment horizontal="right" vertical="center" wrapText="1"/>
    </xf>
    <xf numFmtId="3" fontId="19" fillId="0" borderId="101" xfId="0" applyNumberFormat="1" applyFont="1" applyBorder="1" applyAlignment="1">
      <alignment horizontal="right" vertical="center" wrapText="1"/>
    </xf>
    <xf numFmtId="3" fontId="19" fillId="0" borderId="88" xfId="0" applyNumberFormat="1" applyFont="1" applyBorder="1" applyAlignment="1">
      <alignment horizontal="right" vertical="center" wrapText="1"/>
    </xf>
    <xf numFmtId="3" fontId="19" fillId="0" borderId="102" xfId="0" applyNumberFormat="1" applyFont="1" applyBorder="1" applyAlignment="1">
      <alignment horizontal="right" vertical="center" wrapText="1"/>
    </xf>
    <xf numFmtId="0" fontId="6" fillId="0" borderId="92" xfId="0" applyFont="1" applyBorder="1" applyAlignment="1">
      <alignment horizontal="left" vertical="center" wrapText="1"/>
    </xf>
    <xf numFmtId="3" fontId="19" fillId="4" borderId="130" xfId="0" applyNumberFormat="1" applyFont="1" applyFill="1" applyBorder="1" applyAlignment="1">
      <alignment horizontal="right" vertical="center" wrapText="1"/>
    </xf>
    <xf numFmtId="0" fontId="6" fillId="0" borderId="130" xfId="0" applyFont="1" applyBorder="1" applyAlignment="1">
      <alignment horizontal="left" vertical="center" wrapText="1"/>
    </xf>
    <xf numFmtId="0" fontId="1" fillId="0" borderId="128" xfId="0" applyFont="1" applyBorder="1" applyAlignment="1">
      <alignment horizontal="center"/>
    </xf>
    <xf numFmtId="0" fontId="20" fillId="0" borderId="128" xfId="0" applyFont="1" applyBorder="1" applyAlignment="1">
      <alignment horizontal="center"/>
    </xf>
    <xf numFmtId="0" fontId="7" fillId="0" borderId="0" xfId="0" quotePrefix="1" applyFont="1" applyAlignment="1">
      <alignment horizontal="left" vertical="top" wrapText="1"/>
    </xf>
    <xf numFmtId="0" fontId="20" fillId="0" borderId="139" xfId="0" applyFont="1" applyBorder="1" applyAlignment="1">
      <alignment horizontal="left" vertical="center" wrapText="1"/>
    </xf>
    <xf numFmtId="0" fontId="1" fillId="0" borderId="122" xfId="0" applyFont="1" applyBorder="1" applyAlignment="1">
      <alignment horizontal="center" vertical="center"/>
    </xf>
    <xf numFmtId="0" fontId="5" fillId="0" borderId="113" xfId="0" applyFont="1" applyBorder="1" applyAlignment="1">
      <alignment horizontal="center" vertical="center"/>
    </xf>
    <xf numFmtId="0" fontId="5" fillId="0" borderId="110" xfId="0" applyFont="1" applyBorder="1" applyAlignment="1">
      <alignment horizontal="center" vertical="center"/>
    </xf>
    <xf numFmtId="0" fontId="5" fillId="0" borderId="122" xfId="0" applyFont="1" applyBorder="1" applyAlignment="1">
      <alignment horizontal="center" vertical="center"/>
    </xf>
    <xf numFmtId="3" fontId="19" fillId="0" borderId="128" xfId="0" applyNumberFormat="1" applyFont="1" applyBorder="1" applyAlignment="1">
      <alignment horizontal="right" vertical="center"/>
    </xf>
    <xf numFmtId="0" fontId="3" fillId="0" borderId="72" xfId="0" applyFont="1" applyBorder="1" applyAlignment="1">
      <alignment horizontal="left" vertical="center" wrapText="1"/>
    </xf>
    <xf numFmtId="0" fontId="20" fillId="0" borderId="73" xfId="0" applyFont="1" applyBorder="1" applyAlignment="1">
      <alignment horizontal="left" vertical="center" wrapText="1"/>
    </xf>
    <xf numFmtId="0" fontId="20" fillId="0" borderId="108" xfId="0" applyFont="1" applyBorder="1" applyAlignment="1">
      <alignment horizontal="left" vertical="center" wrapText="1"/>
    </xf>
    <xf numFmtId="3" fontId="20" fillId="0" borderId="72" xfId="0" applyNumberFormat="1" applyFont="1" applyBorder="1" applyAlignment="1">
      <alignment horizontal="right" vertical="center"/>
    </xf>
    <xf numFmtId="3" fontId="20" fillId="0" borderId="73" xfId="0" applyNumberFormat="1" applyFont="1" applyBorder="1" applyAlignment="1">
      <alignment horizontal="right" vertical="center"/>
    </xf>
    <xf numFmtId="3" fontId="20" fillId="0" borderId="74" xfId="0" applyNumberFormat="1" applyFont="1" applyBorder="1" applyAlignment="1">
      <alignment horizontal="right" vertical="center"/>
    </xf>
    <xf numFmtId="3" fontId="20" fillId="2" borderId="87" xfId="0" applyNumberFormat="1" applyFont="1" applyFill="1" applyBorder="1" applyAlignment="1">
      <alignment horizontal="right" vertical="center"/>
    </xf>
    <xf numFmtId="0" fontId="6" fillId="0" borderId="66" xfId="0" applyFont="1" applyBorder="1" applyAlignment="1">
      <alignment horizontal="left" vertical="center" wrapText="1"/>
    </xf>
    <xf numFmtId="0" fontId="20" fillId="0" borderId="87" xfId="0" applyFont="1" applyBorder="1" applyAlignment="1">
      <alignment horizontal="left" vertical="center" wrapText="1"/>
    </xf>
    <xf numFmtId="3" fontId="19" fillId="2" borderId="63" xfId="0" applyNumberFormat="1" applyFont="1" applyFill="1" applyBorder="1" applyAlignment="1">
      <alignment horizontal="right" vertical="center"/>
    </xf>
    <xf numFmtId="3" fontId="19" fillId="2" borderId="64" xfId="0" applyNumberFormat="1" applyFont="1" applyFill="1" applyBorder="1" applyAlignment="1">
      <alignment horizontal="right" vertical="center"/>
    </xf>
    <xf numFmtId="3" fontId="19" fillId="2" borderId="65" xfId="0" applyNumberFormat="1" applyFont="1" applyFill="1" applyBorder="1" applyAlignment="1">
      <alignment horizontal="right" vertical="center"/>
    </xf>
    <xf numFmtId="3" fontId="20" fillId="0" borderId="91" xfId="0" applyNumberFormat="1" applyFont="1" applyBorder="1" applyAlignment="1">
      <alignment horizontal="right" vertical="center"/>
    </xf>
    <xf numFmtId="3" fontId="20" fillId="0" borderId="133" xfId="0" applyNumberFormat="1" applyFont="1" applyBorder="1" applyAlignment="1">
      <alignment horizontal="right" vertical="center"/>
    </xf>
    <xf numFmtId="3" fontId="20" fillId="0" borderId="132" xfId="0" applyNumberFormat="1" applyFont="1" applyBorder="1" applyAlignment="1">
      <alignment horizontal="right" vertical="center"/>
    </xf>
    <xf numFmtId="3" fontId="20" fillId="2" borderId="132" xfId="0" applyNumberFormat="1" applyFont="1" applyFill="1" applyBorder="1" applyAlignment="1">
      <alignment horizontal="right" vertical="center"/>
    </xf>
    <xf numFmtId="3" fontId="20" fillId="2" borderId="91" xfId="0" applyNumberFormat="1" applyFont="1" applyFill="1" applyBorder="1" applyAlignment="1">
      <alignment horizontal="right" vertical="center"/>
    </xf>
    <xf numFmtId="3" fontId="20" fillId="2" borderId="17" xfId="0" applyNumberFormat="1" applyFont="1" applyFill="1" applyBorder="1" applyAlignment="1">
      <alignment horizontal="right" vertical="center"/>
    </xf>
    <xf numFmtId="0" fontId="19" fillId="0" borderId="90" xfId="0" applyFont="1" applyBorder="1" applyAlignment="1">
      <alignment horizontal="left" vertical="center"/>
    </xf>
    <xf numFmtId="0" fontId="19" fillId="0" borderId="91" xfId="0" applyFont="1" applyBorder="1" applyAlignment="1">
      <alignment horizontal="left" vertical="center"/>
    </xf>
    <xf numFmtId="0" fontId="19" fillId="0" borderId="17" xfId="0" applyFont="1" applyBorder="1" applyAlignment="1">
      <alignment horizontal="left" vertical="center"/>
    </xf>
    <xf numFmtId="3" fontId="20" fillId="0" borderId="17" xfId="0" applyNumberFormat="1" applyFont="1" applyBorder="1" applyAlignment="1">
      <alignment horizontal="right" vertical="center"/>
    </xf>
    <xf numFmtId="3" fontId="20" fillId="2" borderId="121" xfId="0" applyNumberFormat="1" applyFont="1" applyFill="1" applyBorder="1" applyAlignment="1">
      <alignment horizontal="right" vertical="center"/>
    </xf>
    <xf numFmtId="3" fontId="20" fillId="2" borderId="135" xfId="0" applyNumberFormat="1" applyFont="1" applyFill="1" applyBorder="1" applyAlignment="1">
      <alignment horizontal="right" vertical="center"/>
    </xf>
    <xf numFmtId="3" fontId="20" fillId="2" borderId="107" xfId="0" applyNumberFormat="1" applyFont="1" applyFill="1" applyBorder="1" applyAlignment="1">
      <alignment horizontal="right" vertical="center"/>
    </xf>
    <xf numFmtId="3" fontId="20" fillId="0" borderId="100" xfId="0" applyNumberFormat="1" applyFont="1" applyBorder="1" applyAlignment="1">
      <alignment horizontal="right"/>
    </xf>
    <xf numFmtId="3" fontId="20" fillId="0" borderId="139" xfId="0" applyNumberFormat="1" applyFont="1" applyBorder="1" applyAlignment="1">
      <alignment horizontal="right"/>
    </xf>
    <xf numFmtId="0" fontId="20" fillId="0" borderId="138" xfId="0" applyFont="1" applyBorder="1" applyAlignment="1">
      <alignment horizontal="left" vertical="center" wrapText="1"/>
    </xf>
    <xf numFmtId="3" fontId="20" fillId="0" borderId="138" xfId="0" applyNumberFormat="1" applyFont="1" applyBorder="1" applyAlignment="1">
      <alignment horizontal="right"/>
    </xf>
    <xf numFmtId="3" fontId="20" fillId="0" borderId="117" xfId="0" applyNumberFormat="1" applyFont="1" applyBorder="1" applyAlignment="1">
      <alignment horizontal="right"/>
    </xf>
    <xf numFmtId="3" fontId="20" fillId="0" borderId="140" xfId="0" applyNumberFormat="1" applyFont="1" applyBorder="1" applyAlignment="1">
      <alignment horizontal="right"/>
    </xf>
    <xf numFmtId="3" fontId="19" fillId="0" borderId="131" xfId="0" applyNumberFormat="1" applyFont="1" applyBorder="1" applyAlignment="1">
      <alignment horizontal="right" vertical="center"/>
    </xf>
    <xf numFmtId="3" fontId="20" fillId="0" borderId="125" xfId="0" applyNumberFormat="1" applyFont="1" applyBorder="1" applyAlignment="1">
      <alignment horizontal="right"/>
    </xf>
    <xf numFmtId="3" fontId="20" fillId="0" borderId="72" xfId="0" applyNumberFormat="1" applyFont="1" applyBorder="1" applyAlignment="1">
      <alignment horizontal="right"/>
    </xf>
    <xf numFmtId="3" fontId="20" fillId="0" borderId="107" xfId="0" applyNumberFormat="1" applyFont="1" applyBorder="1" applyAlignment="1">
      <alignment horizontal="right"/>
    </xf>
    <xf numFmtId="0" fontId="20" fillId="0" borderId="122" xfId="0" applyFont="1" applyBorder="1" applyAlignment="1">
      <alignment horizontal="left" vertical="center"/>
    </xf>
    <xf numFmtId="0" fontId="20" fillId="0" borderId="113" xfId="0" applyFont="1" applyBorder="1" applyAlignment="1">
      <alignment horizontal="left" vertical="center"/>
    </xf>
    <xf numFmtId="0" fontId="20" fillId="0" borderId="110" xfId="0" applyFont="1" applyBorder="1" applyAlignment="1">
      <alignment horizontal="left" vertical="center"/>
    </xf>
    <xf numFmtId="0" fontId="6" fillId="0" borderId="128" xfId="0" applyFont="1" applyBorder="1" applyAlignment="1">
      <alignment horizontal="left" vertical="center" wrapText="1"/>
    </xf>
    <xf numFmtId="3" fontId="20" fillId="0" borderId="138" xfId="0" applyNumberFormat="1" applyFont="1" applyBorder="1" applyAlignment="1">
      <alignment horizontal="center"/>
    </xf>
    <xf numFmtId="3" fontId="20" fillId="0" borderId="117" xfId="0" applyNumberFormat="1" applyFont="1" applyBorder="1" applyAlignment="1">
      <alignment horizontal="center"/>
    </xf>
    <xf numFmtId="3" fontId="20" fillId="0" borderId="140" xfId="0" applyNumberFormat="1" applyFont="1" applyBorder="1" applyAlignment="1">
      <alignment horizontal="center"/>
    </xf>
    <xf numFmtId="0" fontId="20" fillId="0" borderId="102" xfId="0" applyFont="1" applyBorder="1" applyAlignment="1">
      <alignment horizontal="center" vertical="center"/>
    </xf>
    <xf numFmtId="3" fontId="20" fillId="0" borderId="130" xfId="0" applyNumberFormat="1" applyFont="1" applyBorder="1" applyAlignment="1">
      <alignment horizontal="center" vertical="center"/>
    </xf>
    <xf numFmtId="0" fontId="6" fillId="0" borderId="126" xfId="0" applyFont="1" applyBorder="1" applyAlignment="1">
      <alignment horizontal="left" vertical="center" wrapText="1"/>
    </xf>
    <xf numFmtId="3" fontId="20" fillId="0" borderId="94" xfId="0" applyNumberFormat="1" applyFont="1" applyBorder="1" applyAlignment="1">
      <alignment horizontal="center" vertical="center"/>
    </xf>
    <xf numFmtId="3" fontId="20" fillId="0" borderId="128" xfId="0" applyNumberFormat="1" applyFont="1" applyBorder="1" applyAlignment="1">
      <alignment horizontal="center" vertical="center"/>
    </xf>
    <xf numFmtId="0" fontId="6" fillId="0" borderId="129" xfId="0" applyFont="1" applyBorder="1" applyAlignment="1">
      <alignment horizontal="left" vertical="center" wrapText="1"/>
    </xf>
    <xf numFmtId="0" fontId="7" fillId="0" borderId="0" xfId="0" applyFont="1" applyAlignment="1">
      <alignment horizontal="left" wrapText="1"/>
    </xf>
    <xf numFmtId="0" fontId="6" fillId="0" borderId="37" xfId="0" applyFont="1" applyBorder="1" applyAlignment="1">
      <alignment horizontal="left" vertical="center" wrapText="1"/>
    </xf>
    <xf numFmtId="0" fontId="3" fillId="0" borderId="126" xfId="0" applyFont="1" applyBorder="1" applyAlignment="1">
      <alignment horizontal="left" vertical="center" wrapText="1"/>
    </xf>
    <xf numFmtId="0" fontId="6" fillId="0" borderId="90" xfId="0" applyFont="1" applyBorder="1" applyAlignment="1">
      <alignment horizontal="left" vertical="center"/>
    </xf>
    <xf numFmtId="0" fontId="6" fillId="0" borderId="37" xfId="0" applyFont="1" applyBorder="1" applyAlignment="1">
      <alignment horizontal="left" vertical="center"/>
    </xf>
    <xf numFmtId="0" fontId="7" fillId="0" borderId="0" xfId="0" applyFont="1" applyFill="1" applyAlignment="1">
      <alignment horizontal="left" vertical="center"/>
    </xf>
    <xf numFmtId="0" fontId="12" fillId="0" borderId="0" xfId="0" applyFont="1" applyAlignment="1">
      <alignment horizontal="justify" vertical="top"/>
    </xf>
    <xf numFmtId="0" fontId="3" fillId="0" borderId="0" xfId="0" applyFont="1" applyAlignment="1">
      <alignment horizontal="left"/>
    </xf>
    <xf numFmtId="0" fontId="6" fillId="0" borderId="99" xfId="0" applyFont="1" applyBorder="1" applyAlignment="1">
      <alignment horizontal="left"/>
    </xf>
    <xf numFmtId="0" fontId="6" fillId="0" borderId="0" xfId="0" applyFont="1" applyAlignment="1">
      <alignment horizontal="left"/>
    </xf>
    <xf numFmtId="0" fontId="20" fillId="0" borderId="128" xfId="0" applyFont="1" applyFill="1" applyBorder="1" applyAlignment="1">
      <alignment horizontal="center" vertical="center" wrapText="1"/>
    </xf>
    <xf numFmtId="9" fontId="20" fillId="0" borderId="128" xfId="0" applyNumberFormat="1" applyFont="1" applyFill="1" applyBorder="1" applyAlignment="1">
      <alignment horizontal="right" vertical="center"/>
    </xf>
    <xf numFmtId="9" fontId="20" fillId="0" borderId="130" xfId="1" applyFont="1" applyFill="1" applyBorder="1" applyAlignment="1">
      <alignment horizontal="right" vertical="center"/>
    </xf>
    <xf numFmtId="0" fontId="5" fillId="0" borderId="112" xfId="0" applyFont="1" applyBorder="1" applyAlignment="1">
      <alignment horizontal="right" vertical="center"/>
    </xf>
    <xf numFmtId="0" fontId="5" fillId="0" borderId="111" xfId="0" applyFont="1" applyBorder="1" applyAlignment="1">
      <alignment horizontal="right" vertical="center"/>
    </xf>
    <xf numFmtId="3" fontId="5" fillId="0" borderId="110" xfId="0" applyNumberFormat="1" applyFont="1" applyBorder="1" applyAlignment="1">
      <alignment horizontal="center" vertical="center"/>
    </xf>
    <xf numFmtId="0" fontId="6" fillId="0" borderId="129" xfId="0" applyNumberFormat="1" applyFont="1" applyBorder="1" applyAlignment="1">
      <alignment horizontal="left" vertical="center" wrapText="1"/>
    </xf>
    <xf numFmtId="3" fontId="20" fillId="0" borderId="96" xfId="0" applyNumberFormat="1" applyFont="1" applyBorder="1" applyAlignment="1">
      <alignment horizontal="right" vertical="center" wrapText="1"/>
    </xf>
    <xf numFmtId="3" fontId="20" fillId="0" borderId="97" xfId="0" applyNumberFormat="1" applyFont="1" applyBorder="1" applyAlignment="1">
      <alignment horizontal="right" vertical="center" wrapText="1"/>
    </xf>
    <xf numFmtId="3" fontId="20" fillId="0" borderId="13" xfId="0" applyNumberFormat="1" applyFont="1" applyBorder="1" applyAlignment="1">
      <alignment horizontal="right" vertical="center" wrapText="1"/>
    </xf>
    <xf numFmtId="3" fontId="1" fillId="4" borderId="43" xfId="0" applyNumberFormat="1" applyFont="1" applyFill="1" applyBorder="1" applyAlignment="1">
      <alignment horizontal="right" vertical="center"/>
    </xf>
    <xf numFmtId="3" fontId="20" fillId="0" borderId="139" xfId="0" applyNumberFormat="1" applyFont="1" applyBorder="1" applyAlignment="1">
      <alignment horizontal="center"/>
    </xf>
    <xf numFmtId="3" fontId="20" fillId="0" borderId="70" xfId="0" applyNumberFormat="1" applyFont="1" applyBorder="1" applyAlignment="1">
      <alignment horizontal="center"/>
    </xf>
    <xf numFmtId="3" fontId="20" fillId="0" borderId="100" xfId="0" applyNumberFormat="1" applyFont="1" applyBorder="1" applyAlignment="1">
      <alignment horizontal="center"/>
    </xf>
    <xf numFmtId="0" fontId="1" fillId="0" borderId="139" xfId="0" applyFont="1" applyBorder="1" applyAlignment="1">
      <alignment horizontal="left" vertical="center" wrapText="1"/>
    </xf>
    <xf numFmtId="3" fontId="20" fillId="0" borderId="70" xfId="0" applyNumberFormat="1" applyFont="1" applyBorder="1" applyAlignment="1">
      <alignment horizontal="right"/>
    </xf>
    <xf numFmtId="0" fontId="6" fillId="2" borderId="97" xfId="0" applyFont="1" applyFill="1" applyBorder="1" applyAlignment="1">
      <alignment horizontal="center"/>
    </xf>
    <xf numFmtId="0" fontId="6" fillId="0" borderId="128" xfId="0" applyNumberFormat="1" applyFont="1" applyBorder="1" applyAlignment="1">
      <alignment horizontal="left" vertical="center" wrapText="1"/>
    </xf>
    <xf numFmtId="3" fontId="20" fillId="0" borderId="122" xfId="0" applyNumberFormat="1" applyFont="1" applyBorder="1" applyAlignment="1">
      <alignment horizontal="right" vertical="center" wrapText="1"/>
    </xf>
    <xf numFmtId="3" fontId="20" fillId="0" borderId="113" xfId="0" applyNumberFormat="1" applyFont="1" applyBorder="1" applyAlignment="1">
      <alignment horizontal="right" vertical="center" wrapText="1"/>
    </xf>
    <xf numFmtId="3" fontId="20" fillId="0" borderId="110" xfId="0" applyNumberFormat="1" applyFont="1" applyBorder="1" applyAlignment="1">
      <alignment horizontal="right" vertical="center" wrapText="1"/>
    </xf>
    <xf numFmtId="0" fontId="6" fillId="0" borderId="130" xfId="0" applyNumberFormat="1" applyFont="1" applyBorder="1" applyAlignment="1">
      <alignment horizontal="left" vertical="center" wrapText="1"/>
    </xf>
    <xf numFmtId="3" fontId="20" fillId="0" borderId="122" xfId="0" applyNumberFormat="1" applyFont="1" applyBorder="1" applyAlignment="1">
      <alignment horizontal="center" vertical="center"/>
    </xf>
    <xf numFmtId="3" fontId="20" fillId="0" borderId="121" xfId="0" applyNumberFormat="1" applyFont="1" applyBorder="1" applyAlignment="1">
      <alignment horizontal="center" vertical="center"/>
    </xf>
    <xf numFmtId="0" fontId="1" fillId="0" borderId="130" xfId="0" applyFont="1" applyBorder="1" applyAlignment="1">
      <alignment horizontal="center"/>
    </xf>
    <xf numFmtId="0" fontId="20" fillId="0" borderId="130" xfId="0" applyFont="1" applyBorder="1" applyAlignment="1">
      <alignment horizontal="center"/>
    </xf>
    <xf numFmtId="0" fontId="58" fillId="3" borderId="116" xfId="2" applyFont="1" applyFill="1" applyBorder="1" applyAlignment="1" applyProtection="1">
      <alignment horizontal="center" vertical="center" wrapText="1"/>
    </xf>
    <xf numFmtId="0" fontId="58" fillId="3" borderId="76" xfId="2" applyFont="1" applyFill="1" applyBorder="1" applyAlignment="1" applyProtection="1">
      <alignment horizontal="center" vertical="center" wrapText="1"/>
    </xf>
    <xf numFmtId="0" fontId="58" fillId="3" borderId="71" xfId="2" applyFont="1" applyFill="1" applyBorder="1" applyAlignment="1" applyProtection="1">
      <alignment horizontal="center" vertical="center" wrapText="1"/>
    </xf>
    <xf numFmtId="176" fontId="58" fillId="0" borderId="87" xfId="2" applyNumberFormat="1" applyFont="1" applyFill="1" applyBorder="1" applyAlignment="1" applyProtection="1">
      <alignment horizontal="center"/>
    </xf>
    <xf numFmtId="176" fontId="58" fillId="0" borderId="89" xfId="2" applyNumberFormat="1" applyFont="1" applyFill="1" applyBorder="1" applyAlignment="1" applyProtection="1">
      <alignment horizontal="center"/>
    </xf>
    <xf numFmtId="0" fontId="60" fillId="7" borderId="93" xfId="8" applyFont="1" applyFill="1" applyBorder="1" applyAlignment="1">
      <alignment horizontal="left" vertical="top" wrapText="1"/>
    </xf>
    <xf numFmtId="0" fontId="60" fillId="7" borderId="94" xfId="8" applyFont="1" applyFill="1" applyBorder="1" applyAlignment="1">
      <alignment horizontal="left" vertical="top" wrapText="1"/>
    </xf>
    <xf numFmtId="0" fontId="60" fillId="7" borderId="0" xfId="8" applyFont="1" applyFill="1" applyBorder="1" applyAlignment="1">
      <alignment horizontal="left" vertical="top" wrapText="1"/>
    </xf>
    <xf numFmtId="0" fontId="60" fillId="7" borderId="29" xfId="8" applyFont="1" applyFill="1" applyBorder="1" applyAlignment="1">
      <alignment horizontal="left" vertical="top" wrapText="1"/>
    </xf>
    <xf numFmtId="0" fontId="27" fillId="0" borderId="91" xfId="8" applyFont="1" applyFill="1" applyBorder="1" applyAlignment="1">
      <alignment horizontal="center" vertical="center"/>
    </xf>
    <xf numFmtId="0" fontId="27" fillId="0" borderId="91" xfId="8" applyFill="1" applyBorder="1" applyAlignment="1">
      <alignment horizontal="center" vertical="center"/>
    </xf>
    <xf numFmtId="0" fontId="27" fillId="0" borderId="17" xfId="8" applyFill="1" applyBorder="1" applyAlignment="1">
      <alignment horizontal="center" vertical="center"/>
    </xf>
    <xf numFmtId="0" fontId="74" fillId="0" borderId="116" xfId="8" applyFont="1" applyFill="1" applyBorder="1" applyAlignment="1">
      <alignment horizontal="left" vertical="top" wrapText="1"/>
    </xf>
    <xf numFmtId="0" fontId="74" fillId="0" borderId="115" xfId="8" applyFont="1" applyFill="1" applyBorder="1" applyAlignment="1">
      <alignment horizontal="center" vertical="center"/>
    </xf>
    <xf numFmtId="0" fontId="74" fillId="0" borderId="118" xfId="8" applyFont="1" applyFill="1" applyBorder="1" applyAlignment="1">
      <alignment horizontal="center" vertical="center"/>
    </xf>
    <xf numFmtId="0" fontId="74" fillId="0" borderId="84" xfId="8" applyFont="1" applyFill="1" applyBorder="1" applyAlignment="1">
      <alignment horizontal="center" vertical="center"/>
    </xf>
    <xf numFmtId="0" fontId="74" fillId="0" borderId="85" xfId="8" applyFont="1" applyFill="1" applyBorder="1" applyAlignment="1">
      <alignment horizontal="center" vertical="center"/>
    </xf>
    <xf numFmtId="0" fontId="74" fillId="0" borderId="116" xfId="8" quotePrefix="1" applyFont="1" applyFill="1" applyBorder="1" applyAlignment="1">
      <alignment horizontal="left" vertical="top" wrapText="1"/>
    </xf>
    <xf numFmtId="0" fontId="74" fillId="0" borderId="108" xfId="8" applyFont="1" applyFill="1" applyBorder="1" applyAlignment="1">
      <alignment horizontal="left" vertical="top" wrapText="1"/>
    </xf>
    <xf numFmtId="0" fontId="74" fillId="0" borderId="135" xfId="8" applyFont="1" applyFill="1" applyBorder="1" applyAlignment="1">
      <alignment horizontal="left" vertical="top" wrapText="1"/>
    </xf>
    <xf numFmtId="0" fontId="74" fillId="0" borderId="109" xfId="8" applyFont="1" applyFill="1" applyBorder="1" applyAlignment="1">
      <alignment horizontal="left" vertical="top" wrapText="1"/>
    </xf>
    <xf numFmtId="0" fontId="75" fillId="0" borderId="103" xfId="8" applyFont="1" applyFill="1" applyBorder="1" applyAlignment="1">
      <alignment horizontal="center" vertical="center" wrapText="1"/>
    </xf>
    <xf numFmtId="0" fontId="73" fillId="0" borderId="69" xfId="8" applyFont="1" applyFill="1" applyBorder="1" applyAlignment="1">
      <alignment horizontal="left" vertical="top" wrapText="1"/>
    </xf>
    <xf numFmtId="0" fontId="73" fillId="7" borderId="116" xfId="17" applyFont="1" applyFill="1" applyBorder="1" applyAlignment="1">
      <alignment horizontal="left" vertical="top" wrapText="1"/>
    </xf>
    <xf numFmtId="0" fontId="73" fillId="7" borderId="71" xfId="17" applyFont="1" applyFill="1" applyBorder="1" applyAlignment="1">
      <alignment horizontal="left" vertical="top" wrapText="1"/>
    </xf>
    <xf numFmtId="0" fontId="73" fillId="7" borderId="69" xfId="17" applyFont="1" applyFill="1" applyBorder="1" applyAlignment="1">
      <alignment horizontal="left" vertical="top" wrapText="1"/>
    </xf>
    <xf numFmtId="0" fontId="73" fillId="7" borderId="116" xfId="17" quotePrefix="1" applyFont="1" applyFill="1" applyBorder="1" applyAlignment="1">
      <alignment horizontal="left" vertical="top" wrapText="1"/>
    </xf>
    <xf numFmtId="0" fontId="73" fillId="7" borderId="71" xfId="17" quotePrefix="1" applyFont="1" applyFill="1" applyBorder="1" applyAlignment="1">
      <alignment horizontal="left" vertical="top" wrapText="1"/>
    </xf>
    <xf numFmtId="0" fontId="73" fillId="7" borderId="115" xfId="17" applyFont="1" applyFill="1" applyBorder="1" applyAlignment="1">
      <alignment horizontal="left" vertical="top" wrapText="1"/>
    </xf>
    <xf numFmtId="0" fontId="73" fillId="7" borderId="84" xfId="17" applyFont="1" applyFill="1" applyBorder="1" applyAlignment="1">
      <alignment horizontal="left" vertical="top" wrapText="1"/>
    </xf>
    <xf numFmtId="0" fontId="74" fillId="7" borderId="115" xfId="17" applyFont="1" applyFill="1" applyBorder="1" applyAlignment="1">
      <alignment horizontal="left" vertical="top" wrapText="1"/>
    </xf>
    <xf numFmtId="0" fontId="74" fillId="7" borderId="84" xfId="17" applyFont="1" applyFill="1" applyBorder="1" applyAlignment="1">
      <alignment horizontal="left" vertical="top" wrapText="1"/>
    </xf>
    <xf numFmtId="0" fontId="73" fillId="7" borderId="106" xfId="17" applyFont="1" applyFill="1" applyBorder="1" applyAlignment="1">
      <alignment horizontal="left" vertical="top" wrapText="1"/>
    </xf>
    <xf numFmtId="0" fontId="74" fillId="7" borderId="87" xfId="17" applyFont="1" applyFill="1" applyBorder="1" applyAlignment="1">
      <alignment horizontal="left" vertical="top" wrapText="1"/>
    </xf>
    <xf numFmtId="0" fontId="74" fillId="7" borderId="88" xfId="17" applyFont="1" applyFill="1" applyBorder="1" applyAlignment="1">
      <alignment horizontal="left" vertical="top" wrapText="1"/>
    </xf>
    <xf numFmtId="0" fontId="74" fillId="7" borderId="89" xfId="17" applyFont="1" applyFill="1" applyBorder="1" applyAlignment="1">
      <alignment horizontal="left" vertical="top" wrapText="1"/>
    </xf>
    <xf numFmtId="0" fontId="73" fillId="7" borderId="87" xfId="17" applyFont="1" applyFill="1" applyBorder="1" applyAlignment="1">
      <alignment horizontal="left" vertical="top" wrapText="1"/>
    </xf>
    <xf numFmtId="0" fontId="73" fillId="7" borderId="88" xfId="17" applyFont="1" applyFill="1" applyBorder="1" applyAlignment="1">
      <alignment horizontal="left" vertical="top" wrapText="1"/>
    </xf>
    <xf numFmtId="0" fontId="73" fillId="7" borderId="89" xfId="17" applyFont="1" applyFill="1" applyBorder="1" applyAlignment="1">
      <alignment horizontal="left" vertical="top" wrapText="1"/>
    </xf>
    <xf numFmtId="0" fontId="27" fillId="7" borderId="71" xfId="17" applyFont="1" applyFill="1" applyBorder="1" applyAlignment="1">
      <alignment horizontal="left" vertical="top" wrapText="1"/>
    </xf>
    <xf numFmtId="0" fontId="73" fillId="7" borderId="108" xfId="17" applyFont="1" applyFill="1" applyBorder="1" applyAlignment="1">
      <alignment horizontal="left" vertical="top" wrapText="1"/>
    </xf>
    <xf numFmtId="0" fontId="73" fillId="7" borderId="135" xfId="17" applyFont="1" applyFill="1" applyBorder="1" applyAlignment="1">
      <alignment horizontal="left" vertical="top" wrapText="1"/>
    </xf>
    <xf numFmtId="0" fontId="73" fillId="7" borderId="109" xfId="17" applyFont="1" applyFill="1" applyBorder="1" applyAlignment="1">
      <alignment horizontal="left" vertical="top" wrapText="1"/>
    </xf>
    <xf numFmtId="0" fontId="74" fillId="7" borderId="71" xfId="17" applyFont="1" applyFill="1" applyBorder="1" applyAlignment="1">
      <alignment horizontal="left" vertical="top" wrapText="1"/>
    </xf>
    <xf numFmtId="0" fontId="59" fillId="7" borderId="71" xfId="17" applyFont="1" applyFill="1" applyBorder="1" applyAlignment="1">
      <alignment horizontal="left" vertical="top" wrapText="1"/>
    </xf>
    <xf numFmtId="0" fontId="74" fillId="7" borderId="99" xfId="17" applyFont="1" applyFill="1" applyBorder="1" applyAlignment="1">
      <alignment horizontal="left" vertical="top" wrapText="1"/>
    </xf>
    <xf numFmtId="0" fontId="74" fillId="7" borderId="85" xfId="17" applyFont="1" applyFill="1" applyBorder="1" applyAlignment="1">
      <alignment horizontal="left" vertical="top" wrapText="1"/>
    </xf>
    <xf numFmtId="0" fontId="73" fillId="7" borderId="87" xfId="17" quotePrefix="1" applyFont="1" applyFill="1" applyBorder="1" applyAlignment="1">
      <alignment horizontal="left" vertical="top" wrapText="1"/>
    </xf>
    <xf numFmtId="0" fontId="73" fillId="7" borderId="88" xfId="17" quotePrefix="1" applyFont="1" applyFill="1" applyBorder="1" applyAlignment="1">
      <alignment horizontal="left" vertical="top" wrapText="1"/>
    </xf>
    <xf numFmtId="0" fontId="73" fillId="7" borderId="89" xfId="17" quotePrefix="1" applyFont="1" applyFill="1" applyBorder="1" applyAlignment="1">
      <alignment horizontal="left" vertical="top" wrapText="1"/>
    </xf>
    <xf numFmtId="0" fontId="74" fillId="7" borderId="87" xfId="17" quotePrefix="1" applyFont="1" applyFill="1" applyBorder="1" applyAlignment="1">
      <alignment horizontal="left" vertical="top" wrapText="1"/>
    </xf>
    <xf numFmtId="0" fontId="74" fillId="7" borderId="88" xfId="17" quotePrefix="1" applyFont="1" applyFill="1" applyBorder="1" applyAlignment="1">
      <alignment horizontal="left" vertical="top" wrapText="1"/>
    </xf>
    <xf numFmtId="0" fontId="74" fillId="7" borderId="89" xfId="17" quotePrefix="1" applyFont="1" applyFill="1" applyBorder="1" applyAlignment="1">
      <alignment horizontal="left" vertical="top" wrapText="1"/>
    </xf>
    <xf numFmtId="0" fontId="104" fillId="7" borderId="87" xfId="17" quotePrefix="1" applyFont="1" applyFill="1" applyBorder="1" applyAlignment="1">
      <alignment horizontal="left" vertical="top" wrapText="1"/>
    </xf>
    <xf numFmtId="0" fontId="104" fillId="7" borderId="88" xfId="17" quotePrefix="1" applyFont="1" applyFill="1" applyBorder="1" applyAlignment="1">
      <alignment horizontal="left" vertical="top" wrapText="1"/>
    </xf>
    <xf numFmtId="0" fontId="104" fillId="7" borderId="89" xfId="17" quotePrefix="1" applyFont="1" applyFill="1" applyBorder="1" applyAlignment="1">
      <alignment horizontal="left" vertical="top" wrapText="1"/>
    </xf>
    <xf numFmtId="0" fontId="104" fillId="7" borderId="87" xfId="17" applyFont="1" applyFill="1" applyBorder="1" applyAlignment="1">
      <alignment horizontal="left" vertical="top" wrapText="1"/>
    </xf>
    <xf numFmtId="0" fontId="104" fillId="7" borderId="88" xfId="17" applyFont="1" applyFill="1" applyBorder="1" applyAlignment="1">
      <alignment horizontal="left" vertical="top" wrapText="1"/>
    </xf>
    <xf numFmtId="0" fontId="104" fillId="7" borderId="89" xfId="17" applyFont="1" applyFill="1" applyBorder="1" applyAlignment="1">
      <alignment horizontal="left" vertical="top" wrapText="1"/>
    </xf>
  </cellXfs>
  <cellStyles count="224">
    <cellStyle name="_x000a_386grabber=S" xfId="208"/>
    <cellStyle name="%" xfId="16"/>
    <cellStyle name="20 % - Accent1" xfId="29"/>
    <cellStyle name="20 % - Accent2" xfId="30"/>
    <cellStyle name="20 % - Accent3" xfId="31"/>
    <cellStyle name="20 % - Accent4" xfId="32"/>
    <cellStyle name="20 % - Accent5" xfId="33"/>
    <cellStyle name="20 % - Accent6" xfId="34"/>
    <cellStyle name="20% - Accent1 2" xfId="35"/>
    <cellStyle name="20% - Accent1 3" xfId="36"/>
    <cellStyle name="20% - Accent1 4" xfId="37"/>
    <cellStyle name="20% - Accent2 2" xfId="38"/>
    <cellStyle name="20% - Accent2 3" xfId="39"/>
    <cellStyle name="20% - Accent2 4" xfId="40"/>
    <cellStyle name="20% - Accent3 2" xfId="41"/>
    <cellStyle name="20% - Accent3 3" xfId="42"/>
    <cellStyle name="20% - Accent3 4" xfId="43"/>
    <cellStyle name="20% - Accent4 2" xfId="44"/>
    <cellStyle name="20% - Accent4 3" xfId="45"/>
    <cellStyle name="20% - Accent4 4" xfId="46"/>
    <cellStyle name="20% - Accent5 2" xfId="47"/>
    <cellStyle name="20% - Accent5 3" xfId="48"/>
    <cellStyle name="20% - Accent5 4" xfId="49"/>
    <cellStyle name="20% - Accent6 2" xfId="50"/>
    <cellStyle name="20% - Accent6 3" xfId="51"/>
    <cellStyle name="20% - Accent6 4" xfId="52"/>
    <cellStyle name="40 % - Accent1" xfId="53"/>
    <cellStyle name="40 % - Accent2" xfId="54"/>
    <cellStyle name="40 % - Accent3" xfId="55"/>
    <cellStyle name="40 % - Accent4" xfId="56"/>
    <cellStyle name="40 % - Accent5" xfId="57"/>
    <cellStyle name="40 % - Accent6" xfId="58"/>
    <cellStyle name="40% - Accent1 2" xfId="59"/>
    <cellStyle name="40% - Accent1 3" xfId="60"/>
    <cellStyle name="40% - Accent1 4" xfId="61"/>
    <cellStyle name="40% - Accent2 2" xfId="62"/>
    <cellStyle name="40% - Accent2 3" xfId="63"/>
    <cellStyle name="40% - Accent2 4" xfId="64"/>
    <cellStyle name="40% - Accent3 2" xfId="65"/>
    <cellStyle name="40% - Accent3 3" xfId="66"/>
    <cellStyle name="40% - Accent3 4" xfId="67"/>
    <cellStyle name="40% - Accent3 5" xfId="68"/>
    <cellStyle name="40% - Accent4 2" xfId="69"/>
    <cellStyle name="40% - Accent4 3" xfId="70"/>
    <cellStyle name="40% - Accent4 4" xfId="71"/>
    <cellStyle name="40% - Accent5 2" xfId="72"/>
    <cellStyle name="40% - Accent5 3" xfId="73"/>
    <cellStyle name="40% - Accent5 4" xfId="74"/>
    <cellStyle name="40% - Accent6 2" xfId="75"/>
    <cellStyle name="40% - Accent6 3" xfId="76"/>
    <cellStyle name="40% - Accent6 4" xfId="77"/>
    <cellStyle name="60 % - Accent1" xfId="78"/>
    <cellStyle name="60 % - Accent2" xfId="79"/>
    <cellStyle name="60 % - Accent3" xfId="80"/>
    <cellStyle name="60 % - Accent4" xfId="81"/>
    <cellStyle name="60 % - Accent5" xfId="82"/>
    <cellStyle name="60 % - Accent6" xfId="83"/>
    <cellStyle name="60% - Accent1 2" xfId="84"/>
    <cellStyle name="60% - Accent1 3" xfId="85"/>
    <cellStyle name="60% - Accent1 4" xfId="86"/>
    <cellStyle name="60% - Accent2 2" xfId="87"/>
    <cellStyle name="60% - Accent2 3" xfId="88"/>
    <cellStyle name="60% - Accent2 4" xfId="89"/>
    <cellStyle name="60% - Accent3 2" xfId="90"/>
    <cellStyle name="60% - Accent3 3" xfId="91"/>
    <cellStyle name="60% - Accent3 4" xfId="92"/>
    <cellStyle name="60% - Accent4 2" xfId="93"/>
    <cellStyle name="60% - Accent4 3" xfId="94"/>
    <cellStyle name="60% - Accent4 4" xfId="95"/>
    <cellStyle name="60% - Accent5 2" xfId="96"/>
    <cellStyle name="60% - Accent5 3" xfId="97"/>
    <cellStyle name="60% - Accent5 4" xfId="98"/>
    <cellStyle name="60% - Accent6 2" xfId="99"/>
    <cellStyle name="60% - Accent6 3" xfId="100"/>
    <cellStyle name="60% - Accent6 4" xfId="101"/>
    <cellStyle name="Accent1 2" xfId="102"/>
    <cellStyle name="Accent1 3" xfId="103"/>
    <cellStyle name="Accent1 4" xfId="104"/>
    <cellStyle name="Accent2 2" xfId="105"/>
    <cellStyle name="Accent2 3" xfId="106"/>
    <cellStyle name="Accent2 4" xfId="107"/>
    <cellStyle name="Accent3 2" xfId="108"/>
    <cellStyle name="Accent3 3" xfId="109"/>
    <cellStyle name="Accent3 4" xfId="110"/>
    <cellStyle name="Accent4 2" xfId="111"/>
    <cellStyle name="Accent4 3" xfId="112"/>
    <cellStyle name="Accent4 4" xfId="113"/>
    <cellStyle name="Accent5 2" xfId="114"/>
    <cellStyle name="Accent5 3" xfId="115"/>
    <cellStyle name="Accent5 4" xfId="116"/>
    <cellStyle name="Accent6 2" xfId="117"/>
    <cellStyle name="Accent6 3" xfId="118"/>
    <cellStyle name="Accent6 4" xfId="119"/>
    <cellStyle name="AutoFormat-Optionen" xfId="120"/>
    <cellStyle name="AutoFormat-Optionen 2" xfId="121"/>
    <cellStyle name="AutoFormat-Optionen_BFI optilas ratio (value) budget FY11" xfId="122"/>
    <cellStyle name="Avertissement" xfId="123"/>
    <cellStyle name="Bad 2" xfId="124"/>
    <cellStyle name="Bad 3" xfId="125"/>
    <cellStyle name="Bad 4" xfId="126"/>
    <cellStyle name="Calcul" xfId="127"/>
    <cellStyle name="Calculation 2" xfId="128"/>
    <cellStyle name="Calculation 3" xfId="129"/>
    <cellStyle name="Calculation 4" xfId="130"/>
    <cellStyle name="Cellule liée" xfId="131"/>
    <cellStyle name="Cellule liée 2" xfId="222"/>
    <cellStyle name="Comma 2" xfId="13"/>
    <cellStyle name="Comma 4" xfId="132"/>
    <cellStyle name="Commentaire" xfId="133"/>
    <cellStyle name="Entrée" xfId="134"/>
    <cellStyle name="Euro" xfId="135"/>
    <cellStyle name="Explanatory Text 2" xfId="136"/>
    <cellStyle name="Explanatory Text 3" xfId="137"/>
    <cellStyle name="Explanatory Text 4" xfId="138"/>
    <cellStyle name="FRxAmtStyle" xfId="139"/>
    <cellStyle name="FRxCurrStyle" xfId="140"/>
    <cellStyle name="FRxPcntStyle" xfId="141"/>
    <cellStyle name="Good 2" xfId="142"/>
    <cellStyle name="Good 3" xfId="143"/>
    <cellStyle name="Good 4" xfId="144"/>
    <cellStyle name="Heading 1 2" xfId="145"/>
    <cellStyle name="Heading 1 3" xfId="146"/>
    <cellStyle name="Heading 1 4" xfId="147"/>
    <cellStyle name="Heading 2 2" xfId="148"/>
    <cellStyle name="Heading 2 3" xfId="149"/>
    <cellStyle name="Heading 2 4" xfId="150"/>
    <cellStyle name="Heading 3 2" xfId="151"/>
    <cellStyle name="Heading 3 3" xfId="152"/>
    <cellStyle name="Heading 3 4" xfId="153"/>
    <cellStyle name="Heading 4 2" xfId="154"/>
    <cellStyle name="Heading 4 3" xfId="155"/>
    <cellStyle name="Heading 4 4" xfId="156"/>
    <cellStyle name="Hyperlink 2" xfId="11"/>
    <cellStyle name="Hyperlink 3" xfId="21"/>
    <cellStyle name="Check Cell 2" xfId="157"/>
    <cellStyle name="Check Cell 3" xfId="158"/>
    <cellStyle name="Check Cell 4" xfId="159"/>
    <cellStyle name="Input 2" xfId="160"/>
    <cellStyle name="Input 3" xfId="161"/>
    <cellStyle name="Input 4" xfId="162"/>
    <cellStyle name="Insatisfaisant" xfId="163"/>
    <cellStyle name="Linked Cell 2" xfId="164"/>
    <cellStyle name="Linked Cell 2 2" xfId="221"/>
    <cellStyle name="Linked Cell 3" xfId="165"/>
    <cellStyle name="Linked Cell 3 2" xfId="220"/>
    <cellStyle name="Linked Cell 4" xfId="166"/>
    <cellStyle name="Linked Cell 4 2" xfId="219"/>
    <cellStyle name="Neutral 2" xfId="167"/>
    <cellStyle name="Neutral 3" xfId="168"/>
    <cellStyle name="Neutral 4" xfId="169"/>
    <cellStyle name="Neutre" xfId="170"/>
    <cellStyle name="Normal 10" xfId="171"/>
    <cellStyle name="Normal 11" xfId="209"/>
    <cellStyle name="Normal 2" xfId="2"/>
    <cellStyle name="Normal 2 2" xfId="210"/>
    <cellStyle name="Normal 2 2 2" xfId="211"/>
    <cellStyle name="Normal 2 3" xfId="22"/>
    <cellStyle name="Normal 3" xfId="8"/>
    <cellStyle name="Normal 3 2" xfId="17"/>
    <cellStyle name="Normal 3 3" xfId="212"/>
    <cellStyle name="Normal 3 3 2" xfId="213"/>
    <cellStyle name="Normal 3 4" xfId="214"/>
    <cellStyle name="Normal 3 5" xfId="24"/>
    <cellStyle name="Normal 36 2" xfId="215"/>
    <cellStyle name="Normal 36 2 2" xfId="216"/>
    <cellStyle name="Normal 4" xfId="4"/>
    <cellStyle name="Normal 4 2" xfId="172"/>
    <cellStyle name="Normal 4 3" xfId="23"/>
    <cellStyle name="Normal 5" xfId="12"/>
    <cellStyle name="Normal 5 2" xfId="15"/>
    <cellStyle name="Normal 5 2 2" xfId="173"/>
    <cellStyle name="Normal 5 3" xfId="223"/>
    <cellStyle name="Normal 6" xfId="25"/>
    <cellStyle name="Normal 6 2" xfId="174"/>
    <cellStyle name="Normal 7" xfId="26"/>
    <cellStyle name="Normal 7 2" xfId="175"/>
    <cellStyle name="Normal 7 3" xfId="217"/>
    <cellStyle name="Normal 8" xfId="28"/>
    <cellStyle name="Normal 8 2" xfId="176"/>
    <cellStyle name="Normal 9" xfId="177"/>
    <cellStyle name="Normal 9 2" xfId="218"/>
    <cellStyle name="Normal_Coffee Exporter FR1" xfId="9"/>
    <cellStyle name="Normal_FS Conoco Slovakia final 2001-rounding" xfId="5"/>
    <cellStyle name="Normal_Notes to FS1234" xfId="6"/>
    <cellStyle name="Normal_Slovak statutory FS2004(Slovak)" xfId="7"/>
    <cellStyle name="Normal_TSS report template v4" xfId="10"/>
    <cellStyle name="Normale_ESSBASE EXTRACT_YTD" xfId="178"/>
    <cellStyle name="Normálna 2" xfId="179"/>
    <cellStyle name="Normálne" xfId="0" builtinId="0"/>
    <cellStyle name="Normálne 2" xfId="27"/>
    <cellStyle name="normální_cashflow96" xfId="14"/>
    <cellStyle name="Note 2" xfId="180"/>
    <cellStyle name="Note 3" xfId="181"/>
    <cellStyle name="Note 4" xfId="182"/>
    <cellStyle name="Output 2" xfId="183"/>
    <cellStyle name="Output 3" xfId="184"/>
    <cellStyle name="Output 4" xfId="185"/>
    <cellStyle name="Percent 2" xfId="3"/>
    <cellStyle name="Percent 3" xfId="186"/>
    <cellStyle name="Percentá" xfId="1" builtinId="5"/>
    <cellStyle name="S6" xfId="18"/>
    <cellStyle name="S8" xfId="19"/>
    <cellStyle name="Satisfaisant" xfId="187"/>
    <cellStyle name="Sortie" xfId="188"/>
    <cellStyle name="Standard_Tabelle1" xfId="189"/>
    <cellStyle name="Style 1" xfId="20"/>
    <cellStyle name="STYLE1" xfId="190"/>
    <cellStyle name="Texte explicatif" xfId="191"/>
    <cellStyle name="Title 2" xfId="192"/>
    <cellStyle name="Title 3" xfId="193"/>
    <cellStyle name="Title 4" xfId="194"/>
    <cellStyle name="Titre" xfId="195"/>
    <cellStyle name="Titre 1" xfId="196"/>
    <cellStyle name="Titre 2" xfId="197"/>
    <cellStyle name="Titre 3" xfId="198"/>
    <cellStyle name="Titre 4" xfId="199"/>
    <cellStyle name="Titre_Sales Phasing" xfId="200"/>
    <cellStyle name="Total 2" xfId="201"/>
    <cellStyle name="Total 3" xfId="202"/>
    <cellStyle name="Total 4" xfId="203"/>
    <cellStyle name="Vérification" xfId="204"/>
    <cellStyle name="Warning Text 2" xfId="205"/>
    <cellStyle name="Warning Text 3" xfId="206"/>
    <cellStyle name="Warning Text 4" xfId="207"/>
  </cellStyles>
  <dxfs count="323">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FF0000"/>
      </font>
      <fill>
        <patternFill>
          <bgColor rgb="FFFFFF00"/>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fgColor indexed="64"/>
          <bgColor rgb="FFFFC7CE"/>
        </patternFill>
      </fill>
    </dxf>
    <dxf>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fgColor indexed="64"/>
          <bgColor rgb="FFFFC7CE"/>
        </patternFill>
      </fill>
    </dxf>
    <dxf>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mruColors>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styles" Target="styles.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externalLink" Target="externalLinks/externalLink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2</xdr:col>
      <xdr:colOff>0</xdr:colOff>
      <xdr:row>0</xdr:row>
      <xdr:rowOff>0</xdr:rowOff>
    </xdr:from>
    <xdr:to>
      <xdr:col>2</xdr:col>
      <xdr:colOff>0</xdr:colOff>
      <xdr:row>0</xdr:row>
      <xdr:rowOff>0</xdr:rowOff>
    </xdr:to>
    <xdr:sp macro="" textlink="">
      <xdr:nvSpPr>
        <xdr:cNvPr id="2" name="Oval 4">
          <a:extLst>
            <a:ext uri="{FF2B5EF4-FFF2-40B4-BE49-F238E27FC236}">
              <a16:creationId xmlns:a16="http://schemas.microsoft.com/office/drawing/2014/main" xmlns="" id="{00000000-0008-0000-3800-000002000000}"/>
            </a:ext>
          </a:extLst>
        </xdr:cNvPr>
        <xdr:cNvSpPr>
          <a:spLocks noChangeArrowheads="1"/>
        </xdr:cNvSpPr>
      </xdr:nvSpPr>
      <xdr:spPr bwMode="auto">
        <a:xfrm>
          <a:off x="4714875" y="0"/>
          <a:ext cx="0" cy="0"/>
        </a:xfrm>
        <a:prstGeom prst="ellipse">
          <a:avLst/>
        </a:prstGeom>
        <a:noFill/>
        <a:ln w="1">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0</xdr:row>
      <xdr:rowOff>0</xdr:rowOff>
    </xdr:from>
    <xdr:to>
      <xdr:col>2</xdr:col>
      <xdr:colOff>0</xdr:colOff>
      <xdr:row>0</xdr:row>
      <xdr:rowOff>0</xdr:rowOff>
    </xdr:to>
    <xdr:sp macro="" textlink="">
      <xdr:nvSpPr>
        <xdr:cNvPr id="2" name="Oval 4">
          <a:extLst>
            <a:ext uri="{FF2B5EF4-FFF2-40B4-BE49-F238E27FC236}">
              <a16:creationId xmlns:a16="http://schemas.microsoft.com/office/drawing/2014/main" xmlns="" id="{00000000-0008-0000-3E00-000002000000}"/>
            </a:ext>
          </a:extLst>
        </xdr:cNvPr>
        <xdr:cNvSpPr>
          <a:spLocks noChangeArrowheads="1"/>
        </xdr:cNvSpPr>
      </xdr:nvSpPr>
      <xdr:spPr bwMode="auto">
        <a:xfrm>
          <a:off x="4714875" y="0"/>
          <a:ext cx="0" cy="0"/>
        </a:xfrm>
        <a:prstGeom prst="ellipse">
          <a:avLst/>
        </a:prstGeom>
        <a:noFill/>
        <a:ln w="1">
          <a:solidFill>
            <a:srgbClr val="000000"/>
          </a:solidFill>
          <a:round/>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UME~1/mrnkp/LOCALS~1/Temp/notes42C9D0/smigi/testik.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testik"/>
      <sheetName val="Invest "/>
      <sheetName val="Comment"/>
      <sheetName val="Konsolid. (2)"/>
      <sheetName val="SEP US GAAP JV"/>
      <sheetName val="character chart"/>
      <sheetName val="ValueList_Helper"/>
    </sheetNames>
    <sheetDataSet>
      <sheetData sheetId="0"/>
      <sheetData sheetId="1"/>
      <sheetData sheetId="2"/>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6.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1.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0.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2.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99"/>
  </sheetPr>
  <dimension ref="A1:M42"/>
  <sheetViews>
    <sheetView showGridLines="0" topLeftCell="A3" workbookViewId="0">
      <selection activeCell="F3" sqref="F3"/>
    </sheetView>
  </sheetViews>
  <sheetFormatPr defaultColWidth="9.140625" defaultRowHeight="11.25"/>
  <cols>
    <col min="1" max="1" width="19.85546875" style="679" customWidth="1"/>
    <col min="2" max="2" width="10.140625" style="679" bestFit="1" customWidth="1"/>
    <col min="3" max="3" width="14.140625" style="679" customWidth="1"/>
    <col min="4" max="4" width="2.85546875" style="679" customWidth="1"/>
    <col min="5" max="5" width="25.140625" style="679" customWidth="1"/>
    <col min="6" max="6" width="27.7109375" style="679" customWidth="1"/>
    <col min="7" max="7" width="2.28515625" style="679" bestFit="1" customWidth="1"/>
    <col min="8" max="8" width="5" style="679" customWidth="1"/>
    <col min="9" max="16384" width="9.140625" style="679"/>
  </cols>
  <sheetData>
    <row r="1" spans="1:13" ht="12" thickBot="1">
      <c r="A1" s="675" t="s">
        <v>1329</v>
      </c>
      <c r="B1" s="676"/>
      <c r="C1" s="677"/>
      <c r="D1" s="677"/>
      <c r="E1" s="677"/>
      <c r="F1" s="677"/>
      <c r="G1" s="678"/>
    </row>
    <row r="2" spans="1:13" ht="12" thickBot="1">
      <c r="A2" s="680" t="s">
        <v>1395</v>
      </c>
      <c r="B2" s="681"/>
      <c r="C2" s="681"/>
      <c r="D2" s="681"/>
      <c r="E2" s="681"/>
      <c r="F2" s="681"/>
      <c r="G2" s="682"/>
      <c r="H2" s="683"/>
    </row>
    <row r="3" spans="1:13" ht="25.5" customHeight="1" thickBot="1">
      <c r="A3" s="1551" t="s">
        <v>1396</v>
      </c>
      <c r="B3" s="1552"/>
      <c r="C3" s="1552"/>
      <c r="D3" s="684"/>
      <c r="E3" s="685" t="s">
        <v>1328</v>
      </c>
      <c r="F3" s="1429" t="s">
        <v>2882</v>
      </c>
      <c r="G3" s="686"/>
    </row>
    <row r="4" spans="1:13">
      <c r="A4" s="687"/>
      <c r="B4" s="688"/>
      <c r="C4" s="688"/>
      <c r="D4" s="688"/>
      <c r="E4" s="688"/>
      <c r="F4" s="688"/>
      <c r="G4" s="689"/>
    </row>
    <row r="5" spans="1:13" ht="12" thickBot="1">
      <c r="A5" s="687"/>
      <c r="B5" s="688"/>
      <c r="C5" s="688"/>
      <c r="D5" s="688"/>
      <c r="E5" s="688"/>
      <c r="F5" s="688"/>
      <c r="G5" s="689"/>
      <c r="L5" s="1550"/>
      <c r="M5" s="1550"/>
    </row>
    <row r="6" spans="1:13" ht="12" thickBot="1">
      <c r="A6" s="690" t="s">
        <v>1327</v>
      </c>
      <c r="B6" s="691">
        <v>2018</v>
      </c>
      <c r="C6" s="688"/>
      <c r="D6" s="692" t="s">
        <v>1321</v>
      </c>
      <c r="E6" s="1047"/>
      <c r="F6" s="1045" t="s">
        <v>1081</v>
      </c>
      <c r="G6" s="689"/>
      <c r="L6" s="1550"/>
      <c r="M6" s="1550"/>
    </row>
    <row r="7" spans="1:13">
      <c r="A7" s="694" t="s">
        <v>1318</v>
      </c>
      <c r="B7" s="791">
        <v>42826</v>
      </c>
      <c r="C7" s="688"/>
      <c r="D7" s="695" t="s">
        <v>18</v>
      </c>
      <c r="E7" s="1048" t="s">
        <v>1326</v>
      </c>
      <c r="F7" s="1046">
        <v>27310</v>
      </c>
      <c r="G7" s="689"/>
      <c r="L7" s="696"/>
      <c r="M7" s="697"/>
    </row>
    <row r="8" spans="1:13">
      <c r="A8" s="698" t="s">
        <v>1314</v>
      </c>
      <c r="B8" s="699" t="str">
        <f>CHOOSE(LEN(MONTH(B7)),"0"&amp;MONTH(B7),MONTH(B7))</f>
        <v>04</v>
      </c>
      <c r="C8" s="688"/>
      <c r="D8" s="700"/>
      <c r="E8" s="1049" t="s">
        <v>1325</v>
      </c>
      <c r="F8" s="1043"/>
      <c r="G8" s="689"/>
    </row>
    <row r="9" spans="1:13" ht="12" thickBot="1">
      <c r="A9" s="698" t="s">
        <v>1324</v>
      </c>
      <c r="B9" s="701">
        <f>YEAR(B7)</f>
        <v>2017</v>
      </c>
      <c r="C9" s="688"/>
      <c r="D9" s="702"/>
      <c r="E9" s="1050" t="s">
        <v>2017</v>
      </c>
      <c r="F9" s="1044"/>
      <c r="G9" s="689"/>
    </row>
    <row r="10" spans="1:13" ht="12" thickBot="1">
      <c r="A10" s="703" t="s">
        <v>1316</v>
      </c>
      <c r="B10" s="791">
        <v>43190</v>
      </c>
      <c r="C10" s="688"/>
      <c r="D10" s="704"/>
      <c r="E10" s="704"/>
      <c r="F10" s="688"/>
      <c r="G10" s="689"/>
    </row>
    <row r="11" spans="1:13" ht="12" thickBot="1">
      <c r="A11" s="705" t="s">
        <v>1323</v>
      </c>
      <c r="B11" s="706" t="str">
        <f>DAY(B10)&amp;"."&amp;MONTH(B10)&amp;"."</f>
        <v>31.3.</v>
      </c>
      <c r="C11" s="688"/>
      <c r="D11" s="692" t="s">
        <v>2241</v>
      </c>
      <c r="E11" s="1047"/>
      <c r="F11" s="688"/>
      <c r="G11" s="689"/>
    </row>
    <row r="12" spans="1:13">
      <c r="A12" s="705" t="s">
        <v>1322</v>
      </c>
      <c r="B12" s="707" t="str">
        <f>RIGHT(YEAR(B10),2)</f>
        <v>18</v>
      </c>
      <c r="C12" s="688"/>
      <c r="D12" s="695" t="s">
        <v>18</v>
      </c>
      <c r="E12" s="1048" t="s">
        <v>501</v>
      </c>
      <c r="F12" s="688"/>
      <c r="G12" s="689"/>
      <c r="K12" s="708"/>
    </row>
    <row r="13" spans="1:13">
      <c r="A13" s="698" t="s">
        <v>1314</v>
      </c>
      <c r="B13" s="699" t="str">
        <f>CHOOSE(LEN(MONTH(B10)),"0"&amp;MONTH(B10),MONTH(B10))</f>
        <v>03</v>
      </c>
      <c r="C13" s="709"/>
      <c r="D13" s="700" t="s">
        <v>18</v>
      </c>
      <c r="E13" s="1049" t="s">
        <v>2242</v>
      </c>
      <c r="F13" s="688"/>
      <c r="G13" s="689"/>
      <c r="H13" s="683"/>
    </row>
    <row r="14" spans="1:13" ht="12" thickBot="1">
      <c r="A14" s="710" t="s">
        <v>1313</v>
      </c>
      <c r="B14" s="701">
        <f>YEAR(B10)</f>
        <v>2018</v>
      </c>
      <c r="C14" s="711"/>
      <c r="D14" s="702" t="s">
        <v>18</v>
      </c>
      <c r="E14" s="1050" t="s">
        <v>2243</v>
      </c>
      <c r="F14" s="688"/>
      <c r="G14" s="689"/>
      <c r="H14" s="683"/>
    </row>
    <row r="15" spans="1:13" ht="12" thickBot="1">
      <c r="A15" s="687"/>
      <c r="B15" s="712"/>
      <c r="C15" s="688"/>
      <c r="F15" s="688"/>
      <c r="G15" s="689"/>
    </row>
    <row r="16" spans="1:13" ht="12" thickBot="1">
      <c r="A16" s="713" t="s">
        <v>1320</v>
      </c>
      <c r="B16" s="714">
        <v>2017</v>
      </c>
      <c r="C16" s="688"/>
      <c r="D16" s="692" t="s">
        <v>2238</v>
      </c>
      <c r="E16" s="693"/>
      <c r="F16" s="688"/>
      <c r="G16" s="689"/>
    </row>
    <row r="17" spans="1:9" ht="12" thickBot="1">
      <c r="A17" s="694" t="s">
        <v>1318</v>
      </c>
      <c r="B17" s="791">
        <v>42461</v>
      </c>
      <c r="C17" s="688"/>
      <c r="D17" s="702" t="s">
        <v>18</v>
      </c>
      <c r="E17" s="715" t="s">
        <v>2239</v>
      </c>
      <c r="F17" s="688"/>
      <c r="G17" s="689"/>
    </row>
    <row r="18" spans="1:9" ht="12" thickBot="1">
      <c r="A18" s="698" t="s">
        <v>1314</v>
      </c>
      <c r="B18" s="718" t="str">
        <f>CHOOSE(LEN(MONTH(B17)),"0"&amp;MONTH(B17),MONTH(B17))</f>
        <v>04</v>
      </c>
      <c r="C18" s="688"/>
      <c r="D18" s="716"/>
      <c r="E18" s="717" t="s">
        <v>2240</v>
      </c>
      <c r="F18" s="688"/>
      <c r="G18" s="689"/>
    </row>
    <row r="19" spans="1:9" ht="12" thickBot="1">
      <c r="A19" s="710" t="s">
        <v>1313</v>
      </c>
      <c r="B19" s="701">
        <f>YEAR(B17)</f>
        <v>2016</v>
      </c>
      <c r="C19" s="688"/>
      <c r="D19" s="688"/>
      <c r="E19" s="688"/>
      <c r="F19" s="688"/>
      <c r="G19" s="689"/>
    </row>
    <row r="20" spans="1:9" ht="12" thickBot="1">
      <c r="A20" s="703" t="s">
        <v>1316</v>
      </c>
      <c r="B20" s="791">
        <v>42825</v>
      </c>
      <c r="C20" s="688"/>
      <c r="D20" s="688"/>
      <c r="E20" s="675" t="s">
        <v>1315</v>
      </c>
      <c r="F20" s="719"/>
      <c r="G20" s="689"/>
    </row>
    <row r="21" spans="1:9" ht="12" thickBot="1">
      <c r="A21" s="698" t="s">
        <v>1314</v>
      </c>
      <c r="B21" s="699" t="str">
        <f>CHOOSE(LEN(MONTH(B20)),"0"&amp;MONTH(B20),MONTH(B20))</f>
        <v>03</v>
      </c>
      <c r="C21" s="688"/>
      <c r="D21" s="688"/>
      <c r="E21" s="688"/>
      <c r="F21" s="688"/>
      <c r="G21" s="689"/>
    </row>
    <row r="22" spans="1:9" ht="12" thickBot="1">
      <c r="A22" s="710" t="s">
        <v>1313</v>
      </c>
      <c r="B22" s="701">
        <f>YEAR(B20)</f>
        <v>2017</v>
      </c>
      <c r="C22" s="688"/>
      <c r="D22" s="688"/>
      <c r="E22" s="713" t="s">
        <v>2248</v>
      </c>
      <c r="F22" s="1553" t="s">
        <v>2721</v>
      </c>
      <c r="G22" s="689"/>
    </row>
    <row r="23" spans="1:9" ht="12" thickBot="1">
      <c r="A23" s="720"/>
      <c r="B23" s="711"/>
      <c r="C23" s="688"/>
      <c r="D23" s="688"/>
      <c r="E23" s="1058" t="s">
        <v>2249</v>
      </c>
      <c r="F23" s="1554"/>
      <c r="G23" s="689"/>
      <c r="I23" s="788"/>
    </row>
    <row r="24" spans="1:9" ht="12" thickBot="1">
      <c r="A24" s="675" t="s">
        <v>1312</v>
      </c>
      <c r="B24" s="677"/>
      <c r="C24" s="721">
        <v>2020319829</v>
      </c>
      <c r="D24" s="688"/>
      <c r="E24" s="1059" t="s">
        <v>2250</v>
      </c>
      <c r="F24" s="1555"/>
      <c r="G24" s="689"/>
    </row>
    <row r="25" spans="1:9" ht="12" thickBot="1">
      <c r="A25" s="687"/>
      <c r="B25" s="688"/>
      <c r="C25" s="688"/>
      <c r="D25" s="688"/>
      <c r="G25" s="689"/>
    </row>
    <row r="26" spans="1:9" ht="12" thickBot="1">
      <c r="A26" s="675" t="s">
        <v>1310</v>
      </c>
      <c r="B26" s="677"/>
      <c r="C26" s="787" t="s">
        <v>2719</v>
      </c>
      <c r="D26" s="688"/>
      <c r="G26" s="689"/>
    </row>
    <row r="27" spans="1:9" ht="12" thickBot="1">
      <c r="A27" s="687"/>
      <c r="B27" s="688"/>
      <c r="C27" s="688"/>
      <c r="D27" s="724"/>
      <c r="G27" s="689"/>
    </row>
    <row r="28" spans="1:9">
      <c r="A28" s="727" t="s">
        <v>1308</v>
      </c>
      <c r="B28" s="728"/>
      <c r="C28" s="1343" t="s">
        <v>2883</v>
      </c>
      <c r="D28" s="729"/>
      <c r="G28" s="689"/>
    </row>
    <row r="29" spans="1:9">
      <c r="A29" s="730"/>
      <c r="B29" s="731"/>
      <c r="C29" s="732"/>
      <c r="D29" s="729"/>
      <c r="G29" s="689"/>
    </row>
    <row r="30" spans="1:9">
      <c r="A30" s="734" t="s">
        <v>1307</v>
      </c>
      <c r="B30" s="735"/>
      <c r="C30" s="736">
        <v>52</v>
      </c>
      <c r="D30" s="688"/>
      <c r="G30" s="689"/>
    </row>
    <row r="31" spans="1:9">
      <c r="A31" s="687"/>
      <c r="B31" s="688"/>
      <c r="C31" s="689"/>
      <c r="D31" s="688"/>
      <c r="G31" s="689"/>
    </row>
    <row r="32" spans="1:9">
      <c r="A32" s="734" t="s">
        <v>1306</v>
      </c>
      <c r="B32" s="741"/>
      <c r="C32" s="742" t="s">
        <v>2884</v>
      </c>
      <c r="D32" s="688"/>
      <c r="E32" s="688"/>
      <c r="F32" s="743"/>
      <c r="G32" s="689"/>
    </row>
    <row r="33" spans="1:7" ht="12" thickBot="1">
      <c r="A33" s="687"/>
      <c r="B33" s="744"/>
      <c r="C33" s="689"/>
      <c r="D33" s="688"/>
      <c r="E33" s="1057"/>
      <c r="F33" s="697"/>
      <c r="G33" s="689"/>
    </row>
    <row r="34" spans="1:7" ht="12" thickBot="1">
      <c r="A34" s="745" t="s">
        <v>1305</v>
      </c>
      <c r="B34" s="746"/>
      <c r="C34" s="747" t="s">
        <v>2720</v>
      </c>
      <c r="D34" s="688"/>
      <c r="E34" s="722" t="s">
        <v>1311</v>
      </c>
      <c r="F34" s="723">
        <v>43235</v>
      </c>
      <c r="G34" s="689"/>
    </row>
    <row r="35" spans="1:7" ht="12" thickBot="1">
      <c r="A35" s="687"/>
      <c r="B35" s="743"/>
      <c r="C35" s="688"/>
      <c r="D35" s="688"/>
      <c r="E35" s="720"/>
      <c r="F35" s="689"/>
      <c r="G35" s="689"/>
    </row>
    <row r="36" spans="1:7" ht="12" thickBot="1">
      <c r="A36" s="748" t="s">
        <v>1304</v>
      </c>
      <c r="B36" s="749"/>
      <c r="C36" s="750">
        <v>2</v>
      </c>
      <c r="D36" s="751"/>
      <c r="E36" s="725" t="s">
        <v>1309</v>
      </c>
      <c r="F36" s="726"/>
      <c r="G36" s="689"/>
    </row>
    <row r="37" spans="1:7" ht="12" thickBot="1">
      <c r="A37" s="720"/>
      <c r="B37" s="744"/>
      <c r="C37" s="689"/>
      <c r="D37" s="688"/>
      <c r="E37" s="688"/>
      <c r="F37" s="688"/>
      <c r="G37" s="689"/>
    </row>
    <row r="38" spans="1:7">
      <c r="A38" s="752" t="s">
        <v>1303</v>
      </c>
      <c r="B38" s="741"/>
      <c r="C38" s="753">
        <v>48205210</v>
      </c>
      <c r="D38" s="688"/>
      <c r="E38" s="733" t="s">
        <v>2246</v>
      </c>
      <c r="F38" s="693"/>
      <c r="G38" s="689"/>
    </row>
    <row r="39" spans="1:7" ht="12" thickBot="1">
      <c r="A39" s="754"/>
      <c r="B39" s="755"/>
      <c r="C39" s="756"/>
      <c r="D39" s="688"/>
      <c r="E39" s="737" t="s">
        <v>2247</v>
      </c>
      <c r="F39" s="738"/>
      <c r="G39" s="689"/>
    </row>
    <row r="40" spans="1:7" ht="12" thickBot="1">
      <c r="A40" s="757" t="s">
        <v>1301</v>
      </c>
      <c r="B40" s="758"/>
      <c r="C40" s="759">
        <v>48205231</v>
      </c>
      <c r="D40" s="688"/>
      <c r="E40" s="739" t="s">
        <v>1302</v>
      </c>
      <c r="F40" s="740"/>
      <c r="G40" s="689"/>
    </row>
    <row r="41" spans="1:7" ht="12" thickBot="1">
      <c r="A41" s="687"/>
      <c r="B41" s="760"/>
      <c r="C41" s="688"/>
      <c r="D41" s="688"/>
      <c r="E41" s="688"/>
      <c r="F41" s="688"/>
      <c r="G41" s="689"/>
    </row>
    <row r="42" spans="1:7" ht="15.75" thickBot="1">
      <c r="A42" s="761" t="s">
        <v>1300</v>
      </c>
      <c r="B42" s="1549" t="s">
        <v>2798</v>
      </c>
      <c r="C42" s="1549"/>
      <c r="D42" s="762"/>
      <c r="E42" s="762"/>
      <c r="F42" s="762"/>
      <c r="G42" s="756"/>
    </row>
  </sheetData>
  <mergeCells count="4">
    <mergeCell ref="B42:C42"/>
    <mergeCell ref="L5:M6"/>
    <mergeCell ref="A3:C3"/>
    <mergeCell ref="F22:F24"/>
  </mergeCells>
  <pageMargins left="0.75" right="0.75" top="1" bottom="1" header="0.5" footer="0.5"/>
  <pageSetup paperSize="9" orientation="portrait" r:id="rId1"/>
  <headerFooter alignWithMargins="0"/>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AN50"/>
  <sheetViews>
    <sheetView showGridLines="0" zoomScale="85" zoomScaleNormal="85" workbookViewId="0">
      <pane xSplit="1" ySplit="4" topLeftCell="V32" activePane="bottomRight" state="frozen"/>
      <selection pane="topRight" activeCell="B1" sqref="B1"/>
      <selection pane="bottomLeft" activeCell="A5" sqref="A5"/>
      <selection pane="bottomRight" activeCell="AG45" sqref="AG45"/>
    </sheetView>
  </sheetViews>
  <sheetFormatPr defaultRowHeight="15" outlineLevelCol="1"/>
  <cols>
    <col min="1" max="1" width="29.140625" customWidth="1"/>
    <col min="2" max="10" width="11.28515625" customWidth="1"/>
    <col min="11" max="11" width="9.140625" style="340"/>
    <col min="12" max="19" width="9.140625" style="336" customWidth="1" outlineLevel="1"/>
    <col min="20" max="20" width="18.28515625" style="340" customWidth="1"/>
    <col min="21" max="21" width="9.140625" style="342"/>
    <col min="22" max="22" width="9.140625" style="336" customWidth="1" outlineLevel="1"/>
    <col min="23" max="29" width="9.140625" customWidth="1" outlineLevel="1"/>
    <col min="30" max="30" width="26.85546875" style="340" customWidth="1"/>
    <col min="31" max="31" width="9.140625" style="340"/>
    <col min="32" max="32" width="9.140625" style="335" customWidth="1" outlineLevel="1"/>
    <col min="33" max="39" width="9.140625" customWidth="1" outlineLevel="1"/>
    <col min="40" max="40" width="26.7109375" style="340" customWidth="1"/>
  </cols>
  <sheetData>
    <row r="1" spans="1:40" ht="16.5">
      <c r="A1" s="1" t="s">
        <v>50</v>
      </c>
      <c r="L1" s="1568" t="s">
        <v>1056</v>
      </c>
      <c r="M1" s="1569"/>
      <c r="N1" s="1569"/>
      <c r="O1" s="1569"/>
      <c r="P1" s="1569"/>
      <c r="Q1" s="1569"/>
      <c r="R1" s="1569"/>
      <c r="S1" s="1569"/>
      <c r="T1" s="1570"/>
      <c r="V1" s="1568" t="s">
        <v>1057</v>
      </c>
      <c r="W1" s="1569"/>
      <c r="X1" s="1569"/>
      <c r="Y1" s="1569"/>
      <c r="Z1" s="1569"/>
      <c r="AA1" s="1569"/>
      <c r="AB1" s="1569"/>
      <c r="AC1" s="1569"/>
      <c r="AD1" s="1570"/>
      <c r="AF1" s="1568" t="s">
        <v>1058</v>
      </c>
      <c r="AG1" s="1569"/>
      <c r="AH1" s="1569"/>
      <c r="AI1" s="1569"/>
      <c r="AJ1" s="1569"/>
      <c r="AK1" s="1569"/>
      <c r="AL1" s="1569"/>
      <c r="AM1" s="1569"/>
      <c r="AN1" s="1570"/>
    </row>
    <row r="2" spans="1:40" ht="17.25" thickBot="1">
      <c r="A2" s="2" t="s">
        <v>8</v>
      </c>
    </row>
    <row r="3" spans="1:40" ht="16.5" thickTop="1" thickBot="1">
      <c r="A3" s="1556" t="s">
        <v>55</v>
      </c>
      <c r="B3" s="1558" t="s">
        <v>2</v>
      </c>
      <c r="C3" s="1564"/>
      <c r="D3" s="1564"/>
      <c r="E3" s="1564"/>
      <c r="F3" s="1564"/>
      <c r="G3" s="1564"/>
      <c r="H3" s="1564"/>
      <c r="I3" s="1564"/>
      <c r="J3" s="1559"/>
      <c r="K3" s="344"/>
    </row>
    <row r="4" spans="1:40" ht="60.75" customHeight="1" thickTop="1" thickBot="1">
      <c r="A4" s="1563"/>
      <c r="B4" s="10" t="s">
        <v>51</v>
      </c>
      <c r="C4" s="137" t="s">
        <v>495</v>
      </c>
      <c r="D4" s="10" t="s">
        <v>52</v>
      </c>
      <c r="E4" s="137" t="s">
        <v>494</v>
      </c>
      <c r="F4" s="10" t="s">
        <v>53</v>
      </c>
      <c r="G4" s="10" t="s">
        <v>54</v>
      </c>
      <c r="H4" s="11" t="s">
        <v>446</v>
      </c>
      <c r="I4" s="10" t="s">
        <v>447</v>
      </c>
      <c r="J4" s="10" t="s">
        <v>14</v>
      </c>
      <c r="K4" s="336"/>
      <c r="L4" s="59" t="s">
        <v>51</v>
      </c>
      <c r="M4" s="387" t="s">
        <v>495</v>
      </c>
      <c r="N4" s="59" t="s">
        <v>52</v>
      </c>
      <c r="O4" s="387" t="s">
        <v>494</v>
      </c>
      <c r="P4" s="59" t="s">
        <v>53</v>
      </c>
      <c r="Q4" s="59" t="s">
        <v>54</v>
      </c>
      <c r="R4" s="387" t="s">
        <v>446</v>
      </c>
      <c r="S4" s="59" t="s">
        <v>447</v>
      </c>
      <c r="T4" s="59" t="s">
        <v>14</v>
      </c>
      <c r="U4" s="336"/>
      <c r="V4" s="59" t="s">
        <v>51</v>
      </c>
      <c r="W4" s="387" t="s">
        <v>495</v>
      </c>
      <c r="X4" s="59" t="s">
        <v>52</v>
      </c>
      <c r="Y4" s="387" t="s">
        <v>494</v>
      </c>
      <c r="Z4" s="59" t="s">
        <v>53</v>
      </c>
      <c r="AA4" s="59" t="s">
        <v>54</v>
      </c>
      <c r="AB4" s="387" t="s">
        <v>446</v>
      </c>
      <c r="AC4" s="59" t="s">
        <v>447</v>
      </c>
      <c r="AD4" s="59" t="s">
        <v>14</v>
      </c>
      <c r="AE4" s="336"/>
      <c r="AF4" s="59" t="s">
        <v>51</v>
      </c>
      <c r="AG4" s="387" t="s">
        <v>495</v>
      </c>
      <c r="AH4" s="59" t="s">
        <v>52</v>
      </c>
      <c r="AI4" s="387" t="s">
        <v>494</v>
      </c>
      <c r="AJ4" s="59" t="s">
        <v>53</v>
      </c>
      <c r="AK4" s="59" t="s">
        <v>54</v>
      </c>
      <c r="AL4" s="387" t="s">
        <v>446</v>
      </c>
      <c r="AM4" s="59" t="s">
        <v>447</v>
      </c>
      <c r="AN4" s="59" t="s">
        <v>14</v>
      </c>
    </row>
    <row r="5" spans="1:40" ht="15" customHeight="1" thickTop="1" thickBot="1">
      <c r="A5" s="41" t="s">
        <v>25</v>
      </c>
      <c r="B5" s="42"/>
      <c r="C5" s="42"/>
      <c r="D5" s="42"/>
      <c r="E5" s="42"/>
      <c r="F5" s="42"/>
      <c r="G5" s="42"/>
      <c r="H5" s="42"/>
      <c r="I5" s="42"/>
      <c r="J5" s="43"/>
      <c r="K5" s="344"/>
    </row>
    <row r="6" spans="1:40" ht="15" customHeight="1" thickTop="1" thickBot="1">
      <c r="A6" s="44" t="s">
        <v>26</v>
      </c>
      <c r="B6" s="22"/>
      <c r="C6" s="22"/>
      <c r="D6" s="22"/>
      <c r="E6" s="22"/>
      <c r="F6" s="45"/>
      <c r="G6" s="22"/>
      <c r="H6" s="22"/>
      <c r="I6" s="22"/>
      <c r="J6" s="15">
        <f>SUM(B6:H6)</f>
        <v>0</v>
      </c>
      <c r="T6" s="341">
        <f>SUM(B6:I6)-J6</f>
        <v>0</v>
      </c>
      <c r="V6" s="337">
        <f>B6-B34</f>
        <v>0</v>
      </c>
      <c r="W6" s="337">
        <f t="shared" ref="W6:AB6" si="0">C6-C34</f>
        <v>0</v>
      </c>
      <c r="X6" s="337">
        <f t="shared" si="0"/>
        <v>0</v>
      </c>
      <c r="Y6" s="337">
        <f t="shared" si="0"/>
        <v>0</v>
      </c>
      <c r="Z6" s="337">
        <f t="shared" si="0"/>
        <v>0</v>
      </c>
      <c r="AA6" s="337">
        <f t="shared" si="0"/>
        <v>0</v>
      </c>
      <c r="AB6" s="337">
        <f t="shared" si="0"/>
        <v>0</v>
      </c>
      <c r="AC6" s="337">
        <f>I6-I34</f>
        <v>0</v>
      </c>
      <c r="AD6" s="341">
        <f>J6-J34</f>
        <v>0</v>
      </c>
    </row>
    <row r="7" spans="1:40" ht="15" customHeight="1" thickBot="1">
      <c r="A7" s="14" t="s">
        <v>27</v>
      </c>
      <c r="B7" s="22"/>
      <c r="C7" s="22"/>
      <c r="D7" s="22"/>
      <c r="E7" s="22"/>
      <c r="F7" s="46"/>
      <c r="G7" s="22"/>
      <c r="H7" s="22"/>
      <c r="I7" s="22"/>
      <c r="J7" s="15">
        <f t="shared" ref="J7:J9" si="1">SUM(B7:H7)</f>
        <v>0</v>
      </c>
      <c r="T7" s="341">
        <f t="shared" ref="T7:T9" si="2">SUM(B7:I7)-J7</f>
        <v>0</v>
      </c>
      <c r="W7" s="336"/>
      <c r="X7" s="336"/>
      <c r="Y7" s="336"/>
      <c r="Z7" s="336"/>
      <c r="AA7" s="336"/>
      <c r="AB7" s="336"/>
      <c r="AC7" s="336"/>
    </row>
    <row r="8" spans="1:40" ht="15" customHeight="1" thickBot="1">
      <c r="A8" s="14" t="s">
        <v>28</v>
      </c>
      <c r="B8" s="22"/>
      <c r="C8" s="22"/>
      <c r="D8" s="22"/>
      <c r="E8" s="22"/>
      <c r="F8" s="46"/>
      <c r="G8" s="22"/>
      <c r="H8" s="22"/>
      <c r="I8" s="22"/>
      <c r="J8" s="15">
        <f t="shared" si="1"/>
        <v>0</v>
      </c>
      <c r="T8" s="341">
        <f t="shared" si="2"/>
        <v>0</v>
      </c>
      <c r="W8" s="336"/>
      <c r="X8" s="336"/>
      <c r="Y8" s="336"/>
      <c r="Z8" s="336"/>
      <c r="AA8" s="336"/>
      <c r="AB8" s="336"/>
      <c r="AC8" s="336"/>
    </row>
    <row r="9" spans="1:40" ht="15" customHeight="1" thickBot="1">
      <c r="A9" s="14" t="s">
        <v>29</v>
      </c>
      <c r="B9" s="22"/>
      <c r="C9" s="22"/>
      <c r="D9" s="22"/>
      <c r="E9" s="22"/>
      <c r="F9" s="46"/>
      <c r="G9" s="22"/>
      <c r="H9" s="22"/>
      <c r="I9" s="22"/>
      <c r="J9" s="15">
        <f t="shared" si="1"/>
        <v>0</v>
      </c>
      <c r="T9" s="341">
        <f t="shared" si="2"/>
        <v>0</v>
      </c>
      <c r="W9" s="336"/>
      <c r="X9" s="336"/>
      <c r="Y9" s="336"/>
      <c r="Z9" s="336"/>
      <c r="AA9" s="336"/>
      <c r="AB9" s="336"/>
      <c r="AC9" s="336"/>
    </row>
    <row r="10" spans="1:40" ht="15" customHeight="1" thickBot="1">
      <c r="A10" s="25" t="s">
        <v>30</v>
      </c>
      <c r="B10" s="26">
        <f>B6+B7-B8+B9</f>
        <v>0</v>
      </c>
      <c r="C10" s="26">
        <f>C6+C7-C8+C9</f>
        <v>0</v>
      </c>
      <c r="D10" s="26">
        <f>D6+D7-D8+D9</f>
        <v>0</v>
      </c>
      <c r="E10" s="26">
        <f t="shared" ref="E10:H10" si="3">E6+E7-E8+E9</f>
        <v>0</v>
      </c>
      <c r="F10" s="26">
        <f t="shared" si="3"/>
        <v>0</v>
      </c>
      <c r="G10" s="26">
        <f t="shared" si="3"/>
        <v>0</v>
      </c>
      <c r="H10" s="26">
        <f t="shared" si="3"/>
        <v>0</v>
      </c>
      <c r="I10" s="26">
        <f>I6+I7-I8+I9</f>
        <v>0</v>
      </c>
      <c r="J10" s="17">
        <f>J6+J7-J8+J9</f>
        <v>0</v>
      </c>
      <c r="L10" s="338">
        <f>B6+B7-B8+B9-B10</f>
        <v>0</v>
      </c>
      <c r="M10" s="337">
        <f t="shared" ref="M10:T10" si="4">C6+C7-C8+C9-C10</f>
        <v>0</v>
      </c>
      <c r="N10" s="337">
        <f t="shared" si="4"/>
        <v>0</v>
      </c>
      <c r="O10" s="337">
        <f t="shared" si="4"/>
        <v>0</v>
      </c>
      <c r="P10" s="337">
        <f t="shared" si="4"/>
        <v>0</v>
      </c>
      <c r="Q10" s="337">
        <f t="shared" si="4"/>
        <v>0</v>
      </c>
      <c r="R10" s="337">
        <f t="shared" si="4"/>
        <v>0</v>
      </c>
      <c r="S10" s="337">
        <f t="shared" si="4"/>
        <v>0</v>
      </c>
      <c r="T10" s="337">
        <f t="shared" si="4"/>
        <v>0</v>
      </c>
      <c r="W10" s="336"/>
      <c r="X10" s="336"/>
      <c r="Y10" s="336"/>
      <c r="Z10" s="336"/>
      <c r="AA10" s="336"/>
      <c r="AB10" s="336"/>
      <c r="AC10" s="336"/>
      <c r="AF10" s="338">
        <f>B10-'BS old'!$D$31</f>
        <v>0</v>
      </c>
      <c r="AG10" s="337">
        <f>C10-'BS old'!$D$32</f>
        <v>0</v>
      </c>
      <c r="AH10" s="337">
        <f>D10-'BS old'!$D$33</f>
        <v>0</v>
      </c>
      <c r="AI10" s="337">
        <f>E10-'BS old'!$D$34</f>
        <v>0</v>
      </c>
      <c r="AJ10" s="337">
        <f>F10-'BS old'!$D$35</f>
        <v>0</v>
      </c>
      <c r="AK10" s="337">
        <f>G10-'BS old'!$D$36</f>
        <v>0</v>
      </c>
      <c r="AL10" s="337">
        <f>H10-'BS old'!$D$37</f>
        <v>0</v>
      </c>
      <c r="AM10" s="337">
        <f>I10-'BS old'!$D$38</f>
        <v>0</v>
      </c>
      <c r="AN10" s="341">
        <f>J10-'BS old'!$D$30</f>
        <v>0</v>
      </c>
    </row>
    <row r="11" spans="1:40" ht="15" customHeight="1" thickTop="1" thickBot="1">
      <c r="A11" s="41" t="s">
        <v>31</v>
      </c>
      <c r="B11" s="42"/>
      <c r="C11" s="42"/>
      <c r="D11" s="42"/>
      <c r="E11" s="42"/>
      <c r="F11" s="42"/>
      <c r="G11" s="42"/>
      <c r="H11" s="42"/>
      <c r="I11" s="42"/>
      <c r="J11" s="43"/>
      <c r="L11" s="335"/>
      <c r="T11" s="341"/>
      <c r="W11" s="336"/>
      <c r="X11" s="336"/>
      <c r="Y11" s="336"/>
      <c r="Z11" s="336"/>
      <c r="AA11" s="336"/>
      <c r="AB11" s="336"/>
      <c r="AC11" s="336"/>
    </row>
    <row r="12" spans="1:40" ht="15" customHeight="1" thickTop="1" thickBot="1">
      <c r="A12" s="44" t="s">
        <v>32</v>
      </c>
      <c r="B12" s="22"/>
      <c r="C12" s="22"/>
      <c r="D12" s="22"/>
      <c r="E12" s="22"/>
      <c r="F12" s="22"/>
      <c r="G12" s="22"/>
      <c r="H12" s="22"/>
      <c r="I12" s="22"/>
      <c r="J12" s="15">
        <f>SUM(B12:H12)</f>
        <v>0</v>
      </c>
      <c r="L12" s="335"/>
      <c r="T12" s="341">
        <f t="shared" ref="T12:T14" si="5">SUM(B12:I12)-J12</f>
        <v>0</v>
      </c>
      <c r="V12" s="337">
        <f>B12-B39</f>
        <v>0</v>
      </c>
      <c r="W12" s="337">
        <f t="shared" ref="W12:AB12" si="6">C12-C39</f>
        <v>0</v>
      </c>
      <c r="X12" s="337">
        <f t="shared" si="6"/>
        <v>0</v>
      </c>
      <c r="Y12" s="337">
        <f t="shared" si="6"/>
        <v>0</v>
      </c>
      <c r="Z12" s="337">
        <f>F12-F39</f>
        <v>0</v>
      </c>
      <c r="AA12" s="337">
        <f t="shared" si="6"/>
        <v>0</v>
      </c>
      <c r="AB12" s="337">
        <f t="shared" si="6"/>
        <v>0</v>
      </c>
      <c r="AC12" s="337">
        <f>I12-I39</f>
        <v>0</v>
      </c>
      <c r="AD12" s="341">
        <f>J12-J39</f>
        <v>0</v>
      </c>
    </row>
    <row r="13" spans="1:40" ht="15" customHeight="1" thickBot="1">
      <c r="A13" s="14" t="s">
        <v>27</v>
      </c>
      <c r="B13" s="22"/>
      <c r="C13" s="22"/>
      <c r="D13" s="22"/>
      <c r="E13" s="22"/>
      <c r="F13" s="22"/>
      <c r="G13" s="22"/>
      <c r="H13" s="22"/>
      <c r="I13" s="22"/>
      <c r="J13" s="15">
        <f t="shared" ref="J13:J14" si="7">SUM(B13:H13)</f>
        <v>0</v>
      </c>
      <c r="L13" s="335"/>
      <c r="T13" s="341">
        <f t="shared" si="5"/>
        <v>0</v>
      </c>
      <c r="W13" s="336"/>
      <c r="X13" s="336"/>
      <c r="Y13" s="336"/>
      <c r="Z13" s="336"/>
      <c r="AA13" s="336"/>
      <c r="AB13" s="336"/>
      <c r="AC13" s="336"/>
    </row>
    <row r="14" spans="1:40" ht="15" customHeight="1" thickBot="1">
      <c r="A14" s="14" t="s">
        <v>28</v>
      </c>
      <c r="B14" s="22"/>
      <c r="C14" s="22"/>
      <c r="D14" s="22"/>
      <c r="E14" s="22"/>
      <c r="F14" s="22"/>
      <c r="G14" s="22"/>
      <c r="H14" s="22"/>
      <c r="I14" s="22"/>
      <c r="J14" s="15">
        <f t="shared" si="7"/>
        <v>0</v>
      </c>
      <c r="L14" s="335"/>
      <c r="T14" s="341">
        <f t="shared" si="5"/>
        <v>0</v>
      </c>
      <c r="W14" s="336"/>
      <c r="X14" s="336"/>
      <c r="Y14" s="336"/>
      <c r="Z14" s="336"/>
      <c r="AA14" s="336"/>
      <c r="AB14" s="336"/>
      <c r="AC14" s="336"/>
      <c r="AF14" s="343" t="s">
        <v>1059</v>
      </c>
    </row>
    <row r="15" spans="1:40" ht="15" customHeight="1" thickBot="1">
      <c r="A15" s="25" t="s">
        <v>30</v>
      </c>
      <c r="B15" s="26">
        <f>B12+B13-B14</f>
        <v>0</v>
      </c>
      <c r="C15" s="26">
        <f>C12+C13-C14</f>
        <v>0</v>
      </c>
      <c r="D15" s="26">
        <f t="shared" ref="D15:I15" si="8">D12+D13-D14</f>
        <v>0</v>
      </c>
      <c r="E15" s="26">
        <f t="shared" si="8"/>
        <v>0</v>
      </c>
      <c r="F15" s="26">
        <f t="shared" si="8"/>
        <v>0</v>
      </c>
      <c r="G15" s="26">
        <f>G12+G13-G14</f>
        <v>0</v>
      </c>
      <c r="H15" s="26">
        <f t="shared" si="8"/>
        <v>0</v>
      </c>
      <c r="I15" s="26">
        <f t="shared" si="8"/>
        <v>0</v>
      </c>
      <c r="J15" s="17">
        <f>J12+J13-J14</f>
        <v>0</v>
      </c>
      <c r="L15" s="338">
        <f>B12+B13-B14-B15</f>
        <v>0</v>
      </c>
      <c r="M15" s="337">
        <f t="shared" ref="M15:T15" si="9">C12+C13-C14-C15</f>
        <v>0</v>
      </c>
      <c r="N15" s="337">
        <f t="shared" si="9"/>
        <v>0</v>
      </c>
      <c r="O15" s="337">
        <f t="shared" si="9"/>
        <v>0</v>
      </c>
      <c r="P15" s="337">
        <f t="shared" si="9"/>
        <v>0</v>
      </c>
      <c r="Q15" s="337">
        <f t="shared" si="9"/>
        <v>0</v>
      </c>
      <c r="R15" s="337">
        <f t="shared" si="9"/>
        <v>0</v>
      </c>
      <c r="S15" s="337">
        <f t="shared" si="9"/>
        <v>0</v>
      </c>
      <c r="T15" s="337">
        <f t="shared" si="9"/>
        <v>0</v>
      </c>
      <c r="W15" s="336"/>
      <c r="X15" s="336"/>
      <c r="Y15" s="336"/>
      <c r="Z15" s="336"/>
      <c r="AA15" s="336"/>
      <c r="AB15" s="336"/>
      <c r="AC15" s="336"/>
      <c r="AF15" s="338">
        <f>B15+B20-'BS old'!$E$31</f>
        <v>0</v>
      </c>
      <c r="AG15" s="337">
        <f>C15+C20-'BS old'!$E$32</f>
        <v>0</v>
      </c>
      <c r="AH15" s="337">
        <f>D15+D20-'BS old'!$E$33</f>
        <v>0</v>
      </c>
      <c r="AI15" s="337">
        <f>E15+E20-'BS old'!$E$34</f>
        <v>0</v>
      </c>
      <c r="AJ15" s="337">
        <f>F15+F20-'BS old'!$E$35</f>
        <v>0</v>
      </c>
      <c r="AK15" s="337">
        <f>G15+G20-'BS old'!$E$36</f>
        <v>0</v>
      </c>
      <c r="AL15" s="337">
        <f>H15+H20-'BS old'!$E$37</f>
        <v>0</v>
      </c>
      <c r="AM15" s="337">
        <f>I15+I20-'BS old'!$E$38</f>
        <v>0</v>
      </c>
      <c r="AN15" s="341">
        <f>J15+J20-'BS old'!$E$30</f>
        <v>0</v>
      </c>
    </row>
    <row r="16" spans="1:40" ht="15" customHeight="1" thickTop="1" thickBot="1">
      <c r="A16" s="41" t="s">
        <v>33</v>
      </c>
      <c r="B16" s="42"/>
      <c r="C16" s="42"/>
      <c r="D16" s="42"/>
      <c r="E16" s="42"/>
      <c r="F16" s="42"/>
      <c r="G16" s="42"/>
      <c r="H16" s="42"/>
      <c r="I16" s="42"/>
      <c r="J16" s="43"/>
      <c r="L16" s="335"/>
      <c r="T16" s="341"/>
      <c r="W16" s="336"/>
      <c r="X16" s="336"/>
      <c r="Y16" s="336"/>
      <c r="Z16" s="336"/>
      <c r="AA16" s="336"/>
      <c r="AB16" s="336"/>
      <c r="AC16" s="336"/>
      <c r="AG16" s="336"/>
      <c r="AH16" s="336"/>
      <c r="AI16" s="336"/>
      <c r="AJ16" s="336"/>
      <c r="AK16" s="336"/>
      <c r="AL16" s="336"/>
    </row>
    <row r="17" spans="1:40" ht="15" customHeight="1" thickTop="1" thickBot="1">
      <c r="A17" s="44" t="s">
        <v>32</v>
      </c>
      <c r="B17" s="22"/>
      <c r="C17" s="22"/>
      <c r="D17" s="22"/>
      <c r="E17" s="22"/>
      <c r="F17" s="22"/>
      <c r="G17" s="22"/>
      <c r="H17" s="22"/>
      <c r="I17" s="22"/>
      <c r="J17" s="15">
        <f>SUM(B17:H17)</f>
        <v>0</v>
      </c>
      <c r="L17" s="335"/>
      <c r="T17" s="341">
        <f t="shared" ref="T17:T19" si="10">SUM(B17:I17)-J17</f>
        <v>0</v>
      </c>
      <c r="V17" s="337">
        <f>B17-B44</f>
        <v>0</v>
      </c>
      <c r="W17" s="337">
        <f t="shared" ref="W17:AB17" si="11">C17-C44</f>
        <v>0</v>
      </c>
      <c r="X17" s="337">
        <f t="shared" si="11"/>
        <v>0</v>
      </c>
      <c r="Y17" s="337">
        <f t="shared" si="11"/>
        <v>0</v>
      </c>
      <c r="Z17" s="337">
        <f t="shared" si="11"/>
        <v>0</v>
      </c>
      <c r="AA17" s="337">
        <f t="shared" si="11"/>
        <v>0</v>
      </c>
      <c r="AB17" s="337">
        <f t="shared" si="11"/>
        <v>0</v>
      </c>
      <c r="AC17" s="337">
        <f>I17-I44</f>
        <v>0</v>
      </c>
      <c r="AD17" s="341">
        <f>J17-J44</f>
        <v>0</v>
      </c>
      <c r="AG17" s="336"/>
      <c r="AH17" s="336"/>
      <c r="AI17" s="336"/>
      <c r="AJ17" s="336"/>
      <c r="AK17" s="336"/>
      <c r="AL17" s="336"/>
    </row>
    <row r="18" spans="1:40" ht="15" customHeight="1" thickBot="1">
      <c r="A18" s="14" t="s">
        <v>27</v>
      </c>
      <c r="B18" s="22"/>
      <c r="C18" s="22"/>
      <c r="D18" s="22"/>
      <c r="E18" s="22"/>
      <c r="F18" s="22"/>
      <c r="G18" s="22"/>
      <c r="H18" s="22"/>
      <c r="I18" s="22"/>
      <c r="J18" s="15">
        <f t="shared" ref="J18:J19" si="12">SUM(B18:H18)</f>
        <v>0</v>
      </c>
      <c r="L18" s="335"/>
      <c r="T18" s="341">
        <f t="shared" si="10"/>
        <v>0</v>
      </c>
      <c r="W18" s="336"/>
      <c r="X18" s="336"/>
      <c r="Y18" s="336"/>
      <c r="Z18" s="336"/>
      <c r="AA18" s="336"/>
      <c r="AB18" s="336"/>
      <c r="AC18" s="336"/>
      <c r="AG18" s="336"/>
      <c r="AH18" s="336"/>
      <c r="AI18" s="336"/>
      <c r="AJ18" s="336"/>
      <c r="AK18" s="336"/>
      <c r="AL18" s="336"/>
    </row>
    <row r="19" spans="1:40" ht="15" customHeight="1" thickBot="1">
      <c r="A19" s="14" t="s">
        <v>28</v>
      </c>
      <c r="B19" s="22"/>
      <c r="C19" s="22"/>
      <c r="D19" s="22"/>
      <c r="E19" s="22"/>
      <c r="F19" s="22"/>
      <c r="G19" s="22"/>
      <c r="H19" s="22"/>
      <c r="I19" s="22"/>
      <c r="J19" s="15">
        <f t="shared" si="12"/>
        <v>0</v>
      </c>
      <c r="L19" s="335"/>
      <c r="T19" s="341">
        <f t="shared" si="10"/>
        <v>0</v>
      </c>
      <c r="W19" s="336"/>
      <c r="X19" s="336"/>
      <c r="Y19" s="336"/>
      <c r="Z19" s="336"/>
      <c r="AA19" s="336"/>
      <c r="AB19" s="336"/>
      <c r="AC19" s="336"/>
      <c r="AG19" s="336"/>
      <c r="AH19" s="336"/>
      <c r="AI19" s="336"/>
      <c r="AJ19" s="336"/>
      <c r="AK19" s="336"/>
      <c r="AL19" s="336"/>
    </row>
    <row r="20" spans="1:40" ht="15" customHeight="1" thickBot="1">
      <c r="A20" s="25" t="s">
        <v>30</v>
      </c>
      <c r="B20" s="26">
        <f>B17+B18-B19</f>
        <v>0</v>
      </c>
      <c r="C20" s="26">
        <f>C17+C18-C19</f>
        <v>0</v>
      </c>
      <c r="D20" s="26">
        <f t="shared" ref="D20" si="13">D17+D18-D19</f>
        <v>0</v>
      </c>
      <c r="E20" s="26">
        <f t="shared" ref="E20" si="14">E17+E18-E19</f>
        <v>0</v>
      </c>
      <c r="F20" s="26">
        <f t="shared" ref="F20" si="15">F17+F18-F19</f>
        <v>0</v>
      </c>
      <c r="G20" s="26">
        <f t="shared" ref="G20" si="16">G17+G18-G19</f>
        <v>0</v>
      </c>
      <c r="H20" s="26">
        <f t="shared" ref="H20" si="17">H17+H18-H19</f>
        <v>0</v>
      </c>
      <c r="I20" s="26">
        <f t="shared" ref="I20" si="18">I17+I18-I19</f>
        <v>0</v>
      </c>
      <c r="J20" s="17">
        <f>J17+J18-J19</f>
        <v>0</v>
      </c>
      <c r="L20" s="338">
        <f>B17+B18-B19-B20</f>
        <v>0</v>
      </c>
      <c r="M20" s="337">
        <f t="shared" ref="M20:T20" si="19">C17+C18-C19-C20</f>
        <v>0</v>
      </c>
      <c r="N20" s="337">
        <f t="shared" si="19"/>
        <v>0</v>
      </c>
      <c r="O20" s="337">
        <f t="shared" si="19"/>
        <v>0</v>
      </c>
      <c r="P20" s="337">
        <f t="shared" si="19"/>
        <v>0</v>
      </c>
      <c r="Q20" s="337">
        <f t="shared" si="19"/>
        <v>0</v>
      </c>
      <c r="R20" s="337">
        <f t="shared" si="19"/>
        <v>0</v>
      </c>
      <c r="S20" s="337">
        <f t="shared" si="19"/>
        <v>0</v>
      </c>
      <c r="T20" s="337">
        <f t="shared" si="19"/>
        <v>0</v>
      </c>
      <c r="W20" s="336"/>
      <c r="X20" s="336"/>
      <c r="Y20" s="336"/>
      <c r="Z20" s="336"/>
      <c r="AA20" s="336"/>
      <c r="AB20" s="336"/>
      <c r="AC20" s="336"/>
      <c r="AG20" s="336"/>
      <c r="AH20" s="336"/>
      <c r="AI20" s="336"/>
      <c r="AJ20" s="336"/>
      <c r="AK20" s="336"/>
      <c r="AL20" s="336"/>
    </row>
    <row r="21" spans="1:40" ht="15" customHeight="1" thickTop="1" thickBot="1">
      <c r="A21" s="41" t="s">
        <v>34</v>
      </c>
      <c r="B21" s="42"/>
      <c r="C21" s="42"/>
      <c r="D21" s="42"/>
      <c r="E21" s="42"/>
      <c r="F21" s="42"/>
      <c r="G21" s="42"/>
      <c r="H21" s="42"/>
      <c r="I21" s="42"/>
      <c r="J21" s="43"/>
      <c r="L21" s="335"/>
      <c r="T21" s="341"/>
      <c r="W21" s="336"/>
      <c r="X21" s="336"/>
      <c r="Y21" s="336"/>
      <c r="Z21" s="336"/>
      <c r="AA21" s="336"/>
      <c r="AB21" s="336"/>
      <c r="AC21" s="336"/>
      <c r="AG21" s="336"/>
      <c r="AH21" s="336"/>
      <c r="AI21" s="336"/>
      <c r="AJ21" s="336"/>
      <c r="AK21" s="336"/>
      <c r="AL21" s="336"/>
    </row>
    <row r="22" spans="1:40" ht="15" customHeight="1" thickTop="1" thickBot="1">
      <c r="A22" s="44" t="s">
        <v>32</v>
      </c>
      <c r="B22" s="22">
        <f>B6-B12-B17</f>
        <v>0</v>
      </c>
      <c r="C22" s="22">
        <f t="shared" ref="C22:J22" si="20">C6-C12-C17</f>
        <v>0</v>
      </c>
      <c r="D22" s="22">
        <f t="shared" si="20"/>
        <v>0</v>
      </c>
      <c r="E22" s="22">
        <f t="shared" si="20"/>
        <v>0</v>
      </c>
      <c r="F22" s="22">
        <f t="shared" si="20"/>
        <v>0</v>
      </c>
      <c r="G22" s="22">
        <f t="shared" si="20"/>
        <v>0</v>
      </c>
      <c r="H22" s="22">
        <f t="shared" si="20"/>
        <v>0</v>
      </c>
      <c r="I22" s="22">
        <f t="shared" si="20"/>
        <v>0</v>
      </c>
      <c r="J22" s="15">
        <f t="shared" si="20"/>
        <v>0</v>
      </c>
      <c r="L22" s="338">
        <f>B6-B12-B17-B22</f>
        <v>0</v>
      </c>
      <c r="M22" s="337">
        <f t="shared" ref="M22:S22" si="21">C6-C12-C17-C22</f>
        <v>0</v>
      </c>
      <c r="N22" s="337">
        <f t="shared" si="21"/>
        <v>0</v>
      </c>
      <c r="O22" s="337">
        <f t="shared" si="21"/>
        <v>0</v>
      </c>
      <c r="P22" s="337">
        <f t="shared" si="21"/>
        <v>0</v>
      </c>
      <c r="Q22" s="337">
        <f t="shared" si="21"/>
        <v>0</v>
      </c>
      <c r="R22" s="337">
        <f t="shared" si="21"/>
        <v>0</v>
      </c>
      <c r="S22" s="337">
        <f t="shared" si="21"/>
        <v>0</v>
      </c>
      <c r="T22" s="341">
        <f t="shared" ref="T22:T23" si="22">SUM(B22:I22)-J22</f>
        <v>0</v>
      </c>
      <c r="V22" s="337">
        <f>B22-B47</f>
        <v>0</v>
      </c>
      <c r="W22" s="337">
        <f t="shared" ref="W22:AB22" si="23">C22-C47</f>
        <v>0</v>
      </c>
      <c r="X22" s="337">
        <f t="shared" si="23"/>
        <v>0</v>
      </c>
      <c r="Y22" s="337">
        <f t="shared" si="23"/>
        <v>0</v>
      </c>
      <c r="Z22" s="337">
        <f t="shared" si="23"/>
        <v>0</v>
      </c>
      <c r="AA22" s="337">
        <f t="shared" si="23"/>
        <v>0</v>
      </c>
      <c r="AB22" s="337">
        <f t="shared" si="23"/>
        <v>0</v>
      </c>
      <c r="AC22" s="337">
        <f>I22-I47</f>
        <v>0</v>
      </c>
      <c r="AD22" s="341">
        <f>J22-J47</f>
        <v>0</v>
      </c>
      <c r="AG22" s="336"/>
      <c r="AH22" s="336"/>
      <c r="AI22" s="336"/>
      <c r="AJ22" s="336"/>
      <c r="AK22" s="336"/>
      <c r="AL22" s="336"/>
    </row>
    <row r="23" spans="1:40" ht="15" customHeight="1" thickBot="1">
      <c r="A23" s="25" t="s">
        <v>30</v>
      </c>
      <c r="B23" s="26">
        <f>B10-B15-B20</f>
        <v>0</v>
      </c>
      <c r="C23" s="26">
        <f t="shared" ref="C23:J23" si="24">C10-C15-C20</f>
        <v>0</v>
      </c>
      <c r="D23" s="26">
        <f t="shared" si="24"/>
        <v>0</v>
      </c>
      <c r="E23" s="26">
        <f t="shared" si="24"/>
        <v>0</v>
      </c>
      <c r="F23" s="26">
        <f t="shared" si="24"/>
        <v>0</v>
      </c>
      <c r="G23" s="26">
        <f t="shared" si="24"/>
        <v>0</v>
      </c>
      <c r="H23" s="26">
        <f t="shared" si="24"/>
        <v>0</v>
      </c>
      <c r="I23" s="26">
        <f t="shared" si="24"/>
        <v>0</v>
      </c>
      <c r="J23" s="17">
        <f t="shared" si="24"/>
        <v>0</v>
      </c>
      <c r="L23" s="338">
        <f>B10-B15-B20-B23</f>
        <v>0</v>
      </c>
      <c r="M23" s="337">
        <f t="shared" ref="M23:S23" si="25">C10-C15-C20-C23</f>
        <v>0</v>
      </c>
      <c r="N23" s="337">
        <f t="shared" si="25"/>
        <v>0</v>
      </c>
      <c r="O23" s="337">
        <f t="shared" si="25"/>
        <v>0</v>
      </c>
      <c r="P23" s="337">
        <f t="shared" si="25"/>
        <v>0</v>
      </c>
      <c r="Q23" s="337">
        <f t="shared" si="25"/>
        <v>0</v>
      </c>
      <c r="R23" s="337">
        <f t="shared" si="25"/>
        <v>0</v>
      </c>
      <c r="S23" s="337">
        <f t="shared" si="25"/>
        <v>0</v>
      </c>
      <c r="T23" s="341">
        <f t="shared" si="22"/>
        <v>0</v>
      </c>
      <c r="AF23" s="338">
        <f>B23-'BS old'!$F$31</f>
        <v>0</v>
      </c>
      <c r="AG23" s="337">
        <f>C23-'BS old'!$F$32</f>
        <v>0</v>
      </c>
      <c r="AH23" s="337">
        <f>D23-'BS old'!$F$33</f>
        <v>0</v>
      </c>
      <c r="AI23" s="337">
        <f>E23-'BS old'!$F$34</f>
        <v>0</v>
      </c>
      <c r="AJ23" s="337">
        <f>F23-'BS old'!$F$35</f>
        <v>0</v>
      </c>
      <c r="AK23" s="337">
        <f>G23-'BS old'!$F$36</f>
        <v>0</v>
      </c>
      <c r="AL23" s="337">
        <f>H23-'BS old'!$F$37</f>
        <v>0</v>
      </c>
      <c r="AM23" s="337">
        <f>I23-'BS old'!$F$38</f>
        <v>0</v>
      </c>
      <c r="AN23" s="341">
        <f>J23-'BS old'!$F$30</f>
        <v>0</v>
      </c>
    </row>
    <row r="24" spans="1:40" ht="15.75" thickTop="1">
      <c r="A24" s="20"/>
      <c r="B24" s="20"/>
      <c r="C24" s="20"/>
      <c r="D24" s="20"/>
      <c r="E24" s="20"/>
      <c r="F24" s="20"/>
      <c r="G24" s="20"/>
      <c r="H24" s="20"/>
      <c r="I24" s="20"/>
      <c r="J24" s="20"/>
    </row>
    <row r="25" spans="1:40">
      <c r="A25" s="20"/>
      <c r="B25" s="20"/>
      <c r="C25" s="20"/>
      <c r="D25" s="20"/>
      <c r="E25" s="20"/>
      <c r="F25" s="20"/>
      <c r="G25" s="20"/>
      <c r="H25" s="20"/>
      <c r="I25" s="20"/>
      <c r="J25" s="20"/>
    </row>
    <row r="26" spans="1:40" ht="15.75" thickBot="1">
      <c r="A26" s="20" t="s">
        <v>15</v>
      </c>
      <c r="B26" s="20"/>
      <c r="C26" s="20"/>
      <c r="D26" s="20"/>
      <c r="E26" s="20"/>
      <c r="F26" s="20"/>
      <c r="G26" s="20"/>
      <c r="H26" s="20"/>
      <c r="I26" s="20"/>
      <c r="J26" s="20"/>
    </row>
    <row r="27" spans="1:40" ht="16.5" thickTop="1" thickBot="1">
      <c r="A27" s="1556" t="s">
        <v>55</v>
      </c>
      <c r="B27" s="1558" t="s">
        <v>3</v>
      </c>
      <c r="C27" s="1564"/>
      <c r="D27" s="1564"/>
      <c r="E27" s="1564"/>
      <c r="F27" s="1564"/>
      <c r="G27" s="1564"/>
      <c r="H27" s="1564"/>
      <c r="I27" s="1564"/>
      <c r="J27" s="1559"/>
      <c r="K27" s="344"/>
    </row>
    <row r="28" spans="1:40" ht="60.75" customHeight="1" thickTop="1" thickBot="1">
      <c r="A28" s="1563"/>
      <c r="B28" s="136" t="s">
        <v>51</v>
      </c>
      <c r="C28" s="137" t="s">
        <v>495</v>
      </c>
      <c r="D28" s="136" t="s">
        <v>52</v>
      </c>
      <c r="E28" s="137" t="s">
        <v>494</v>
      </c>
      <c r="F28" s="136" t="s">
        <v>53</v>
      </c>
      <c r="G28" s="136" t="s">
        <v>54</v>
      </c>
      <c r="H28" s="137" t="s">
        <v>446</v>
      </c>
      <c r="I28" s="136" t="s">
        <v>447</v>
      </c>
      <c r="J28" s="136" t="s">
        <v>14</v>
      </c>
    </row>
    <row r="29" spans="1:40" ht="15" customHeight="1" thickTop="1" thickBot="1">
      <c r="A29" s="41" t="s">
        <v>25</v>
      </c>
      <c r="B29" s="42"/>
      <c r="C29" s="42"/>
      <c r="D29" s="42"/>
      <c r="E29" s="42"/>
      <c r="F29" s="42"/>
      <c r="G29" s="42"/>
      <c r="H29" s="42"/>
      <c r="I29" s="42"/>
      <c r="J29" s="43"/>
      <c r="K29" s="344"/>
    </row>
    <row r="30" spans="1:40" ht="15" customHeight="1" thickTop="1" thickBot="1">
      <c r="A30" s="44" t="s">
        <v>26</v>
      </c>
      <c r="B30" s="22"/>
      <c r="C30" s="22"/>
      <c r="D30" s="22"/>
      <c r="E30" s="22"/>
      <c r="F30" s="45"/>
      <c r="G30" s="22"/>
      <c r="H30" s="22"/>
      <c r="I30" s="22"/>
      <c r="J30" s="15">
        <f>SUM(B30:H30)</f>
        <v>0</v>
      </c>
      <c r="T30" s="341">
        <f>SUM(B30:I30)-J30</f>
        <v>0</v>
      </c>
    </row>
    <row r="31" spans="1:40" ht="15" customHeight="1" thickBot="1">
      <c r="A31" s="14" t="s">
        <v>27</v>
      </c>
      <c r="B31" s="22"/>
      <c r="C31" s="22"/>
      <c r="D31" s="22"/>
      <c r="E31" s="22"/>
      <c r="F31" s="46"/>
      <c r="G31" s="22"/>
      <c r="H31" s="22"/>
      <c r="I31" s="22"/>
      <c r="J31" s="15">
        <f t="shared" ref="J31:J33" si="26">SUM(B31:H31)</f>
        <v>0</v>
      </c>
      <c r="T31" s="341">
        <f t="shared" ref="T31:T33" si="27">SUM(B31:I31)-J31</f>
        <v>0</v>
      </c>
    </row>
    <row r="32" spans="1:40" ht="15" customHeight="1" thickBot="1">
      <c r="A32" s="14" t="s">
        <v>28</v>
      </c>
      <c r="B32" s="22"/>
      <c r="C32" s="22"/>
      <c r="D32" s="22"/>
      <c r="E32" s="22"/>
      <c r="F32" s="46"/>
      <c r="G32" s="22"/>
      <c r="H32" s="22"/>
      <c r="I32" s="22"/>
      <c r="J32" s="15">
        <f t="shared" si="26"/>
        <v>0</v>
      </c>
      <c r="T32" s="341">
        <f t="shared" si="27"/>
        <v>0</v>
      </c>
    </row>
    <row r="33" spans="1:40" ht="15" customHeight="1" thickBot="1">
      <c r="A33" s="14" t="s">
        <v>29</v>
      </c>
      <c r="B33" s="22"/>
      <c r="C33" s="22"/>
      <c r="D33" s="22"/>
      <c r="E33" s="22"/>
      <c r="F33" s="46"/>
      <c r="G33" s="22"/>
      <c r="H33" s="22"/>
      <c r="I33" s="22"/>
      <c r="J33" s="15">
        <f t="shared" si="26"/>
        <v>0</v>
      </c>
      <c r="T33" s="341">
        <f t="shared" si="27"/>
        <v>0</v>
      </c>
    </row>
    <row r="34" spans="1:40" ht="15" customHeight="1" thickBot="1">
      <c r="A34" s="25" t="s">
        <v>30</v>
      </c>
      <c r="B34" s="26">
        <f>B30+B31-B32+B33</f>
        <v>0</v>
      </c>
      <c r="C34" s="26">
        <f>C30+C31-C32+C33</f>
        <v>0</v>
      </c>
      <c r="D34" s="26">
        <f>D30+D31-D32+D33</f>
        <v>0</v>
      </c>
      <c r="E34" s="26">
        <f t="shared" ref="E34:H34" si="28">E30+E31-E32+E33</f>
        <v>0</v>
      </c>
      <c r="F34" s="26">
        <f t="shared" si="28"/>
        <v>0</v>
      </c>
      <c r="G34" s="26">
        <f t="shared" si="28"/>
        <v>0</v>
      </c>
      <c r="H34" s="26">
        <f t="shared" si="28"/>
        <v>0</v>
      </c>
      <c r="I34" s="26">
        <f>I30+I31-I32+I33</f>
        <v>0</v>
      </c>
      <c r="J34" s="17">
        <f>J30+J31-J32+J33</f>
        <v>0</v>
      </c>
      <c r="L34" s="338">
        <f>B30+B31-B32+B33-B34</f>
        <v>0</v>
      </c>
      <c r="M34" s="337">
        <f t="shared" ref="M34:T34" si="29">C30+C31-C32+C33-C34</f>
        <v>0</v>
      </c>
      <c r="N34" s="337">
        <f t="shared" si="29"/>
        <v>0</v>
      </c>
      <c r="O34" s="337">
        <f t="shared" si="29"/>
        <v>0</v>
      </c>
      <c r="P34" s="337">
        <f t="shared" si="29"/>
        <v>0</v>
      </c>
      <c r="Q34" s="337">
        <f t="shared" si="29"/>
        <v>0</v>
      </c>
      <c r="R34" s="337">
        <f t="shared" si="29"/>
        <v>0</v>
      </c>
      <c r="S34" s="337">
        <f t="shared" si="29"/>
        <v>0</v>
      </c>
      <c r="T34" s="337">
        <f t="shared" si="29"/>
        <v>0</v>
      </c>
    </row>
    <row r="35" spans="1:40" ht="15" customHeight="1" thickTop="1" thickBot="1">
      <c r="A35" s="41" t="s">
        <v>31</v>
      </c>
      <c r="B35" s="42"/>
      <c r="C35" s="42"/>
      <c r="D35" s="42"/>
      <c r="E35" s="42"/>
      <c r="F35" s="42"/>
      <c r="G35" s="42"/>
      <c r="H35" s="42"/>
      <c r="I35" s="42"/>
      <c r="J35" s="43"/>
      <c r="L35" s="335"/>
      <c r="T35" s="341"/>
    </row>
    <row r="36" spans="1:40" ht="15" customHeight="1" thickTop="1" thickBot="1">
      <c r="A36" s="44" t="s">
        <v>32</v>
      </c>
      <c r="B36" s="22"/>
      <c r="C36" s="22"/>
      <c r="D36" s="22"/>
      <c r="E36" s="22"/>
      <c r="F36" s="22"/>
      <c r="G36" s="22"/>
      <c r="H36" s="22"/>
      <c r="I36" s="22"/>
      <c r="J36" s="15">
        <f>SUM(B36:H36)</f>
        <v>0</v>
      </c>
      <c r="L36" s="335"/>
      <c r="T36" s="341">
        <f t="shared" ref="T36:T38" si="30">SUM(B36:I36)-J36</f>
        <v>0</v>
      </c>
    </row>
    <row r="37" spans="1:40" ht="15" customHeight="1" thickBot="1">
      <c r="A37" s="14" t="s">
        <v>27</v>
      </c>
      <c r="B37" s="22"/>
      <c r="C37" s="22"/>
      <c r="D37" s="22"/>
      <c r="E37" s="22"/>
      <c r="F37" s="22"/>
      <c r="G37" s="22"/>
      <c r="H37" s="22"/>
      <c r="I37" s="22"/>
      <c r="J37" s="15">
        <f t="shared" ref="J37:J38" si="31">SUM(B37:H37)</f>
        <v>0</v>
      </c>
      <c r="L37" s="335"/>
      <c r="T37" s="341">
        <f t="shared" si="30"/>
        <v>0</v>
      </c>
    </row>
    <row r="38" spans="1:40" ht="15" customHeight="1" thickBot="1">
      <c r="A38" s="14" t="s">
        <v>28</v>
      </c>
      <c r="B38" s="22"/>
      <c r="C38" s="22"/>
      <c r="D38" s="22"/>
      <c r="E38" s="22"/>
      <c r="F38" s="22"/>
      <c r="G38" s="22"/>
      <c r="H38" s="22"/>
      <c r="I38" s="22"/>
      <c r="J38" s="15">
        <f t="shared" si="31"/>
        <v>0</v>
      </c>
      <c r="L38" s="335"/>
      <c r="T38" s="341">
        <f t="shared" si="30"/>
        <v>0</v>
      </c>
    </row>
    <row r="39" spans="1:40" ht="15" customHeight="1" thickBot="1">
      <c r="A39" s="25" t="s">
        <v>30</v>
      </c>
      <c r="B39" s="26">
        <f>B36+B37-B38</f>
        <v>0</v>
      </c>
      <c r="C39" s="26">
        <f>C36+C37-C38</f>
        <v>0</v>
      </c>
      <c r="D39" s="26">
        <f t="shared" ref="D39:I39" si="32">D36+D37-D38</f>
        <v>0</v>
      </c>
      <c r="E39" s="26">
        <f t="shared" si="32"/>
        <v>0</v>
      </c>
      <c r="F39" s="26">
        <f t="shared" si="32"/>
        <v>0</v>
      </c>
      <c r="G39" s="26">
        <f t="shared" si="32"/>
        <v>0</v>
      </c>
      <c r="H39" s="26">
        <f t="shared" si="32"/>
        <v>0</v>
      </c>
      <c r="I39" s="26">
        <f t="shared" si="32"/>
        <v>0</v>
      </c>
      <c r="J39" s="17">
        <f>J36+J37-J38</f>
        <v>0</v>
      </c>
      <c r="L39" s="338">
        <f>B36+B37-B38-B39</f>
        <v>0</v>
      </c>
      <c r="M39" s="337">
        <f t="shared" ref="M39:T39" si="33">C36+C37-C38-C39</f>
        <v>0</v>
      </c>
      <c r="N39" s="337">
        <f t="shared" si="33"/>
        <v>0</v>
      </c>
      <c r="O39" s="337">
        <f t="shared" si="33"/>
        <v>0</v>
      </c>
      <c r="P39" s="337">
        <f t="shared" si="33"/>
        <v>0</v>
      </c>
      <c r="Q39" s="337">
        <f t="shared" si="33"/>
        <v>0</v>
      </c>
      <c r="R39" s="337">
        <f t="shared" si="33"/>
        <v>0</v>
      </c>
      <c r="S39" s="337">
        <f t="shared" si="33"/>
        <v>0</v>
      </c>
      <c r="T39" s="337">
        <f t="shared" si="33"/>
        <v>0</v>
      </c>
    </row>
    <row r="40" spans="1:40" ht="15" customHeight="1" thickTop="1" thickBot="1">
      <c r="A40" s="41" t="s">
        <v>33</v>
      </c>
      <c r="B40" s="42"/>
      <c r="C40" s="42"/>
      <c r="D40" s="42"/>
      <c r="E40" s="42"/>
      <c r="F40" s="42"/>
      <c r="G40" s="42"/>
      <c r="H40" s="42"/>
      <c r="I40" s="42"/>
      <c r="J40" s="43"/>
      <c r="L40" s="335"/>
      <c r="T40" s="341"/>
    </row>
    <row r="41" spans="1:40" ht="15" customHeight="1" thickTop="1" thickBot="1">
      <c r="A41" s="44" t="s">
        <v>32</v>
      </c>
      <c r="B41" s="22"/>
      <c r="C41" s="22"/>
      <c r="D41" s="22"/>
      <c r="E41" s="22"/>
      <c r="F41" s="22"/>
      <c r="G41" s="22"/>
      <c r="H41" s="22"/>
      <c r="I41" s="22"/>
      <c r="J41" s="15">
        <f>SUM(B41:H41)</f>
        <v>0</v>
      </c>
      <c r="L41" s="335"/>
      <c r="T41" s="341">
        <f t="shared" ref="T41:T43" si="34">SUM(B41:I41)-J41</f>
        <v>0</v>
      </c>
    </row>
    <row r="42" spans="1:40" ht="15" customHeight="1" thickBot="1">
      <c r="A42" s="14" t="s">
        <v>27</v>
      </c>
      <c r="B42" s="22"/>
      <c r="C42" s="22"/>
      <c r="D42" s="22"/>
      <c r="E42" s="22"/>
      <c r="F42" s="22"/>
      <c r="G42" s="22"/>
      <c r="H42" s="22"/>
      <c r="I42" s="22"/>
      <c r="J42" s="15">
        <f t="shared" ref="J42:J43" si="35">SUM(B42:H42)</f>
        <v>0</v>
      </c>
      <c r="L42" s="335"/>
      <c r="T42" s="341">
        <f t="shared" si="34"/>
        <v>0</v>
      </c>
    </row>
    <row r="43" spans="1:40" ht="15" customHeight="1" thickBot="1">
      <c r="A43" s="14" t="s">
        <v>28</v>
      </c>
      <c r="B43" s="22"/>
      <c r="C43" s="22"/>
      <c r="D43" s="22"/>
      <c r="E43" s="22"/>
      <c r="F43" s="22"/>
      <c r="G43" s="22"/>
      <c r="H43" s="22"/>
      <c r="I43" s="22"/>
      <c r="J43" s="15">
        <f t="shared" si="35"/>
        <v>0</v>
      </c>
      <c r="L43" s="335"/>
      <c r="T43" s="341">
        <f t="shared" si="34"/>
        <v>0</v>
      </c>
    </row>
    <row r="44" spans="1:40" ht="15" customHeight="1" thickBot="1">
      <c r="A44" s="25" t="s">
        <v>30</v>
      </c>
      <c r="B44" s="26">
        <f>B41+B42-B43</f>
        <v>0</v>
      </c>
      <c r="C44" s="26">
        <f>C41+C42-C43</f>
        <v>0</v>
      </c>
      <c r="D44" s="26">
        <f t="shared" ref="D44:I44" si="36">D41+D42-D43</f>
        <v>0</v>
      </c>
      <c r="E44" s="26">
        <f t="shared" si="36"/>
        <v>0</v>
      </c>
      <c r="F44" s="26">
        <f t="shared" si="36"/>
        <v>0</v>
      </c>
      <c r="G44" s="26">
        <f t="shared" si="36"/>
        <v>0</v>
      </c>
      <c r="H44" s="26">
        <f t="shared" si="36"/>
        <v>0</v>
      </c>
      <c r="I44" s="26">
        <f t="shared" si="36"/>
        <v>0</v>
      </c>
      <c r="J44" s="17">
        <f>J41+J42-J43</f>
        <v>0</v>
      </c>
      <c r="L44" s="338">
        <f>B41+B42-B43-B44</f>
        <v>0</v>
      </c>
      <c r="M44" s="337">
        <f t="shared" ref="M44:T44" si="37">C41+C42-C43-C44</f>
        <v>0</v>
      </c>
      <c r="N44" s="337">
        <f t="shared" si="37"/>
        <v>0</v>
      </c>
      <c r="O44" s="337">
        <f t="shared" si="37"/>
        <v>0</v>
      </c>
      <c r="P44" s="337">
        <f t="shared" si="37"/>
        <v>0</v>
      </c>
      <c r="Q44" s="337">
        <f t="shared" si="37"/>
        <v>0</v>
      </c>
      <c r="R44" s="337">
        <f t="shared" si="37"/>
        <v>0</v>
      </c>
      <c r="S44" s="337">
        <f t="shared" si="37"/>
        <v>0</v>
      </c>
      <c r="T44" s="337">
        <f t="shared" si="37"/>
        <v>0</v>
      </c>
    </row>
    <row r="45" spans="1:40" ht="15" customHeight="1" thickTop="1" thickBot="1">
      <c r="A45" s="41" t="s">
        <v>34</v>
      </c>
      <c r="B45" s="42"/>
      <c r="C45" s="42"/>
      <c r="D45" s="42"/>
      <c r="E45" s="42"/>
      <c r="F45" s="42"/>
      <c r="G45" s="42"/>
      <c r="H45" s="42"/>
      <c r="I45" s="42"/>
      <c r="J45" s="43"/>
      <c r="L45" s="335"/>
      <c r="T45" s="341"/>
    </row>
    <row r="46" spans="1:40" ht="15" customHeight="1" thickTop="1" thickBot="1">
      <c r="A46" s="44" t="s">
        <v>32</v>
      </c>
      <c r="B46" s="22">
        <f>B30-B36-B41</f>
        <v>0</v>
      </c>
      <c r="C46" s="22">
        <f t="shared" ref="C46:J46" si="38">C30-C36-C41</f>
        <v>0</v>
      </c>
      <c r="D46" s="22">
        <f t="shared" si="38"/>
        <v>0</v>
      </c>
      <c r="E46" s="22">
        <f t="shared" si="38"/>
        <v>0</v>
      </c>
      <c r="F46" s="22">
        <f t="shared" si="38"/>
        <v>0</v>
      </c>
      <c r="G46" s="22">
        <f t="shared" si="38"/>
        <v>0</v>
      </c>
      <c r="H46" s="22">
        <f t="shared" si="38"/>
        <v>0</v>
      </c>
      <c r="I46" s="22">
        <f t="shared" si="38"/>
        <v>0</v>
      </c>
      <c r="J46" s="15">
        <f t="shared" si="38"/>
        <v>0</v>
      </c>
      <c r="L46" s="338">
        <f>B30-B36-B41-B46</f>
        <v>0</v>
      </c>
      <c r="M46" s="337">
        <f t="shared" ref="M46:S46" si="39">C30-C36-C41-C46</f>
        <v>0</v>
      </c>
      <c r="N46" s="337">
        <f t="shared" si="39"/>
        <v>0</v>
      </c>
      <c r="O46" s="337">
        <f t="shared" si="39"/>
        <v>0</v>
      </c>
      <c r="P46" s="337">
        <f t="shared" si="39"/>
        <v>0</v>
      </c>
      <c r="Q46" s="337">
        <f t="shared" si="39"/>
        <v>0</v>
      </c>
      <c r="R46" s="337">
        <f t="shared" si="39"/>
        <v>0</v>
      </c>
      <c r="S46" s="337">
        <f t="shared" si="39"/>
        <v>0</v>
      </c>
      <c r="T46" s="341">
        <f t="shared" ref="T46:T47" si="40">SUM(B46:I46)-J46</f>
        <v>0</v>
      </c>
    </row>
    <row r="47" spans="1:40" ht="15" customHeight="1" thickBot="1">
      <c r="A47" s="25" t="s">
        <v>30</v>
      </c>
      <c r="B47" s="26">
        <f>B34-B39-B44</f>
        <v>0</v>
      </c>
      <c r="C47" s="26">
        <f t="shared" ref="C47:J47" si="41">C34-C39-C44</f>
        <v>0</v>
      </c>
      <c r="D47" s="26">
        <f t="shared" si="41"/>
        <v>0</v>
      </c>
      <c r="E47" s="26">
        <f t="shared" si="41"/>
        <v>0</v>
      </c>
      <c r="F47" s="26">
        <f t="shared" si="41"/>
        <v>0</v>
      </c>
      <c r="G47" s="26">
        <f t="shared" si="41"/>
        <v>0</v>
      </c>
      <c r="H47" s="26">
        <f t="shared" si="41"/>
        <v>0</v>
      </c>
      <c r="I47" s="26">
        <f t="shared" si="41"/>
        <v>0</v>
      </c>
      <c r="J47" s="17">
        <f t="shared" si="41"/>
        <v>0</v>
      </c>
      <c r="L47" s="338">
        <f>B34-B39-B44-B47</f>
        <v>0</v>
      </c>
      <c r="M47" s="337">
        <f t="shared" ref="M47:S47" si="42">C34-C39-C44-C47</f>
        <v>0</v>
      </c>
      <c r="N47" s="337">
        <f t="shared" si="42"/>
        <v>0</v>
      </c>
      <c r="O47" s="337">
        <f t="shared" si="42"/>
        <v>0</v>
      </c>
      <c r="P47" s="337">
        <f t="shared" si="42"/>
        <v>0</v>
      </c>
      <c r="Q47" s="337">
        <f t="shared" si="42"/>
        <v>0</v>
      </c>
      <c r="R47" s="337">
        <f t="shared" si="42"/>
        <v>0</v>
      </c>
      <c r="S47" s="337">
        <f t="shared" si="42"/>
        <v>0</v>
      </c>
      <c r="T47" s="341">
        <f t="shared" si="40"/>
        <v>0</v>
      </c>
      <c r="AF47" s="338">
        <f>B47-'BS old'!$G$31</f>
        <v>0</v>
      </c>
      <c r="AG47" s="337">
        <f>C47-'BS old'!$G$32</f>
        <v>0</v>
      </c>
      <c r="AH47" s="337">
        <f>D47-'BS old'!$G$33</f>
        <v>0</v>
      </c>
      <c r="AI47" s="337">
        <f>E47-'BS old'!$G$34</f>
        <v>0</v>
      </c>
      <c r="AJ47" s="337">
        <f>F47-'BS old'!$G$35</f>
        <v>0</v>
      </c>
      <c r="AK47" s="337">
        <f>G47-'BS old'!$G$36</f>
        <v>0</v>
      </c>
      <c r="AL47" s="337">
        <f>H47-'BS old'!$G$37</f>
        <v>0</v>
      </c>
      <c r="AM47" s="337">
        <f>I47-'BS old'!$G$38</f>
        <v>0</v>
      </c>
      <c r="AN47" s="341">
        <f>J47-'BS old'!$G$30</f>
        <v>0</v>
      </c>
    </row>
    <row r="48" spans="1:40" ht="15.75" thickTop="1">
      <c r="A48" s="18"/>
      <c r="B48" s="18"/>
      <c r="C48" s="18"/>
      <c r="D48" s="18"/>
      <c r="E48" s="18"/>
      <c r="F48" s="18"/>
      <c r="G48" s="18"/>
      <c r="H48" s="18"/>
      <c r="I48" s="18"/>
      <c r="J48" s="18"/>
    </row>
    <row r="49" spans="1:10">
      <c r="A49" s="18"/>
      <c r="B49" s="18"/>
      <c r="C49" s="18"/>
      <c r="D49" s="18"/>
      <c r="E49" s="18"/>
      <c r="F49" s="18"/>
      <c r="G49" s="18"/>
      <c r="H49" s="18"/>
      <c r="I49" s="18"/>
      <c r="J49" s="18"/>
    </row>
    <row r="50" spans="1:10">
      <c r="A50" s="18"/>
      <c r="B50" s="18"/>
      <c r="C50" s="18"/>
      <c r="D50" s="18"/>
      <c r="E50" s="18"/>
      <c r="F50" s="18"/>
      <c r="G50" s="18"/>
      <c r="H50" s="18"/>
      <c r="I50" s="18"/>
      <c r="J50" s="18"/>
    </row>
  </sheetData>
  <mergeCells count="7">
    <mergeCell ref="V1:AD1"/>
    <mergeCell ref="AF1:AN1"/>
    <mergeCell ref="A27:A28"/>
    <mergeCell ref="B27:J27"/>
    <mergeCell ref="A3:A4"/>
    <mergeCell ref="B3:J3"/>
    <mergeCell ref="L1:T1"/>
  </mergeCells>
  <conditionalFormatting sqref="L6:T23 V6:AD22 AF10:AN29">
    <cfRule type="cellIs" dxfId="252" priority="61" operator="lessThan">
      <formula>0</formula>
    </cfRule>
    <cfRule type="cellIs" dxfId="251" priority="62" operator="greaterThan">
      <formula>0</formula>
    </cfRule>
  </conditionalFormatting>
  <conditionalFormatting sqref="L30:T47">
    <cfRule type="cellIs" dxfId="250" priority="59" operator="lessThan">
      <formula>0</formula>
    </cfRule>
    <cfRule type="cellIs" dxfId="249" priority="60" operator="greaterThan">
      <formula>0</formula>
    </cfRule>
  </conditionalFormatting>
  <conditionalFormatting sqref="AF30:AN47">
    <cfRule type="cellIs" dxfId="248" priority="57" operator="lessThan">
      <formula>0</formula>
    </cfRule>
    <cfRule type="cellIs" dxfId="247" priority="58" operator="greaterThan">
      <formula>0</formula>
    </cfRule>
  </conditionalFormatting>
  <conditionalFormatting sqref="L30:T47">
    <cfRule type="cellIs" dxfId="246" priority="55" operator="lessThan">
      <formula>0</formula>
    </cfRule>
    <cfRule type="cellIs" dxfId="245" priority="56" operator="greaterThan">
      <formula>0</formula>
    </cfRule>
  </conditionalFormatting>
  <conditionalFormatting sqref="L6:T23">
    <cfRule type="cellIs" dxfId="244" priority="53" operator="lessThan">
      <formula>0</formula>
    </cfRule>
    <cfRule type="cellIs" dxfId="243" priority="54" operator="greaterThan">
      <formula>0</formula>
    </cfRule>
  </conditionalFormatting>
  <conditionalFormatting sqref="L30:T47">
    <cfRule type="cellIs" dxfId="242" priority="51" operator="lessThan">
      <formula>0</formula>
    </cfRule>
    <cfRule type="cellIs" dxfId="241" priority="52" operator="greaterThan">
      <formula>0</formula>
    </cfRule>
  </conditionalFormatting>
  <conditionalFormatting sqref="L30:T47">
    <cfRule type="cellIs" dxfId="240" priority="49" operator="lessThan">
      <formula>0</formula>
    </cfRule>
    <cfRule type="cellIs" dxfId="239" priority="50" operator="greaterThan">
      <formula>0</formula>
    </cfRule>
  </conditionalFormatting>
  <conditionalFormatting sqref="L6:T23">
    <cfRule type="cellIs" dxfId="238" priority="47" operator="lessThan">
      <formula>0</formula>
    </cfRule>
    <cfRule type="cellIs" dxfId="237" priority="48" operator="greaterThan">
      <formula>0</formula>
    </cfRule>
  </conditionalFormatting>
  <conditionalFormatting sqref="L30:T47">
    <cfRule type="cellIs" dxfId="236" priority="45" operator="lessThan">
      <formula>0</formula>
    </cfRule>
    <cfRule type="cellIs" dxfId="235" priority="46" operator="greaterThan">
      <formula>0</formula>
    </cfRule>
  </conditionalFormatting>
  <conditionalFormatting sqref="L30:T47">
    <cfRule type="cellIs" dxfId="234" priority="43" operator="lessThan">
      <formula>0</formula>
    </cfRule>
    <cfRule type="cellIs" dxfId="233" priority="44" operator="greaterThan">
      <formula>0</formula>
    </cfRule>
  </conditionalFormatting>
  <conditionalFormatting sqref="M10:T10 L15:T15 L20:T20 M11:S14 L10:L14 L16:S19 L21:S23">
    <cfRule type="cellIs" dxfId="232" priority="41" operator="lessThan">
      <formula>0</formula>
    </cfRule>
    <cfRule type="cellIs" dxfId="231" priority="42" operator="greaterThan">
      <formula>0</formula>
    </cfRule>
  </conditionalFormatting>
  <conditionalFormatting sqref="T10">
    <cfRule type="cellIs" dxfId="230" priority="39" operator="lessThan">
      <formula>0</formula>
    </cfRule>
    <cfRule type="cellIs" dxfId="229" priority="40" operator="greaterThan">
      <formula>0</formula>
    </cfRule>
  </conditionalFormatting>
  <conditionalFormatting sqref="T15">
    <cfRule type="cellIs" dxfId="228" priority="37" operator="lessThan">
      <formula>0</formula>
    </cfRule>
    <cfRule type="cellIs" dxfId="227" priority="38" operator="greaterThan">
      <formula>0</formula>
    </cfRule>
  </conditionalFormatting>
  <conditionalFormatting sqref="T20">
    <cfRule type="cellIs" dxfId="226" priority="35" operator="lessThan">
      <formula>0</formula>
    </cfRule>
    <cfRule type="cellIs" dxfId="225" priority="36" operator="greaterThan">
      <formula>0</formula>
    </cfRule>
  </conditionalFormatting>
  <conditionalFormatting sqref="T10">
    <cfRule type="cellIs" dxfId="224" priority="33" operator="lessThan">
      <formula>0</formula>
    </cfRule>
    <cfRule type="cellIs" dxfId="223" priority="34" operator="greaterThan">
      <formula>0</formula>
    </cfRule>
  </conditionalFormatting>
  <conditionalFormatting sqref="T15">
    <cfRule type="cellIs" dxfId="222" priority="31" operator="lessThan">
      <formula>0</formula>
    </cfRule>
    <cfRule type="cellIs" dxfId="221" priority="32" operator="greaterThan">
      <formula>0</formula>
    </cfRule>
  </conditionalFormatting>
  <conditionalFormatting sqref="T15">
    <cfRule type="cellIs" dxfId="220" priority="29" operator="lessThan">
      <formula>0</formula>
    </cfRule>
    <cfRule type="cellIs" dxfId="219" priority="30" operator="greaterThan">
      <formula>0</formula>
    </cfRule>
  </conditionalFormatting>
  <conditionalFormatting sqref="T20">
    <cfRule type="cellIs" dxfId="218" priority="27" operator="lessThan">
      <formula>0</formula>
    </cfRule>
    <cfRule type="cellIs" dxfId="217" priority="28" operator="greaterThan">
      <formula>0</formula>
    </cfRule>
  </conditionalFormatting>
  <conditionalFormatting sqref="T20">
    <cfRule type="cellIs" dxfId="216" priority="25" operator="lessThan">
      <formula>0</formula>
    </cfRule>
    <cfRule type="cellIs" dxfId="215" priority="26" operator="greaterThan">
      <formula>0</formula>
    </cfRule>
  </conditionalFormatting>
  <conditionalFormatting sqref="T20">
    <cfRule type="cellIs" dxfId="214" priority="23" operator="lessThan">
      <formula>0</formula>
    </cfRule>
    <cfRule type="cellIs" dxfId="213" priority="24" operator="greaterThan">
      <formula>0</formula>
    </cfRule>
  </conditionalFormatting>
  <conditionalFormatting sqref="L30:T47">
    <cfRule type="cellIs" dxfId="212" priority="21" operator="lessThan">
      <formula>0</formula>
    </cfRule>
    <cfRule type="cellIs" dxfId="211" priority="22" operator="greaterThan">
      <formula>0</formula>
    </cfRule>
  </conditionalFormatting>
  <conditionalFormatting sqref="M34:T34 L39:T39 L44:T44 M35:S38 L34:L38 L40:S43 L45:S47">
    <cfRule type="cellIs" dxfId="210" priority="19" operator="lessThan">
      <formula>0</formula>
    </cfRule>
    <cfRule type="cellIs" dxfId="209" priority="20" operator="greaterThan">
      <formula>0</formula>
    </cfRule>
  </conditionalFormatting>
  <conditionalFormatting sqref="T34">
    <cfRule type="cellIs" dxfId="208" priority="17" operator="lessThan">
      <formula>0</formula>
    </cfRule>
    <cfRule type="cellIs" dxfId="207" priority="18" operator="greaterThan">
      <formula>0</formula>
    </cfRule>
  </conditionalFormatting>
  <conditionalFormatting sqref="T39">
    <cfRule type="cellIs" dxfId="206" priority="15" operator="lessThan">
      <formula>0</formula>
    </cfRule>
    <cfRule type="cellIs" dxfId="205" priority="16" operator="greaterThan">
      <formula>0</formula>
    </cfRule>
  </conditionalFormatting>
  <conditionalFormatting sqref="T44">
    <cfRule type="cellIs" dxfId="204" priority="13" operator="lessThan">
      <formula>0</formula>
    </cfRule>
    <cfRule type="cellIs" dxfId="203" priority="14" operator="greaterThan">
      <formula>0</formula>
    </cfRule>
  </conditionalFormatting>
  <conditionalFormatting sqref="T34">
    <cfRule type="cellIs" dxfId="202" priority="11" operator="lessThan">
      <formula>0</formula>
    </cfRule>
    <cfRule type="cellIs" dxfId="201" priority="12" operator="greaterThan">
      <formula>0</formula>
    </cfRule>
  </conditionalFormatting>
  <conditionalFormatting sqref="T39">
    <cfRule type="cellIs" dxfId="200" priority="9" operator="lessThan">
      <formula>0</formula>
    </cfRule>
    <cfRule type="cellIs" dxfId="199" priority="10" operator="greaterThan">
      <formula>0</formula>
    </cfRule>
  </conditionalFormatting>
  <conditionalFormatting sqref="T39">
    <cfRule type="cellIs" dxfId="198" priority="7" operator="lessThan">
      <formula>0</formula>
    </cfRule>
    <cfRule type="cellIs" dxfId="197" priority="8" operator="greaterThan">
      <formula>0</formula>
    </cfRule>
  </conditionalFormatting>
  <conditionalFormatting sqref="T44">
    <cfRule type="cellIs" dxfId="196" priority="5" operator="lessThan">
      <formula>0</formula>
    </cfRule>
    <cfRule type="cellIs" dxfId="195" priority="6" operator="greaterThan">
      <formula>0</formula>
    </cfRule>
  </conditionalFormatting>
  <conditionalFormatting sqref="T44">
    <cfRule type="cellIs" dxfId="194" priority="3" operator="lessThan">
      <formula>0</formula>
    </cfRule>
    <cfRule type="cellIs" dxfId="193" priority="4" operator="greaterThan">
      <formula>0</formula>
    </cfRule>
  </conditionalFormatting>
  <conditionalFormatting sqref="T44">
    <cfRule type="cellIs" dxfId="192" priority="1" operator="lessThan">
      <formula>0</formula>
    </cfRule>
    <cfRule type="cellIs" dxfId="191" priority="2" operator="greaterThan">
      <formula>0</formula>
    </cfRule>
  </conditionalFormatting>
  <pageMargins left="0.7" right="0.7" top="0.75" bottom="0.75" header="0.3" footer="0.3"/>
  <pageSetup paperSize="9" orientation="portrait" horizontalDpi="300" verticalDpi="3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B5"/>
  <sheetViews>
    <sheetView showGridLines="0" zoomScaleNormal="100" workbookViewId="0">
      <selection activeCell="A5" sqref="A5"/>
    </sheetView>
  </sheetViews>
  <sheetFormatPr defaultRowHeight="15"/>
  <cols>
    <col min="1" max="2" width="43.28515625" customWidth="1"/>
    <col min="3" max="3" width="19.140625" customWidth="1"/>
  </cols>
  <sheetData>
    <row r="1" spans="1:2" ht="17.25" thickBot="1">
      <c r="A1" s="1" t="s">
        <v>56</v>
      </c>
    </row>
    <row r="2" spans="1:2" ht="21" customHeight="1" thickTop="1" thickBot="1">
      <c r="A2" s="585" t="s">
        <v>55</v>
      </c>
      <c r="B2" s="11" t="s">
        <v>36</v>
      </c>
    </row>
    <row r="3" spans="1:2" ht="23.25" customHeight="1" thickTop="1" thickBot="1">
      <c r="A3" s="12" t="s">
        <v>57</v>
      </c>
      <c r="B3" s="13"/>
    </row>
    <row r="4" spans="1:2" ht="23.25" customHeight="1" thickBot="1">
      <c r="A4" s="16" t="s">
        <v>58</v>
      </c>
      <c r="B4" s="17"/>
    </row>
    <row r="5" spans="1:2" ht="15.75" thickTop="1"/>
  </sheetData>
  <pageMargins left="0.7" right="0.7" top="0.75" bottom="0.75" header="0.3" footer="0.3"/>
  <pageSetup paperSize="9" orientation="portrait" horizontalDpi="300" vertic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F20"/>
  <sheetViews>
    <sheetView showGridLines="0" zoomScaleNormal="100" workbookViewId="0">
      <selection activeCell="F19" sqref="F19"/>
    </sheetView>
  </sheetViews>
  <sheetFormatPr defaultRowHeight="15"/>
  <cols>
    <col min="1" max="1" width="21.28515625" customWidth="1"/>
    <col min="2" max="4" width="12.7109375" customWidth="1"/>
    <col min="5" max="5" width="14.28515625" customWidth="1"/>
    <col min="6" max="6" width="12.7109375" customWidth="1"/>
  </cols>
  <sheetData>
    <row r="1" spans="1:6" ht="17.25" thickBot="1">
      <c r="A1" s="2" t="s">
        <v>59</v>
      </c>
    </row>
    <row r="2" spans="1:6" ht="16.5" thickTop="1" thickBot="1">
      <c r="A2" s="1556" t="s">
        <v>60</v>
      </c>
      <c r="B2" s="1571" t="s">
        <v>2</v>
      </c>
      <c r="C2" s="1572"/>
      <c r="D2" s="1572"/>
      <c r="E2" s="1572"/>
      <c r="F2" s="1573"/>
    </row>
    <row r="3" spans="1:6" ht="70.5" customHeight="1" thickBot="1">
      <c r="A3" s="1563"/>
      <c r="B3" s="57" t="s">
        <v>61</v>
      </c>
      <c r="C3" s="57" t="s">
        <v>62</v>
      </c>
      <c r="D3" s="40" t="s">
        <v>448</v>
      </c>
      <c r="E3" s="57" t="s">
        <v>449</v>
      </c>
      <c r="F3" s="57" t="s">
        <v>64</v>
      </c>
    </row>
    <row r="4" spans="1:6" ht="16.5" thickTop="1" thickBot="1">
      <c r="A4" s="138" t="s">
        <v>65</v>
      </c>
      <c r="B4" s="53"/>
      <c r="C4" s="53"/>
      <c r="D4" s="53"/>
      <c r="E4" s="53"/>
      <c r="F4" s="54"/>
    </row>
    <row r="5" spans="1:6" ht="16.5" thickTop="1" thickBot="1">
      <c r="A5" s="139"/>
      <c r="B5" s="55"/>
      <c r="C5" s="55"/>
      <c r="D5" s="22"/>
      <c r="E5" s="22"/>
      <c r="F5" s="15"/>
    </row>
    <row r="6" spans="1:6" ht="15.75" thickBot="1">
      <c r="A6" s="139"/>
      <c r="B6" s="55"/>
      <c r="C6" s="55"/>
      <c r="D6" s="22"/>
      <c r="E6" s="22"/>
      <c r="F6" s="15"/>
    </row>
    <row r="7" spans="1:6" ht="15.75" thickBot="1">
      <c r="A7" s="140"/>
      <c r="B7" s="56"/>
      <c r="C7" s="56"/>
      <c r="D7" s="26"/>
      <c r="E7" s="26"/>
      <c r="F7" s="17"/>
    </row>
    <row r="8" spans="1:6" ht="16.5" thickTop="1" thickBot="1">
      <c r="A8" s="138" t="s">
        <v>66</v>
      </c>
      <c r="B8" s="53"/>
      <c r="C8" s="53"/>
      <c r="D8" s="53"/>
      <c r="E8" s="53"/>
      <c r="F8" s="54"/>
    </row>
    <row r="9" spans="1:6" ht="16.5" thickTop="1" thickBot="1">
      <c r="A9" s="139"/>
      <c r="B9" s="55"/>
      <c r="C9" s="55"/>
      <c r="D9" s="22"/>
      <c r="E9" s="22"/>
      <c r="F9" s="15"/>
    </row>
    <row r="10" spans="1:6" ht="15.75" thickBot="1">
      <c r="A10" s="139"/>
      <c r="B10" s="55"/>
      <c r="C10" s="55"/>
      <c r="D10" s="22"/>
      <c r="E10" s="22"/>
      <c r="F10" s="15"/>
    </row>
    <row r="11" spans="1:6" ht="15.75" thickBot="1">
      <c r="A11" s="140"/>
      <c r="B11" s="56"/>
      <c r="C11" s="56"/>
      <c r="D11" s="26"/>
      <c r="E11" s="26"/>
      <c r="F11" s="17"/>
    </row>
    <row r="12" spans="1:6" ht="16.5" thickTop="1" thickBot="1">
      <c r="A12" s="138" t="s">
        <v>67</v>
      </c>
      <c r="B12" s="53"/>
      <c r="C12" s="53"/>
      <c r="D12" s="53"/>
      <c r="E12" s="53"/>
      <c r="F12" s="54"/>
    </row>
    <row r="13" spans="1:6" ht="16.5" thickTop="1" thickBot="1">
      <c r="A13" s="139"/>
      <c r="B13" s="55"/>
      <c r="C13" s="55"/>
      <c r="D13" s="22"/>
      <c r="E13" s="22"/>
      <c r="F13" s="15"/>
    </row>
    <row r="14" spans="1:6" ht="15.75" thickBot="1">
      <c r="A14" s="139"/>
      <c r="B14" s="55"/>
      <c r="C14" s="55"/>
      <c r="D14" s="22"/>
      <c r="E14" s="22"/>
      <c r="F14" s="15"/>
    </row>
    <row r="15" spans="1:6" ht="15.75" thickBot="1">
      <c r="A15" s="140"/>
      <c r="B15" s="56"/>
      <c r="C15" s="56"/>
      <c r="D15" s="26"/>
      <c r="E15" s="26"/>
      <c r="F15" s="17"/>
    </row>
    <row r="16" spans="1:6" ht="16.5" thickTop="1" thickBot="1">
      <c r="A16" s="138" t="s">
        <v>68</v>
      </c>
      <c r="B16" s="53"/>
      <c r="C16" s="53"/>
      <c r="D16" s="53"/>
      <c r="E16" s="53"/>
      <c r="F16" s="54"/>
    </row>
    <row r="17" spans="1:6" ht="16.5" thickTop="1" thickBot="1">
      <c r="A17" s="141"/>
      <c r="B17" s="55"/>
      <c r="C17" s="55"/>
      <c r="D17" s="22"/>
      <c r="E17" s="22"/>
      <c r="F17" s="15"/>
    </row>
    <row r="18" spans="1:6" ht="15.75" thickBot="1">
      <c r="A18" s="86"/>
      <c r="B18" s="56"/>
      <c r="C18" s="56"/>
      <c r="D18" s="173"/>
      <c r="E18" s="47"/>
      <c r="F18" s="174"/>
    </row>
    <row r="19" spans="1:6" ht="24" thickTop="1" thickBot="1">
      <c r="A19" s="25" t="s">
        <v>69</v>
      </c>
      <c r="B19" s="34" t="s">
        <v>18</v>
      </c>
      <c r="C19" s="34" t="s">
        <v>18</v>
      </c>
      <c r="D19" s="34" t="s">
        <v>18</v>
      </c>
      <c r="E19" s="34" t="s">
        <v>18</v>
      </c>
      <c r="F19" s="17">
        <f>SUM(F17:F18)+SUM(F13:F15)+SUM(F9:F11)+SUM(F5:F7)</f>
        <v>0</v>
      </c>
    </row>
    <row r="20" spans="1:6" ht="15.75" thickTop="1"/>
  </sheetData>
  <mergeCells count="2">
    <mergeCell ref="A2:A3"/>
    <mergeCell ref="B2:F2"/>
  </mergeCells>
  <pageMargins left="0.7" right="0.7" top="0.75" bottom="0.75" header="0.3" footer="0.3"/>
  <pageSetup paperSize="9" orientation="portrait" horizontalDpi="300"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M8"/>
  <sheetViews>
    <sheetView showGridLines="0" zoomScaleNormal="100" workbookViewId="0">
      <selection activeCell="I1" sqref="I1:M1"/>
    </sheetView>
  </sheetViews>
  <sheetFormatPr defaultRowHeight="15" outlineLevelCol="1"/>
  <cols>
    <col min="1" max="1" width="17.140625" customWidth="1"/>
    <col min="2" max="2" width="12.42578125" customWidth="1"/>
    <col min="3" max="7" width="11.42578125" customWidth="1"/>
    <col min="8" max="8" width="9.140625" style="340"/>
    <col min="9" max="9" width="9.140625" style="335" customWidth="1" outlineLevel="1"/>
    <col min="10" max="11" width="9.140625" customWidth="1" outlineLevel="1"/>
    <col min="12" max="12" width="17" customWidth="1" outlineLevel="1"/>
    <col min="13" max="13" width="19.7109375" style="340" customWidth="1"/>
  </cols>
  <sheetData>
    <row r="1" spans="1:13" ht="17.25" thickBot="1">
      <c r="A1" s="1" t="s">
        <v>70</v>
      </c>
      <c r="I1" s="1574" t="s">
        <v>1056</v>
      </c>
      <c r="J1" s="1575"/>
      <c r="K1" s="1575"/>
      <c r="L1" s="1575"/>
      <c r="M1" s="1576"/>
    </row>
    <row r="2" spans="1:13" ht="74.25" customHeight="1" thickTop="1" thickBot="1">
      <c r="A2" s="59" t="s">
        <v>452</v>
      </c>
      <c r="B2" s="59" t="s">
        <v>71</v>
      </c>
      <c r="C2" s="38" t="s">
        <v>450</v>
      </c>
      <c r="D2" s="59" t="s">
        <v>72</v>
      </c>
      <c r="E2" s="59" t="s">
        <v>73</v>
      </c>
      <c r="F2" s="38" t="s">
        <v>451</v>
      </c>
      <c r="G2" s="59" t="s">
        <v>79</v>
      </c>
      <c r="H2" s="336"/>
      <c r="I2" s="59" t="s">
        <v>450</v>
      </c>
      <c r="J2" s="59" t="s">
        <v>72</v>
      </c>
      <c r="K2" s="59" t="s">
        <v>73</v>
      </c>
      <c r="L2" s="177" t="s">
        <v>451</v>
      </c>
      <c r="M2" s="59" t="s">
        <v>79</v>
      </c>
    </row>
    <row r="3" spans="1:13" ht="27" customHeight="1" thickTop="1" thickBot="1">
      <c r="A3" s="14" t="s">
        <v>74</v>
      </c>
      <c r="B3" s="62"/>
      <c r="C3" s="22"/>
      <c r="D3" s="22"/>
      <c r="E3" s="22"/>
      <c r="F3" s="22"/>
      <c r="G3" s="15">
        <f>SUM(C3:F3)</f>
        <v>0</v>
      </c>
      <c r="J3" s="336"/>
      <c r="K3" s="336"/>
      <c r="L3" s="336"/>
      <c r="M3" s="341">
        <f>SUM(C3:F3)-G3</f>
        <v>0</v>
      </c>
    </row>
    <row r="4" spans="1:13" ht="27" customHeight="1" thickBot="1">
      <c r="A4" s="14" t="s">
        <v>75</v>
      </c>
      <c r="B4" s="62"/>
      <c r="C4" s="22"/>
      <c r="D4" s="22"/>
      <c r="E4" s="22"/>
      <c r="F4" s="22"/>
      <c r="G4" s="15">
        <f>SUM(C4:F4)</f>
        <v>0</v>
      </c>
      <c r="J4" s="336"/>
      <c r="K4" s="336"/>
      <c r="L4" s="336"/>
      <c r="M4" s="341">
        <f t="shared" ref="M4" si="0">SUM(C4:F4)-G4</f>
        <v>0</v>
      </c>
    </row>
    <row r="5" spans="1:13" ht="27" customHeight="1" thickBot="1">
      <c r="A5" s="14" t="s">
        <v>76</v>
      </c>
      <c r="B5" s="62"/>
      <c r="C5" s="22"/>
      <c r="D5" s="22"/>
      <c r="E5" s="22"/>
      <c r="F5" s="22"/>
      <c r="G5" s="15">
        <f>SUM(C5:F5)</f>
        <v>0</v>
      </c>
      <c r="J5" s="336"/>
      <c r="K5" s="336"/>
      <c r="L5" s="336"/>
      <c r="M5" s="341">
        <f>SUM(C5:F5)-G5</f>
        <v>0</v>
      </c>
    </row>
    <row r="6" spans="1:13" ht="27" customHeight="1" thickBot="1">
      <c r="A6" s="14" t="s">
        <v>77</v>
      </c>
      <c r="B6" s="62"/>
      <c r="C6" s="22"/>
      <c r="D6" s="22"/>
      <c r="E6" s="22"/>
      <c r="F6" s="22"/>
      <c r="G6" s="15">
        <f>SUM(C6:F6)</f>
        <v>0</v>
      </c>
      <c r="J6" s="336"/>
      <c r="K6" s="336"/>
      <c r="L6" s="336"/>
      <c r="M6" s="341">
        <f>SUM(C6:F6)-G6</f>
        <v>0</v>
      </c>
    </row>
    <row r="7" spans="1:13" ht="27" customHeight="1" thickBot="1">
      <c r="A7" s="25" t="s">
        <v>78</v>
      </c>
      <c r="B7" s="61" t="s">
        <v>18</v>
      </c>
      <c r="C7" s="58">
        <f>SUM(C3:C6)</f>
        <v>0</v>
      </c>
      <c r="D7" s="58">
        <f>SUM(D3:D6)</f>
        <v>0</v>
      </c>
      <c r="E7" s="58">
        <f>SUM(E3:E6)</f>
        <v>0</v>
      </c>
      <c r="F7" s="58">
        <f>SUM(F3:F6)</f>
        <v>0</v>
      </c>
      <c r="G7" s="60">
        <f>SUM(G3:G6)</f>
        <v>0</v>
      </c>
      <c r="I7" s="338">
        <f>SUM(C3:C6)-C7</f>
        <v>0</v>
      </c>
      <c r="J7" s="337">
        <f>SUM(D3:D6)-D7</f>
        <v>0</v>
      </c>
      <c r="K7" s="337">
        <f>SUM(E3:E6)-E7</f>
        <v>0</v>
      </c>
      <c r="L7" s="337">
        <f>SUM(F3:F6)-F7</f>
        <v>0</v>
      </c>
      <c r="M7" s="341">
        <f>SUM(G3:G6)-G7</f>
        <v>0</v>
      </c>
    </row>
    <row r="8" spans="1:13" ht="15.75" thickTop="1"/>
  </sheetData>
  <mergeCells count="1">
    <mergeCell ref="I1:M1"/>
  </mergeCells>
  <conditionalFormatting sqref="I3:M7">
    <cfRule type="cellIs" dxfId="190" priority="5" operator="lessThan">
      <formula>0</formula>
    </cfRule>
    <cfRule type="cellIs" dxfId="189" priority="6" operator="greaterThan">
      <formula>0</formula>
    </cfRule>
    <cfRule type="cellIs" dxfId="188" priority="7" operator="lessThan">
      <formula>0</formula>
    </cfRule>
    <cfRule type="cellIs" dxfId="187" priority="8" operator="greaterThan">
      <formula>0</formula>
    </cfRule>
  </conditionalFormatting>
  <conditionalFormatting sqref="I3:M7">
    <cfRule type="cellIs" dxfId="186" priority="1" operator="lessThan">
      <formula>0</formula>
    </cfRule>
    <cfRule type="cellIs" dxfId="185" priority="2" operator="greaterThan">
      <formula>0</formula>
    </cfRule>
    <cfRule type="cellIs" dxfId="184" priority="3" operator="lessThan">
      <formula>0</formula>
    </cfRule>
    <cfRule type="cellIs" dxfId="183" priority="4" operator="greaterThan">
      <formula>0</formula>
    </cfRule>
  </conditionalFormatting>
  <pageMargins left="0.7" right="0.7" top="0.75" bottom="0.75" header="0.3" footer="0.3"/>
  <pageSetup paperSize="9" orientation="portrait"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L8"/>
  <sheetViews>
    <sheetView showGridLines="0" zoomScaleNormal="100" workbookViewId="0">
      <selection activeCell="F9" sqref="F9"/>
    </sheetView>
  </sheetViews>
  <sheetFormatPr defaultRowHeight="15" outlineLevelCol="1"/>
  <cols>
    <col min="1" max="1" width="20.42578125" customWidth="1"/>
    <col min="2" max="6" width="13.28515625" customWidth="1"/>
    <col min="7" max="7" width="17.5703125" style="340" customWidth="1"/>
    <col min="8" max="8" width="9.140625" style="335" customWidth="1" outlineLevel="1"/>
    <col min="9" max="11" width="9.140625" customWidth="1" outlineLevel="1"/>
    <col min="12" max="12" width="23.5703125" style="340" customWidth="1"/>
  </cols>
  <sheetData>
    <row r="1" spans="1:12" ht="17.25" thickBot="1">
      <c r="A1" s="1" t="s">
        <v>80</v>
      </c>
      <c r="H1" s="1568" t="s">
        <v>1056</v>
      </c>
      <c r="I1" s="1569"/>
      <c r="J1" s="1569"/>
      <c r="K1" s="1569"/>
      <c r="L1" s="1570"/>
    </row>
    <row r="2" spans="1:12" ht="58.5" customHeight="1" thickTop="1" thickBot="1">
      <c r="A2" s="59" t="s">
        <v>81</v>
      </c>
      <c r="B2" s="38" t="s">
        <v>450</v>
      </c>
      <c r="C2" s="59" t="s">
        <v>72</v>
      </c>
      <c r="D2" s="59" t="s">
        <v>73</v>
      </c>
      <c r="E2" s="59" t="s">
        <v>453</v>
      </c>
      <c r="F2" s="38" t="s">
        <v>30</v>
      </c>
      <c r="G2" s="336"/>
      <c r="H2" s="59" t="s">
        <v>450</v>
      </c>
      <c r="I2" s="59" t="s">
        <v>72</v>
      </c>
      <c r="J2" s="59" t="s">
        <v>73</v>
      </c>
      <c r="K2" s="59" t="s">
        <v>453</v>
      </c>
      <c r="L2" s="59" t="s">
        <v>30</v>
      </c>
    </row>
    <row r="3" spans="1:12" ht="27" customHeight="1" thickTop="1" thickBot="1">
      <c r="A3" s="14" t="s">
        <v>74</v>
      </c>
      <c r="B3" s="22"/>
      <c r="C3" s="22"/>
      <c r="D3" s="22"/>
      <c r="E3" s="22"/>
      <c r="F3" s="15">
        <f>SUM(B3:E3)</f>
        <v>0</v>
      </c>
      <c r="I3" s="336"/>
      <c r="J3" s="336"/>
      <c r="K3" s="336"/>
      <c r="L3" s="341">
        <f>SUM(B3:E3)-F3</f>
        <v>0</v>
      </c>
    </row>
    <row r="4" spans="1:12" ht="27" customHeight="1" thickBot="1">
      <c r="A4" s="14" t="s">
        <v>82</v>
      </c>
      <c r="B4" s="22"/>
      <c r="C4" s="22"/>
      <c r="D4" s="22"/>
      <c r="E4" s="22"/>
      <c r="F4" s="15">
        <f>SUM(B4:E4)</f>
        <v>0</v>
      </c>
      <c r="I4" s="336"/>
      <c r="J4" s="336"/>
      <c r="K4" s="336"/>
      <c r="L4" s="341">
        <f>SUM(B4:E4)-F4</f>
        <v>0</v>
      </c>
    </row>
    <row r="5" spans="1:12" ht="27" customHeight="1" thickBot="1">
      <c r="A5" s="14" t="s">
        <v>83</v>
      </c>
      <c r="B5" s="22"/>
      <c r="C5" s="22"/>
      <c r="D5" s="22"/>
      <c r="E5" s="22"/>
      <c r="F5" s="15">
        <f>SUM(B5:E5)</f>
        <v>0</v>
      </c>
      <c r="I5" s="336"/>
      <c r="J5" s="336"/>
      <c r="K5" s="336"/>
      <c r="L5" s="341">
        <f t="shared" ref="L5:L6" si="0">SUM(B5:E5)-F5</f>
        <v>0</v>
      </c>
    </row>
    <row r="6" spans="1:12" ht="27" customHeight="1" thickBot="1">
      <c r="A6" s="14" t="s">
        <v>77</v>
      </c>
      <c r="B6" s="22"/>
      <c r="C6" s="22"/>
      <c r="D6" s="22"/>
      <c r="E6" s="22"/>
      <c r="F6" s="15">
        <f>SUM(B6:E6)</f>
        <v>0</v>
      </c>
      <c r="I6" s="336"/>
      <c r="J6" s="336"/>
      <c r="K6" s="336"/>
      <c r="L6" s="341">
        <f t="shared" si="0"/>
        <v>0</v>
      </c>
    </row>
    <row r="7" spans="1:12" ht="27" customHeight="1" thickBot="1">
      <c r="A7" s="25" t="s">
        <v>84</v>
      </c>
      <c r="B7" s="58">
        <f>SUM(B3:B6)</f>
        <v>0</v>
      </c>
      <c r="C7" s="58">
        <f>SUM(C3:C6)</f>
        <v>0</v>
      </c>
      <c r="D7" s="58">
        <f>SUM(D3:D6)</f>
        <v>0</v>
      </c>
      <c r="E7" s="58">
        <f>SUM(E3:E6)</f>
        <v>0</v>
      </c>
      <c r="F7" s="60">
        <f>SUM(F3:F6)</f>
        <v>0</v>
      </c>
      <c r="H7" s="338">
        <f>SUM(B3:B6)-B7</f>
        <v>0</v>
      </c>
      <c r="I7" s="337">
        <f>SUM(C3:C6)-C7</f>
        <v>0</v>
      </c>
      <c r="J7" s="337">
        <f>SUM(D3:D6)-D7</f>
        <v>0</v>
      </c>
      <c r="K7" s="337">
        <f>SUM(E3:E6)-E7</f>
        <v>0</v>
      </c>
      <c r="L7" s="341">
        <f>SUM(F3:F6)-F7</f>
        <v>0</v>
      </c>
    </row>
    <row r="8" spans="1:12" ht="15.75" thickTop="1"/>
  </sheetData>
  <mergeCells count="1">
    <mergeCell ref="H1:L1"/>
  </mergeCells>
  <conditionalFormatting sqref="H3:L7">
    <cfRule type="cellIs" dxfId="182" priority="1" operator="lessThan">
      <formula>0</formula>
    </cfRule>
    <cfRule type="cellIs" dxfId="181" priority="2" operator="greaterThan">
      <formula>0</formula>
    </cfRule>
    <cfRule type="cellIs" dxfId="180" priority="3" operator="lessThan">
      <formula>0</formula>
    </cfRule>
    <cfRule type="cellIs" dxfId="179" priority="4" operator="greaterThan">
      <formula>0</formula>
    </cfRule>
  </conditionalFormatting>
  <pageMargins left="0.7" right="0.7" top="0.75" bottom="0.75" header="0.3" footer="0.3"/>
  <pageSetup paperSize="9" orientation="portrait"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V13"/>
  <sheetViews>
    <sheetView showGridLines="0" zoomScaleNormal="100" workbookViewId="0">
      <pane xSplit="1" ySplit="4" topLeftCell="H5" activePane="bottomRight" state="frozen"/>
      <selection pane="topRight" activeCell="B1" sqref="B1"/>
      <selection pane="bottomLeft" activeCell="A5" sqref="A5"/>
      <selection pane="bottomRight" activeCell="N12" sqref="N12"/>
    </sheetView>
  </sheetViews>
  <sheetFormatPr defaultRowHeight="15" outlineLevelCol="1"/>
  <cols>
    <col min="1" max="1" width="18.5703125" customWidth="1"/>
    <col min="2" max="6" width="13.5703125" customWidth="1"/>
    <col min="7" max="7" width="17.5703125" style="340" customWidth="1"/>
    <col min="8" max="8" width="13.42578125" style="336" customWidth="1" outlineLevel="1"/>
    <col min="9" max="10" width="13.42578125" customWidth="1" outlineLevel="1"/>
    <col min="11" max="11" width="21.140625" customWidth="1" outlineLevel="1"/>
    <col min="12" max="12" width="24.7109375" style="340" customWidth="1"/>
    <col min="14" max="14" width="22" style="342" customWidth="1"/>
    <col min="22" max="22" width="9.140625" style="336"/>
  </cols>
  <sheetData>
    <row r="1" spans="1:22" ht="16.5">
      <c r="A1" s="1" t="s">
        <v>85</v>
      </c>
      <c r="H1" s="1568" t="s">
        <v>1056</v>
      </c>
      <c r="I1" s="1569"/>
      <c r="J1" s="1569"/>
      <c r="K1" s="1569"/>
      <c r="L1" s="1570"/>
      <c r="N1" s="350" t="s">
        <v>1058</v>
      </c>
      <c r="O1" s="345"/>
      <c r="P1" s="345"/>
      <c r="Q1" s="345"/>
      <c r="R1" s="345"/>
      <c r="S1" s="345"/>
      <c r="T1" s="345"/>
      <c r="U1" s="345"/>
      <c r="V1" s="345"/>
    </row>
    <row r="2" spans="1:22" ht="17.25" thickBot="1">
      <c r="A2" s="2" t="s">
        <v>8</v>
      </c>
    </row>
    <row r="3" spans="1:22" ht="16.5" thickTop="1" thickBot="1">
      <c r="A3" s="1556" t="s">
        <v>86</v>
      </c>
      <c r="B3" s="1558" t="s">
        <v>2</v>
      </c>
      <c r="C3" s="1564"/>
      <c r="D3" s="1564"/>
      <c r="E3" s="1564"/>
      <c r="F3" s="1559"/>
    </row>
    <row r="4" spans="1:22" ht="60" customHeight="1" thickTop="1" thickBot="1">
      <c r="A4" s="1557"/>
      <c r="B4" s="592" t="s">
        <v>87</v>
      </c>
      <c r="C4" s="21" t="s">
        <v>455</v>
      </c>
      <c r="D4" s="592" t="s">
        <v>1366</v>
      </c>
      <c r="E4" s="21" t="s">
        <v>457</v>
      </c>
      <c r="F4" s="592" t="s">
        <v>89</v>
      </c>
      <c r="G4" s="336"/>
      <c r="H4" s="59" t="s">
        <v>87</v>
      </c>
      <c r="I4" s="387" t="s">
        <v>456</v>
      </c>
      <c r="J4" s="59" t="s">
        <v>459</v>
      </c>
      <c r="K4" s="387" t="s">
        <v>457</v>
      </c>
      <c r="L4" s="59" t="s">
        <v>89</v>
      </c>
      <c r="N4" s="59" t="s">
        <v>89</v>
      </c>
    </row>
    <row r="5" spans="1:22" ht="23.25" customHeight="1" thickTop="1" thickBot="1">
      <c r="A5" s="14" t="s">
        <v>90</v>
      </c>
      <c r="B5" s="22"/>
      <c r="C5" s="22"/>
      <c r="D5" s="22"/>
      <c r="E5" s="22"/>
      <c r="F5" s="15">
        <f>SUM(B5:E5)</f>
        <v>0</v>
      </c>
      <c r="I5" s="336"/>
      <c r="J5" s="336"/>
      <c r="K5" s="336"/>
      <c r="L5" s="341">
        <f>SUM(B5:E5)-F5</f>
        <v>0</v>
      </c>
      <c r="N5" s="349">
        <f>F5-'BS old'!E41</f>
        <v>0</v>
      </c>
    </row>
    <row r="6" spans="1:22" ht="23.25" customHeight="1" thickBot="1">
      <c r="A6" s="14" t="s">
        <v>98</v>
      </c>
      <c r="B6" s="22"/>
      <c r="C6" s="22"/>
      <c r="D6" s="22"/>
      <c r="E6" s="22"/>
      <c r="F6" s="15">
        <f t="shared" ref="F6:F11" si="0">SUM(B6:E6)</f>
        <v>0</v>
      </c>
      <c r="I6" s="336"/>
      <c r="J6" s="336"/>
      <c r="K6" s="336"/>
      <c r="L6" s="341">
        <f t="shared" ref="L6:L11" si="1">SUM(B6:E6)-F6</f>
        <v>0</v>
      </c>
      <c r="N6" s="349">
        <f>F6-'BS old'!E42</f>
        <v>0</v>
      </c>
    </row>
    <row r="7" spans="1:22" ht="23.25" customHeight="1" thickBot="1">
      <c r="A7" s="14" t="s">
        <v>91</v>
      </c>
      <c r="B7" s="22"/>
      <c r="C7" s="22"/>
      <c r="D7" s="22"/>
      <c r="E7" s="22"/>
      <c r="F7" s="15">
        <f t="shared" si="0"/>
        <v>0</v>
      </c>
      <c r="I7" s="336"/>
      <c r="J7" s="336"/>
      <c r="K7" s="336"/>
      <c r="L7" s="341">
        <f t="shared" si="1"/>
        <v>0</v>
      </c>
      <c r="N7" s="349">
        <f>F7-'BS old'!E43</f>
        <v>0</v>
      </c>
    </row>
    <row r="8" spans="1:22" ht="23.25" customHeight="1" thickBot="1">
      <c r="A8" s="14" t="s">
        <v>92</v>
      </c>
      <c r="B8" s="22"/>
      <c r="C8" s="22"/>
      <c r="D8" s="22"/>
      <c r="E8" s="22"/>
      <c r="F8" s="15">
        <f t="shared" si="0"/>
        <v>0</v>
      </c>
      <c r="I8" s="336"/>
      <c r="J8" s="336"/>
      <c r="K8" s="336"/>
      <c r="L8" s="341">
        <f t="shared" si="1"/>
        <v>0</v>
      </c>
      <c r="N8" s="349">
        <f>F8-'BS old'!E44</f>
        <v>0</v>
      </c>
    </row>
    <row r="9" spans="1:22" ht="23.25" customHeight="1" thickBot="1">
      <c r="A9" s="14" t="s">
        <v>93</v>
      </c>
      <c r="B9" s="22"/>
      <c r="C9" s="22"/>
      <c r="D9" s="22"/>
      <c r="E9" s="22"/>
      <c r="F9" s="15">
        <f t="shared" si="0"/>
        <v>0</v>
      </c>
      <c r="L9" s="341">
        <f t="shared" si="1"/>
        <v>0</v>
      </c>
      <c r="N9" s="349">
        <f>F9-'BS old'!E45</f>
        <v>0</v>
      </c>
    </row>
    <row r="10" spans="1:22" ht="23.25" customHeight="1" thickBot="1">
      <c r="A10" s="14" t="s">
        <v>94</v>
      </c>
      <c r="B10" s="22"/>
      <c r="C10" s="22"/>
      <c r="D10" s="22"/>
      <c r="E10" s="22"/>
      <c r="F10" s="15">
        <f t="shared" si="0"/>
        <v>0</v>
      </c>
      <c r="L10" s="341">
        <f t="shared" si="1"/>
        <v>0</v>
      </c>
      <c r="N10" s="388"/>
    </row>
    <row r="11" spans="1:22" ht="23.25" customHeight="1" thickBot="1">
      <c r="A11" s="14" t="s">
        <v>458</v>
      </c>
      <c r="B11" s="22"/>
      <c r="C11" s="22"/>
      <c r="D11" s="22"/>
      <c r="E11" s="22"/>
      <c r="F11" s="15">
        <f t="shared" si="0"/>
        <v>0</v>
      </c>
      <c r="L11" s="341">
        <f t="shared" si="1"/>
        <v>0</v>
      </c>
      <c r="N11" s="349">
        <f>F11-'BS old'!E46</f>
        <v>0</v>
      </c>
    </row>
    <row r="12" spans="1:22" ht="23.25" customHeight="1" thickBot="1">
      <c r="A12" s="25" t="s">
        <v>95</v>
      </c>
      <c r="B12" s="58">
        <f>SUM(B5:B11)</f>
        <v>0</v>
      </c>
      <c r="C12" s="58">
        <f t="shared" ref="C12:E12" si="2">SUM(C5:C11)</f>
        <v>0</v>
      </c>
      <c r="D12" s="58">
        <f>SUM(D5:D11)</f>
        <v>0</v>
      </c>
      <c r="E12" s="58">
        <f t="shared" si="2"/>
        <v>0</v>
      </c>
      <c r="F12" s="60">
        <f>SUM(F5:F11)</f>
        <v>0</v>
      </c>
      <c r="H12" s="337">
        <f>SUM(B5:B11)-B12</f>
        <v>0</v>
      </c>
      <c r="I12" s="337">
        <f t="shared" ref="I12:L12" si="3">SUM(C5:C11)-C12</f>
        <v>0</v>
      </c>
      <c r="J12" s="337">
        <f t="shared" si="3"/>
        <v>0</v>
      </c>
      <c r="K12" s="337">
        <f t="shared" si="3"/>
        <v>0</v>
      </c>
      <c r="L12" s="341">
        <f t="shared" si="3"/>
        <v>0</v>
      </c>
      <c r="N12" s="349">
        <f>F12-'BS old'!E40</f>
        <v>0</v>
      </c>
    </row>
    <row r="13" spans="1:22" ht="17.25" thickTop="1">
      <c r="A13" s="2"/>
    </row>
  </sheetData>
  <mergeCells count="3">
    <mergeCell ref="B3:F3"/>
    <mergeCell ref="A3:A4"/>
    <mergeCell ref="H1:L1"/>
  </mergeCells>
  <conditionalFormatting sqref="H5:L8 H12:L12 L6:L12">
    <cfRule type="cellIs" dxfId="178" priority="3" operator="lessThan">
      <formula>0</formula>
    </cfRule>
    <cfRule type="cellIs" dxfId="177" priority="4" operator="greaterThan">
      <formula>0</formula>
    </cfRule>
    <cfRule type="cellIs" dxfId="176" priority="5" operator="lessThan">
      <formula>0</formula>
    </cfRule>
    <cfRule type="cellIs" dxfId="175" priority="6" operator="greaterThan">
      <formula>0</formula>
    </cfRule>
  </conditionalFormatting>
  <conditionalFormatting sqref="N5:N12">
    <cfRule type="cellIs" dxfId="174" priority="1" operator="lessThan">
      <formula>0</formula>
    </cfRule>
    <cfRule type="cellIs" dxfId="173" priority="2" operator="greaterThan">
      <formula>0</formula>
    </cfRule>
  </conditionalFormatting>
  <pageMargins left="0.7" right="0.7" top="0.75" bottom="0.75" header="0.3" footer="0.3"/>
  <pageSetup paperSize="9" orientation="portrait" horizontalDpi="300"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B7"/>
  <sheetViews>
    <sheetView showGridLines="0" zoomScaleNormal="100" workbookViewId="0">
      <selection activeCell="B21" sqref="B21"/>
    </sheetView>
  </sheetViews>
  <sheetFormatPr defaultRowHeight="15"/>
  <cols>
    <col min="1" max="1" width="44.42578125" customWidth="1"/>
    <col min="2" max="2" width="42.140625" customWidth="1"/>
    <col min="3" max="3" width="19.140625" customWidth="1"/>
    <col min="4" max="4" width="15.42578125" customWidth="1"/>
    <col min="5" max="5" width="14.5703125" customWidth="1"/>
    <col min="6" max="6" width="13.5703125" customWidth="1"/>
    <col min="7" max="7" width="17.5703125" customWidth="1"/>
  </cols>
  <sheetData>
    <row r="1" spans="1:2" ht="16.5">
      <c r="A1" s="1" t="s">
        <v>85</v>
      </c>
    </row>
    <row r="2" spans="1:2" ht="16.5">
      <c r="A2" s="2"/>
    </row>
    <row r="3" spans="1:2" ht="17.25" thickBot="1">
      <c r="A3" s="2" t="s">
        <v>15</v>
      </c>
    </row>
    <row r="4" spans="1:2" ht="24" customHeight="1" thickTop="1" thickBot="1">
      <c r="A4" s="10" t="s">
        <v>94</v>
      </c>
      <c r="B4" s="11" t="s">
        <v>63</v>
      </c>
    </row>
    <row r="5" spans="1:2" ht="24" thickTop="1" thickBot="1">
      <c r="A5" s="12" t="s">
        <v>96</v>
      </c>
      <c r="B5" s="13"/>
    </row>
    <row r="6" spans="1:2" ht="24.75" customHeight="1" thickBot="1">
      <c r="A6" s="16" t="s">
        <v>97</v>
      </c>
      <c r="B6" s="17"/>
    </row>
    <row r="7" spans="1:2" ht="15.75" thickTop="1">
      <c r="A7" s="63"/>
      <c r="B7" s="18"/>
    </row>
  </sheetData>
  <pageMargins left="0.7" right="0.7" top="0.75" bottom="0.75" header="0.3" footer="0.3"/>
  <pageSetup paperSize="9" orientation="portrait" horizontalDpi="300"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B5"/>
  <sheetViews>
    <sheetView showGridLines="0" zoomScaleNormal="100" workbookViewId="0">
      <selection activeCell="B3" sqref="B3"/>
    </sheetView>
  </sheetViews>
  <sheetFormatPr defaultRowHeight="15"/>
  <cols>
    <col min="1" max="1" width="44.42578125" customWidth="1"/>
    <col min="2" max="2" width="42.140625" customWidth="1"/>
    <col min="3" max="3" width="19.140625" customWidth="1"/>
  </cols>
  <sheetData>
    <row r="1" spans="1:2" ht="17.25" thickBot="1">
      <c r="A1" s="1" t="s">
        <v>99</v>
      </c>
    </row>
    <row r="2" spans="1:2" ht="16.5" thickTop="1" thickBot="1">
      <c r="A2" s="591" t="s">
        <v>86</v>
      </c>
      <c r="B2" s="594" t="s">
        <v>36</v>
      </c>
    </row>
    <row r="3" spans="1:2" ht="24" customHeight="1" thickTop="1" thickBot="1">
      <c r="A3" s="12" t="s">
        <v>100</v>
      </c>
      <c r="B3" s="13"/>
    </row>
    <row r="4" spans="1:2" ht="24" customHeight="1" thickBot="1">
      <c r="A4" s="16" t="s">
        <v>101</v>
      </c>
      <c r="B4" s="17"/>
    </row>
    <row r="5" spans="1:2" ht="15.75" thickTop="1"/>
  </sheetData>
  <pageMargins left="0.7" right="0.7" top="0.75" bottom="0.75" header="0.3" footer="0.3"/>
  <pageSetup paperSize="9" orientation="portrait" horizontalDpi="300" verticalDpi="3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M14"/>
  <sheetViews>
    <sheetView showGridLines="0" zoomScaleNormal="100" workbookViewId="0">
      <selection activeCell="H13" sqref="H13:J13"/>
    </sheetView>
  </sheetViews>
  <sheetFormatPr defaultRowHeight="15"/>
  <cols>
    <col min="1" max="1" width="22.140625" customWidth="1"/>
    <col min="2" max="4" width="21.42578125" customWidth="1"/>
    <col min="8" max="8" width="20" style="335" customWidth="1"/>
    <col min="9" max="9" width="15.28515625" style="336" customWidth="1"/>
    <col min="10" max="10" width="20.85546875" style="340" customWidth="1"/>
  </cols>
  <sheetData>
    <row r="1" spans="1:13" ht="16.5">
      <c r="A1" s="1" t="s">
        <v>102</v>
      </c>
      <c r="H1" s="1568" t="s">
        <v>1056</v>
      </c>
      <c r="I1" s="1569"/>
      <c r="J1" s="1570"/>
      <c r="K1" s="345"/>
      <c r="L1" s="345"/>
      <c r="M1" s="336"/>
    </row>
    <row r="2" spans="1:13" ht="17.25" thickBot="1">
      <c r="A2" s="2" t="s">
        <v>8</v>
      </c>
    </row>
    <row r="3" spans="1:13" ht="45" customHeight="1" thickTop="1" thickBot="1">
      <c r="A3" s="59" t="s">
        <v>1</v>
      </c>
      <c r="B3" s="70" t="s">
        <v>489</v>
      </c>
      <c r="C3" s="70" t="s">
        <v>104</v>
      </c>
      <c r="D3" s="70" t="s">
        <v>491</v>
      </c>
      <c r="H3" s="59" t="s">
        <v>489</v>
      </c>
      <c r="I3" s="387" t="s">
        <v>104</v>
      </c>
      <c r="J3" s="387" t="s">
        <v>491</v>
      </c>
    </row>
    <row r="4" spans="1:13" ht="20.25" customHeight="1" thickTop="1" thickBot="1">
      <c r="A4" s="14" t="s">
        <v>106</v>
      </c>
      <c r="B4" s="15"/>
      <c r="C4" s="15"/>
      <c r="D4" s="15"/>
    </row>
    <row r="5" spans="1:13" ht="20.25" customHeight="1" thickBot="1">
      <c r="A5" s="14" t="s">
        <v>107</v>
      </c>
      <c r="B5" s="15"/>
      <c r="C5" s="15"/>
      <c r="D5" s="15"/>
    </row>
    <row r="6" spans="1:13" ht="20.25" customHeight="1" thickBot="1">
      <c r="A6" s="16" t="s">
        <v>108</v>
      </c>
      <c r="B6" s="17">
        <f>B4+B5</f>
        <v>0</v>
      </c>
      <c r="C6" s="17">
        <f t="shared" ref="C6:D6" si="0">C4+C5</f>
        <v>0</v>
      </c>
      <c r="D6" s="17">
        <f t="shared" si="0"/>
        <v>0</v>
      </c>
      <c r="H6" s="338">
        <f>SUM(B4:B5)-B6</f>
        <v>0</v>
      </c>
      <c r="I6" s="337">
        <f t="shared" ref="I6" si="1">SUM(C4:C5)-C6</f>
        <v>0</v>
      </c>
      <c r="J6" s="341">
        <f>SUM(D4:D5)-D6</f>
        <v>0</v>
      </c>
    </row>
    <row r="7" spans="1:13" ht="15.75" thickTop="1">
      <c r="A7" s="48"/>
      <c r="B7" s="20"/>
      <c r="C7" s="20"/>
      <c r="D7" s="20"/>
    </row>
    <row r="8" spans="1:13">
      <c r="A8" s="48"/>
      <c r="B8" s="20"/>
      <c r="C8" s="20"/>
      <c r="D8" s="20"/>
    </row>
    <row r="9" spans="1:13" ht="15.75" thickBot="1">
      <c r="A9" s="48" t="s">
        <v>114</v>
      </c>
      <c r="B9" s="20"/>
      <c r="C9" s="20"/>
      <c r="D9" s="20"/>
    </row>
    <row r="10" spans="1:13" ht="45" customHeight="1" thickTop="1" thickBot="1">
      <c r="A10" s="59" t="s">
        <v>1</v>
      </c>
      <c r="B10" s="70" t="s">
        <v>489</v>
      </c>
      <c r="C10" s="70" t="s">
        <v>104</v>
      </c>
      <c r="D10" s="593" t="s">
        <v>490</v>
      </c>
    </row>
    <row r="11" spans="1:13" ht="20.25" customHeight="1" thickTop="1" thickBot="1">
      <c r="A11" s="14" t="s">
        <v>115</v>
      </c>
      <c r="B11" s="15"/>
      <c r="C11" s="15"/>
      <c r="D11" s="15"/>
    </row>
    <row r="12" spans="1:13" ht="20.25" customHeight="1" thickBot="1">
      <c r="A12" s="14" t="s">
        <v>116</v>
      </c>
      <c r="B12" s="15"/>
      <c r="C12" s="15"/>
      <c r="D12" s="15"/>
    </row>
    <row r="13" spans="1:13" ht="20.25" customHeight="1" thickBot="1">
      <c r="A13" s="16" t="s">
        <v>108</v>
      </c>
      <c r="B13" s="17">
        <f>B11+B12</f>
        <v>0</v>
      </c>
      <c r="C13" s="17">
        <f t="shared" ref="C13:D13" si="2">C11+C12</f>
        <v>0</v>
      </c>
      <c r="D13" s="17">
        <f t="shared" si="2"/>
        <v>0</v>
      </c>
      <c r="H13" s="338">
        <f>SUM(B11:B12)-B13</f>
        <v>0</v>
      </c>
      <c r="I13" s="337">
        <f>SUM(C11:C12)-C13</f>
        <v>0</v>
      </c>
      <c r="J13" s="341">
        <f t="shared" ref="J13" si="3">SUM(D11:D12)-D13</f>
        <v>0</v>
      </c>
    </row>
    <row r="14" spans="1:13" ht="17.25" thickTop="1">
      <c r="A14" s="5"/>
    </row>
  </sheetData>
  <mergeCells count="1">
    <mergeCell ref="H1:J1"/>
  </mergeCells>
  <conditionalFormatting sqref="H4:J13">
    <cfRule type="cellIs" dxfId="172" priority="1" operator="lessThan">
      <formula>0</formula>
    </cfRule>
    <cfRule type="cellIs" dxfId="171" priority="2" operator="greaterThan">
      <formula>0</formula>
    </cfRule>
  </conditionalFormatting>
  <pageMargins left="0.7" right="0.7" top="0.75" bottom="0.75" header="0.3" footer="0.3"/>
  <pageSetup paperSize="9" orientation="portrait" horizontalDpi="300" verticalDpi="3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C17"/>
  <sheetViews>
    <sheetView showGridLines="0" zoomScaleNormal="100" workbookViewId="0">
      <selection activeCell="D10" sqref="D10"/>
    </sheetView>
  </sheetViews>
  <sheetFormatPr defaultRowHeight="15"/>
  <cols>
    <col min="1" max="1" width="28.7109375" customWidth="1"/>
    <col min="2" max="3" width="28.85546875" customWidth="1"/>
    <col min="4" max="4" width="36.5703125" customWidth="1"/>
  </cols>
  <sheetData>
    <row r="1" spans="1:3" ht="16.5">
      <c r="A1" s="1" t="s">
        <v>102</v>
      </c>
    </row>
    <row r="2" spans="1:3" ht="16.5">
      <c r="A2" s="2"/>
    </row>
    <row r="3" spans="1:3" ht="15.75" thickBot="1">
      <c r="A3" s="20" t="s">
        <v>15</v>
      </c>
      <c r="B3" s="20"/>
      <c r="C3" s="20"/>
    </row>
    <row r="4" spans="1:3" ht="45" customHeight="1" thickTop="1" thickBot="1">
      <c r="A4" s="59" t="s">
        <v>109</v>
      </c>
      <c r="B4" s="70" t="s">
        <v>103</v>
      </c>
      <c r="C4" s="70" t="s">
        <v>105</v>
      </c>
    </row>
    <row r="5" spans="1:3" ht="20.25" customHeight="1" thickTop="1" thickBot="1">
      <c r="A5" s="14" t="s">
        <v>110</v>
      </c>
      <c r="B5" s="15"/>
      <c r="C5" s="15"/>
    </row>
    <row r="6" spans="1:3" ht="20.25" customHeight="1" thickBot="1">
      <c r="A6" s="14" t="s">
        <v>111</v>
      </c>
      <c r="B6" s="15"/>
      <c r="C6" s="15"/>
    </row>
    <row r="7" spans="1:3" ht="20.25" customHeight="1" thickBot="1">
      <c r="A7" s="14" t="s">
        <v>112</v>
      </c>
      <c r="B7" s="15"/>
      <c r="C7" s="15"/>
    </row>
    <row r="8" spans="1:3" ht="20.25" customHeight="1" thickBot="1">
      <c r="A8" s="16" t="s">
        <v>113</v>
      </c>
      <c r="B8" s="17"/>
      <c r="C8" s="17"/>
    </row>
    <row r="9" spans="1:3" ht="15.75" thickTop="1">
      <c r="A9" s="20"/>
      <c r="B9" s="20"/>
      <c r="C9" s="20"/>
    </row>
    <row r="10" spans="1:3">
      <c r="A10" s="49"/>
      <c r="B10" s="20"/>
      <c r="C10" s="20"/>
    </row>
    <row r="11" spans="1:3" ht="15.75" thickBot="1">
      <c r="A11" s="49" t="s">
        <v>117</v>
      </c>
      <c r="B11" s="20"/>
      <c r="C11" s="20"/>
    </row>
    <row r="12" spans="1:3" ht="45" customHeight="1" thickTop="1" thickBot="1">
      <c r="A12" s="59" t="s">
        <v>118</v>
      </c>
      <c r="B12" s="70" t="s">
        <v>103</v>
      </c>
      <c r="C12" s="593" t="s">
        <v>490</v>
      </c>
    </row>
    <row r="13" spans="1:3" ht="20.25" customHeight="1" thickTop="1" thickBot="1">
      <c r="A13" s="14" t="s">
        <v>119</v>
      </c>
      <c r="B13" s="15"/>
      <c r="C13" s="15"/>
    </row>
    <row r="14" spans="1:3" ht="20.25" customHeight="1" thickBot="1">
      <c r="A14" s="14" t="s">
        <v>111</v>
      </c>
      <c r="B14" s="15"/>
      <c r="C14" s="15"/>
    </row>
    <row r="15" spans="1:3" ht="20.25" customHeight="1" thickBot="1">
      <c r="A15" s="14" t="s">
        <v>120</v>
      </c>
      <c r="B15" s="15"/>
      <c r="C15" s="15"/>
    </row>
    <row r="16" spans="1:3" ht="20.25" customHeight="1" thickBot="1">
      <c r="A16" s="16" t="s">
        <v>113</v>
      </c>
      <c r="B16" s="17"/>
      <c r="C16" s="17"/>
    </row>
    <row r="17" ht="15.75" thickTop="1"/>
  </sheetData>
  <pageMargins left="0.7" right="0.7" top="0.75" bottom="0.75"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FF99"/>
  </sheetPr>
  <dimension ref="A1:B48"/>
  <sheetViews>
    <sheetView showGridLines="0" workbookViewId="0">
      <selection activeCell="C28" sqref="C28"/>
    </sheetView>
  </sheetViews>
  <sheetFormatPr defaultRowHeight="15"/>
  <cols>
    <col min="1" max="1" width="22" customWidth="1"/>
    <col min="2" max="2" width="21.5703125" customWidth="1"/>
  </cols>
  <sheetData>
    <row r="1" spans="1:1">
      <c r="A1" s="1418" t="s">
        <v>2648</v>
      </c>
    </row>
    <row r="2" spans="1:1">
      <c r="A2" s="1418" t="s">
        <v>2649</v>
      </c>
    </row>
    <row r="3" spans="1:1" ht="15.75">
      <c r="A3" s="1419"/>
    </row>
    <row r="4" spans="1:1">
      <c r="A4" s="1420" t="s">
        <v>2650</v>
      </c>
    </row>
    <row r="5" spans="1:1">
      <c r="A5" s="1420" t="s">
        <v>2651</v>
      </c>
    </row>
    <row r="6" spans="1:1">
      <c r="A6" s="1420" t="s">
        <v>2652</v>
      </c>
    </row>
    <row r="7" spans="1:1">
      <c r="A7" s="1420" t="s">
        <v>2653</v>
      </c>
    </row>
    <row r="8" spans="1:1">
      <c r="A8" s="1420" t="s">
        <v>2654</v>
      </c>
    </row>
    <row r="9" spans="1:1">
      <c r="A9" s="1420" t="s">
        <v>2655</v>
      </c>
    </row>
    <row r="10" spans="1:1">
      <c r="A10" s="1418" t="s">
        <v>2656</v>
      </c>
    </row>
    <row r="11" spans="1:1">
      <c r="A11" s="1420"/>
    </row>
    <row r="12" spans="1:1">
      <c r="A12" t="s">
        <v>405</v>
      </c>
    </row>
    <row r="13" spans="1:1">
      <c r="A13" t="s">
        <v>406</v>
      </c>
    </row>
    <row r="14" spans="1:1">
      <c r="A14" t="s">
        <v>407</v>
      </c>
    </row>
    <row r="15" spans="1:1">
      <c r="A15" t="s">
        <v>408</v>
      </c>
    </row>
    <row r="16" spans="1:1">
      <c r="A16" t="s">
        <v>409</v>
      </c>
    </row>
    <row r="17" spans="1:2">
      <c r="A17" t="s">
        <v>410</v>
      </c>
    </row>
    <row r="18" spans="1:2">
      <c r="A18" t="s">
        <v>411</v>
      </c>
    </row>
    <row r="19" spans="1:2">
      <c r="A19" t="s">
        <v>412</v>
      </c>
    </row>
    <row r="20" spans="1:2">
      <c r="A20" t="s">
        <v>413</v>
      </c>
    </row>
    <row r="21" spans="1:2">
      <c r="A21" t="s">
        <v>414</v>
      </c>
    </row>
    <row r="22" spans="1:2">
      <c r="A22" s="9" t="s">
        <v>388</v>
      </c>
      <c r="B22" s="9" t="s">
        <v>415</v>
      </c>
    </row>
    <row r="23" spans="1:2">
      <c r="A23" s="7">
        <v>1</v>
      </c>
      <c r="B23" s="8" t="s">
        <v>416</v>
      </c>
    </row>
    <row r="24" spans="1:2">
      <c r="A24" s="7">
        <v>2</v>
      </c>
      <c r="B24" s="8" t="s">
        <v>417</v>
      </c>
    </row>
    <row r="25" spans="1:2">
      <c r="A25" s="7">
        <v>3</v>
      </c>
      <c r="B25" s="8" t="s">
        <v>418</v>
      </c>
    </row>
    <row r="26" spans="1:2">
      <c r="A26" s="7">
        <v>4</v>
      </c>
      <c r="B26" s="8" t="s">
        <v>419</v>
      </c>
    </row>
    <row r="27" spans="1:2">
      <c r="A27" s="7">
        <v>5</v>
      </c>
      <c r="B27" s="8" t="s">
        <v>420</v>
      </c>
    </row>
    <row r="28" spans="1:2">
      <c r="A28" s="7">
        <v>6</v>
      </c>
      <c r="B28" s="8" t="s">
        <v>421</v>
      </c>
    </row>
    <row r="29" spans="1:2">
      <c r="A29" s="7">
        <v>7</v>
      </c>
      <c r="B29" s="8" t="s">
        <v>422</v>
      </c>
    </row>
    <row r="30" spans="1:2">
      <c r="A30" s="7">
        <v>8</v>
      </c>
      <c r="B30" s="8" t="s">
        <v>423</v>
      </c>
    </row>
    <row r="31" spans="1:2">
      <c r="A31" s="7">
        <v>9</v>
      </c>
      <c r="B31" s="8" t="s">
        <v>424</v>
      </c>
    </row>
    <row r="32" spans="1:2">
      <c r="A32" s="7">
        <v>10</v>
      </c>
      <c r="B32" s="8" t="s">
        <v>425</v>
      </c>
    </row>
    <row r="33" spans="1:2">
      <c r="A33" s="7">
        <v>11</v>
      </c>
      <c r="B33" s="8" t="s">
        <v>426</v>
      </c>
    </row>
    <row r="35" spans="1:2">
      <c r="A35" t="s">
        <v>427</v>
      </c>
    </row>
    <row r="36" spans="1:2">
      <c r="A36" t="s">
        <v>428</v>
      </c>
    </row>
    <row r="37" spans="1:2">
      <c r="A37" t="s">
        <v>429</v>
      </c>
    </row>
    <row r="38" spans="1:2">
      <c r="A38" t="s">
        <v>430</v>
      </c>
    </row>
    <row r="39" spans="1:2">
      <c r="A39" t="s">
        <v>431</v>
      </c>
    </row>
    <row r="40" spans="1:2">
      <c r="A40" t="s">
        <v>432</v>
      </c>
    </row>
    <row r="41" spans="1:2">
      <c r="A41" t="s">
        <v>433</v>
      </c>
    </row>
    <row r="42" spans="1:2">
      <c r="A42" t="s">
        <v>434</v>
      </c>
    </row>
    <row r="43" spans="1:2">
      <c r="A43" t="s">
        <v>435</v>
      </c>
    </row>
    <row r="44" spans="1:2">
      <c r="A44" t="s">
        <v>436</v>
      </c>
    </row>
    <row r="45" spans="1:2">
      <c r="A45" t="s">
        <v>437</v>
      </c>
    </row>
    <row r="46" spans="1:2">
      <c r="A46" t="s">
        <v>438</v>
      </c>
    </row>
    <row r="47" spans="1:2">
      <c r="A47" t="s">
        <v>439</v>
      </c>
    </row>
    <row r="48" spans="1:2">
      <c r="A48" t="s">
        <v>440</v>
      </c>
    </row>
  </sheetData>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O11"/>
  <sheetViews>
    <sheetView showGridLines="0" zoomScaleNormal="100" workbookViewId="0">
      <selection activeCell="H3" sqref="H3:K3"/>
    </sheetView>
  </sheetViews>
  <sheetFormatPr defaultRowHeight="15" outlineLevelCol="1"/>
  <cols>
    <col min="1" max="1" width="25.28515625" customWidth="1"/>
    <col min="2" max="6" width="12.140625" customWidth="1"/>
    <col min="8" max="8" width="18.85546875" style="335" hidden="1" customWidth="1" outlineLevel="1"/>
    <col min="9" max="11" width="18.85546875" hidden="1" customWidth="1" outlineLevel="1"/>
    <col min="12" max="12" width="24.7109375" style="340" customWidth="1" collapsed="1"/>
    <col min="14" max="14" width="22" style="342" customWidth="1"/>
  </cols>
  <sheetData>
    <row r="1" spans="1:15" ht="17.25" thickBot="1">
      <c r="A1" s="1" t="s">
        <v>121</v>
      </c>
      <c r="H1" s="1568" t="s">
        <v>1056</v>
      </c>
      <c r="I1" s="1569"/>
      <c r="J1" s="1569"/>
      <c r="K1" s="1569"/>
      <c r="L1" s="1570"/>
      <c r="N1" s="350" t="s">
        <v>1058</v>
      </c>
    </row>
    <row r="2" spans="1:15" ht="16.5" thickTop="1" thickBot="1">
      <c r="A2" s="1556" t="s">
        <v>122</v>
      </c>
      <c r="B2" s="1558" t="s">
        <v>2</v>
      </c>
      <c r="C2" s="1564"/>
      <c r="D2" s="1564"/>
      <c r="E2" s="1564"/>
      <c r="F2" s="1559"/>
    </row>
    <row r="3" spans="1:15" ht="62.25" customHeight="1" thickTop="1" thickBot="1">
      <c r="A3" s="1557"/>
      <c r="B3" s="30" t="s">
        <v>123</v>
      </c>
      <c r="C3" s="21" t="s">
        <v>455</v>
      </c>
      <c r="D3" s="30" t="s">
        <v>459</v>
      </c>
      <c r="E3" s="21" t="s">
        <v>457</v>
      </c>
      <c r="F3" s="30" t="s">
        <v>89</v>
      </c>
      <c r="H3" s="59" t="s">
        <v>123</v>
      </c>
      <c r="I3" s="177" t="s">
        <v>455</v>
      </c>
      <c r="J3" s="59" t="s">
        <v>459</v>
      </c>
      <c r="K3" s="177" t="s">
        <v>457</v>
      </c>
      <c r="L3" s="59" t="s">
        <v>89</v>
      </c>
      <c r="N3" s="59" t="s">
        <v>89</v>
      </c>
    </row>
    <row r="4" spans="1:15" s="4" customFormat="1" ht="33" customHeight="1" thickTop="1" thickBot="1">
      <c r="A4" s="14" t="s">
        <v>125</v>
      </c>
      <c r="B4" s="22"/>
      <c r="C4" s="22"/>
      <c r="D4" s="22"/>
      <c r="E4" s="22"/>
      <c r="F4" s="15">
        <f>SUM(B4:E4)</f>
        <v>0</v>
      </c>
      <c r="H4" s="335"/>
      <c r="I4" s="336"/>
      <c r="J4" s="336"/>
      <c r="K4" s="336"/>
      <c r="L4" s="341">
        <f>SUM(B4:E4)-F4</f>
        <v>0</v>
      </c>
      <c r="N4" s="349">
        <f>F4-'BS old'!$E$56-'BS old'!$E$48</f>
        <v>0</v>
      </c>
      <c r="O4" s="39"/>
    </row>
    <row r="5" spans="1:15" s="4" customFormat="1" ht="33" customHeight="1" thickBot="1">
      <c r="A5" s="14" t="s">
        <v>126</v>
      </c>
      <c r="B5" s="22"/>
      <c r="C5" s="22"/>
      <c r="D5" s="22"/>
      <c r="E5" s="22"/>
      <c r="F5" s="15">
        <f t="shared" ref="F5:F8" si="0">SUM(B5:E5)</f>
        <v>0</v>
      </c>
      <c r="H5" s="335"/>
      <c r="I5" s="336"/>
      <c r="J5" s="336"/>
      <c r="K5" s="336"/>
      <c r="L5" s="341">
        <f>SUM(B5:E5)-F5</f>
        <v>0</v>
      </c>
      <c r="N5" s="349">
        <f>F5-'BS old'!$E$58-'BS old'!$E$50</f>
        <v>0</v>
      </c>
      <c r="O5" s="39"/>
    </row>
    <row r="6" spans="1:15" s="4" customFormat="1" ht="33" customHeight="1" thickBot="1">
      <c r="A6" s="14" t="s">
        <v>136</v>
      </c>
      <c r="B6" s="22"/>
      <c r="C6" s="22"/>
      <c r="D6" s="22"/>
      <c r="E6" s="22"/>
      <c r="F6" s="15">
        <f t="shared" si="0"/>
        <v>0</v>
      </c>
      <c r="H6" s="335"/>
      <c r="I6" s="336"/>
      <c r="J6" s="336"/>
      <c r="K6" s="336"/>
      <c r="L6" s="341">
        <f t="shared" ref="L6:L8" si="1">SUM(B6:E6)-F6</f>
        <v>0</v>
      </c>
      <c r="N6" s="349">
        <f>F6-'BS old'!$E$59-'BS old'!$E$51</f>
        <v>0</v>
      </c>
      <c r="O6" s="39"/>
    </row>
    <row r="7" spans="1:15" s="4" customFormat="1" ht="33" customHeight="1" thickBot="1">
      <c r="A7" s="14" t="s">
        <v>127</v>
      </c>
      <c r="B7" s="22"/>
      <c r="C7" s="22"/>
      <c r="D7" s="22"/>
      <c r="E7" s="22"/>
      <c r="F7" s="15">
        <f t="shared" si="0"/>
        <v>0</v>
      </c>
      <c r="H7" s="335"/>
      <c r="I7" s="336"/>
      <c r="J7" s="336"/>
      <c r="K7" s="336"/>
      <c r="L7" s="341">
        <f t="shared" si="1"/>
        <v>0</v>
      </c>
      <c r="N7" s="349">
        <f>F7-'BS old'!$E$60-'BS old'!$E$52</f>
        <v>0</v>
      </c>
      <c r="O7" s="39"/>
    </row>
    <row r="8" spans="1:15" s="4" customFormat="1" ht="33" customHeight="1" thickBot="1">
      <c r="A8" s="14" t="s">
        <v>128</v>
      </c>
      <c r="B8" s="22"/>
      <c r="C8" s="22"/>
      <c r="D8" s="22"/>
      <c r="E8" s="22"/>
      <c r="F8" s="15">
        <f t="shared" si="0"/>
        <v>0</v>
      </c>
      <c r="H8" s="335"/>
      <c r="I8"/>
      <c r="J8"/>
      <c r="K8"/>
      <c r="L8" s="341">
        <f t="shared" si="1"/>
        <v>0</v>
      </c>
      <c r="N8" s="349">
        <f>F8-SUM('BS old'!$E$61:$E$63,'BS old'!$E$53,'BS old'!$E$54)</f>
        <v>0</v>
      </c>
      <c r="O8" s="39"/>
    </row>
    <row r="9" spans="1:15" s="4" customFormat="1" ht="33" customHeight="1" thickBot="1">
      <c r="A9" s="25" t="s">
        <v>129</v>
      </c>
      <c r="B9" s="58">
        <f>SUM(B4:B8)</f>
        <v>0</v>
      </c>
      <c r="C9" s="58">
        <f>SUM(C4:C8)</f>
        <v>0</v>
      </c>
      <c r="D9" s="58">
        <f>SUM(D4:D8)</f>
        <v>0</v>
      </c>
      <c r="E9" s="58">
        <f>SUM(E4:E8)</f>
        <v>0</v>
      </c>
      <c r="F9" s="60">
        <f>SUM(F4:F8)</f>
        <v>0</v>
      </c>
      <c r="H9" s="335"/>
      <c r="I9"/>
      <c r="J9"/>
      <c r="K9"/>
      <c r="L9" s="341">
        <f>SUM(F4:F8)-F9</f>
        <v>0</v>
      </c>
      <c r="N9" s="349">
        <f>F9-'BS old'!$E$47-'BS old'!$E$55</f>
        <v>0</v>
      </c>
      <c r="O9" s="39"/>
    </row>
    <row r="10" spans="1:15" ht="15.75" thickTop="1">
      <c r="L10" s="341"/>
      <c r="N10" s="349"/>
      <c r="O10" s="39"/>
    </row>
    <row r="11" spans="1:15">
      <c r="H11" s="338"/>
      <c r="I11" s="337"/>
      <c r="J11" s="337"/>
      <c r="K11" s="337"/>
      <c r="L11" s="341"/>
      <c r="N11" s="349"/>
      <c r="O11" s="39"/>
    </row>
  </sheetData>
  <mergeCells count="3">
    <mergeCell ref="B2:F2"/>
    <mergeCell ref="A2:A3"/>
    <mergeCell ref="H1:L1"/>
  </mergeCells>
  <conditionalFormatting sqref="H4:L7 H11:L11 L5:L10">
    <cfRule type="cellIs" dxfId="170" priority="7" operator="lessThan">
      <formula>0</formula>
    </cfRule>
    <cfRule type="cellIs" dxfId="169" priority="8" operator="greaterThan">
      <formula>0</formula>
    </cfRule>
    <cfRule type="cellIs" dxfId="168" priority="9" operator="lessThan">
      <formula>0</formula>
    </cfRule>
    <cfRule type="cellIs" dxfId="167" priority="10" operator="greaterThan">
      <formula>0</formula>
    </cfRule>
  </conditionalFormatting>
  <conditionalFormatting sqref="N4:N11">
    <cfRule type="cellIs" dxfId="166" priority="5" operator="lessThan">
      <formula>0</formula>
    </cfRule>
    <cfRule type="cellIs" dxfId="165" priority="6" operator="greaterThan">
      <formula>0</formula>
    </cfRule>
  </conditionalFormatting>
  <conditionalFormatting sqref="L9">
    <cfRule type="cellIs" dxfId="164" priority="1" operator="lessThan">
      <formula>0</formula>
    </cfRule>
    <cfRule type="cellIs" dxfId="163" priority="2" operator="greaterThan">
      <formula>0</formula>
    </cfRule>
    <cfRule type="cellIs" dxfId="162" priority="3" operator="lessThan">
      <formula>0</formula>
    </cfRule>
    <cfRule type="cellIs" dxfId="161" priority="4" operator="greaterThan">
      <formula>0</formula>
    </cfRule>
  </conditionalFormatting>
  <pageMargins left="0.7" right="0.7" top="0.75" bottom="0.75" header="0.3" footer="0.3"/>
  <pageSetup paperSize="9" orientation="portrait" horizontalDpi="300" verticalDpi="3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J20"/>
  <sheetViews>
    <sheetView showGridLines="0" zoomScaleNormal="100" workbookViewId="0">
      <selection activeCell="J12" sqref="J12:J19"/>
    </sheetView>
  </sheetViews>
  <sheetFormatPr defaultRowHeight="15" outlineLevelCol="1"/>
  <cols>
    <col min="1" max="1" width="25.85546875" customWidth="1"/>
    <col min="2" max="4" width="20.140625" customWidth="1"/>
    <col min="5" max="5" width="20.42578125" customWidth="1"/>
    <col min="6" max="6" width="20.42578125" style="335" customWidth="1" outlineLevel="1"/>
    <col min="7" max="7" width="18.85546875" style="336" customWidth="1" outlineLevel="1"/>
    <col min="8" max="8" width="20.85546875" style="340" customWidth="1"/>
    <col min="10" max="10" width="22" style="342" customWidth="1"/>
  </cols>
  <sheetData>
    <row r="1" spans="1:10" ht="16.5">
      <c r="A1" s="1" t="s">
        <v>130</v>
      </c>
      <c r="F1" s="1568" t="s">
        <v>1056</v>
      </c>
      <c r="G1" s="1569"/>
      <c r="H1" s="1570"/>
      <c r="J1" s="348" t="s">
        <v>1058</v>
      </c>
    </row>
    <row r="2" spans="1:10" ht="17.25" thickBot="1">
      <c r="A2" s="2" t="s">
        <v>8</v>
      </c>
    </row>
    <row r="3" spans="1:10" ht="22.5" customHeight="1" thickTop="1" thickBot="1">
      <c r="A3" s="10" t="s">
        <v>131</v>
      </c>
      <c r="B3" s="11" t="s">
        <v>132</v>
      </c>
      <c r="C3" s="11" t="s">
        <v>133</v>
      </c>
      <c r="D3" s="11" t="s">
        <v>129</v>
      </c>
      <c r="F3" s="59" t="s">
        <v>132</v>
      </c>
      <c r="G3" s="386" t="s">
        <v>133</v>
      </c>
      <c r="H3" s="386" t="s">
        <v>129</v>
      </c>
      <c r="J3" s="59" t="s">
        <v>129</v>
      </c>
    </row>
    <row r="4" spans="1:10" ht="22.5" customHeight="1" thickTop="1" thickBot="1">
      <c r="A4" s="64" t="s">
        <v>134</v>
      </c>
      <c r="B4" s="53"/>
      <c r="C4" s="53"/>
      <c r="D4" s="54"/>
      <c r="J4" s="349"/>
    </row>
    <row r="5" spans="1:10" ht="22.5" customHeight="1" thickTop="1" thickBot="1">
      <c r="A5" s="14" t="s">
        <v>135</v>
      </c>
      <c r="B5" s="22"/>
      <c r="C5" s="22"/>
      <c r="D5" s="15">
        <f>B5+C5</f>
        <v>0</v>
      </c>
      <c r="H5" s="341">
        <f>SUM(B5:C5)-D5</f>
        <v>0</v>
      </c>
      <c r="J5" s="349">
        <f>D5-'BS old'!$D$48</f>
        <v>0</v>
      </c>
    </row>
    <row r="6" spans="1:10" ht="22.5" customHeight="1" thickBot="1">
      <c r="A6" s="14" t="s">
        <v>126</v>
      </c>
      <c r="B6" s="22"/>
      <c r="C6" s="22"/>
      <c r="D6" s="15">
        <f t="shared" ref="D6:D9" si="0">B6+C6</f>
        <v>0</v>
      </c>
      <c r="H6" s="341">
        <f t="shared" ref="H6:H9" si="1">SUM(B6:C6)-D6</f>
        <v>0</v>
      </c>
      <c r="J6" s="349">
        <f>D6-'BS old'!$D$50</f>
        <v>0</v>
      </c>
    </row>
    <row r="7" spans="1:10" ht="22.5" customHeight="1" thickBot="1">
      <c r="A7" s="14" t="s">
        <v>136</v>
      </c>
      <c r="B7" s="22"/>
      <c r="C7" s="22"/>
      <c r="D7" s="15">
        <f t="shared" si="0"/>
        <v>0</v>
      </c>
      <c r="H7" s="341">
        <f t="shared" si="1"/>
        <v>0</v>
      </c>
      <c r="J7" s="349">
        <f>D7-'BS old'!$D$51</f>
        <v>0</v>
      </c>
    </row>
    <row r="8" spans="1:10" ht="22.5" customHeight="1" thickBot="1">
      <c r="A8" s="14" t="s">
        <v>127</v>
      </c>
      <c r="B8" s="22"/>
      <c r="C8" s="22"/>
      <c r="D8" s="15">
        <f t="shared" si="0"/>
        <v>0</v>
      </c>
      <c r="H8" s="341">
        <f t="shared" si="1"/>
        <v>0</v>
      </c>
      <c r="J8" s="349">
        <f>D8-'BS old'!$D$52</f>
        <v>0</v>
      </c>
    </row>
    <row r="9" spans="1:10" ht="22.5" customHeight="1" thickBot="1">
      <c r="A9" s="14" t="s">
        <v>128</v>
      </c>
      <c r="B9" s="22"/>
      <c r="C9" s="22"/>
      <c r="D9" s="15">
        <f t="shared" si="0"/>
        <v>0</v>
      </c>
      <c r="H9" s="341">
        <f t="shared" si="1"/>
        <v>0</v>
      </c>
      <c r="J9" s="349">
        <f>D9-'BS old'!$D$53-'BS old'!$D$54</f>
        <v>0</v>
      </c>
    </row>
    <row r="10" spans="1:10" ht="22.5" customHeight="1" thickBot="1">
      <c r="A10" s="25" t="s">
        <v>137</v>
      </c>
      <c r="B10" s="58">
        <f>SUM(B5:B9)</f>
        <v>0</v>
      </c>
      <c r="C10" s="58">
        <f>SUM(C5:C9)</f>
        <v>0</v>
      </c>
      <c r="D10" s="60">
        <f>SUM(D5:D9)</f>
        <v>0</v>
      </c>
      <c r="F10" s="338">
        <f>SUM(B5:B9)-B10</f>
        <v>0</v>
      </c>
      <c r="G10" s="337">
        <f>SUM(C5:C9)-C10</f>
        <v>0</v>
      </c>
      <c r="H10" s="341">
        <f>SUM(D5:D9)-D10</f>
        <v>0</v>
      </c>
      <c r="J10" s="349">
        <f>D10-'BS old'!$D$47</f>
        <v>0</v>
      </c>
    </row>
    <row r="11" spans="1:10" ht="22.5" customHeight="1" thickTop="1" thickBot="1">
      <c r="A11" s="64" t="s">
        <v>138</v>
      </c>
      <c r="B11" s="53"/>
      <c r="C11" s="53"/>
      <c r="D11" s="54"/>
      <c r="J11" s="349"/>
    </row>
    <row r="12" spans="1:10" ht="22.5" customHeight="1" thickTop="1" thickBot="1">
      <c r="A12" s="14" t="s">
        <v>139</v>
      </c>
      <c r="B12" s="22"/>
      <c r="C12" s="22"/>
      <c r="D12" s="15">
        <f>B12+C12</f>
        <v>0</v>
      </c>
      <c r="H12" s="341">
        <f>SUM(B12:C12)-D12</f>
        <v>0</v>
      </c>
      <c r="J12" s="349">
        <f>D12-'BS old'!$D$56</f>
        <v>0</v>
      </c>
    </row>
    <row r="13" spans="1:10" ht="22.5" customHeight="1" thickBot="1">
      <c r="A13" s="14" t="s">
        <v>126</v>
      </c>
      <c r="B13" s="22"/>
      <c r="C13" s="22"/>
      <c r="D13" s="15">
        <f t="shared" ref="D13:D18" si="2">B13+C13</f>
        <v>0</v>
      </c>
      <c r="H13" s="341">
        <f t="shared" ref="H13:H18" si="3">SUM(B13:C13)-D13</f>
        <v>0</v>
      </c>
      <c r="J13" s="349">
        <f>D13-'BS old'!$D$58</f>
        <v>0</v>
      </c>
    </row>
    <row r="14" spans="1:10" ht="22.5" customHeight="1" thickBot="1">
      <c r="A14" s="14" t="s">
        <v>136</v>
      </c>
      <c r="B14" s="22"/>
      <c r="C14" s="22"/>
      <c r="D14" s="15">
        <f t="shared" si="2"/>
        <v>0</v>
      </c>
      <c r="H14" s="341">
        <f t="shared" si="3"/>
        <v>0</v>
      </c>
      <c r="J14" s="349">
        <f>D14-'BS old'!$D$59</f>
        <v>0</v>
      </c>
    </row>
    <row r="15" spans="1:10" ht="22.5" customHeight="1" thickBot="1">
      <c r="A15" s="14" t="s">
        <v>127</v>
      </c>
      <c r="B15" s="22"/>
      <c r="C15" s="22"/>
      <c r="D15" s="15">
        <f t="shared" si="2"/>
        <v>0</v>
      </c>
      <c r="H15" s="341">
        <f t="shared" si="3"/>
        <v>0</v>
      </c>
      <c r="J15" s="349">
        <f>D15-'BS old'!$D$60</f>
        <v>0</v>
      </c>
    </row>
    <row r="16" spans="1:10" ht="22.5" customHeight="1" thickBot="1">
      <c r="A16" s="14" t="s">
        <v>140</v>
      </c>
      <c r="B16" s="22"/>
      <c r="C16" s="22"/>
      <c r="D16" s="15">
        <f t="shared" si="2"/>
        <v>0</v>
      </c>
      <c r="H16" s="341">
        <f t="shared" si="3"/>
        <v>0</v>
      </c>
      <c r="J16" s="349">
        <f>D16-'BS old'!$D$61</f>
        <v>0</v>
      </c>
    </row>
    <row r="17" spans="1:10" ht="22.5" customHeight="1" thickBot="1">
      <c r="A17" s="14" t="s">
        <v>141</v>
      </c>
      <c r="B17" s="22"/>
      <c r="C17" s="22"/>
      <c r="D17" s="15">
        <f t="shared" si="2"/>
        <v>0</v>
      </c>
      <c r="H17" s="341">
        <f t="shared" si="3"/>
        <v>0</v>
      </c>
      <c r="J17" s="349">
        <f>D17-'BS old'!$D$62</f>
        <v>0</v>
      </c>
    </row>
    <row r="18" spans="1:10" ht="22.5" customHeight="1" thickBot="1">
      <c r="A18" s="14" t="s">
        <v>128</v>
      </c>
      <c r="B18" s="22"/>
      <c r="C18" s="22"/>
      <c r="D18" s="15">
        <f t="shared" si="2"/>
        <v>0</v>
      </c>
      <c r="H18" s="341">
        <f t="shared" si="3"/>
        <v>0</v>
      </c>
      <c r="J18" s="349">
        <f>D18-'BS old'!$D$63</f>
        <v>0</v>
      </c>
    </row>
    <row r="19" spans="1:10" ht="22.5" customHeight="1" thickBot="1">
      <c r="A19" s="25" t="s">
        <v>142</v>
      </c>
      <c r="B19" s="58">
        <f>SUM(B12:B18)</f>
        <v>0</v>
      </c>
      <c r="C19" s="58">
        <f>SUM(C12:C18)</f>
        <v>0</v>
      </c>
      <c r="D19" s="60">
        <f>SUM(D12:D18)</f>
        <v>0</v>
      </c>
      <c r="F19" s="338">
        <f>SUM(B12:B18)-B19</f>
        <v>0</v>
      </c>
      <c r="G19" s="337">
        <f>SUM(C12:C18)-C19</f>
        <v>0</v>
      </c>
      <c r="H19" s="341">
        <f>SUM(D12:D18)-D19</f>
        <v>0</v>
      </c>
      <c r="J19" s="349">
        <f>D19-'BS old'!$D$55</f>
        <v>0</v>
      </c>
    </row>
    <row r="20" spans="1:10" ht="17.25" thickTop="1">
      <c r="A20" s="6"/>
    </row>
  </sheetData>
  <mergeCells count="1">
    <mergeCell ref="F1:H1"/>
  </mergeCells>
  <conditionalFormatting sqref="F5:H19">
    <cfRule type="cellIs" dxfId="160" priority="9" operator="lessThan">
      <formula>0</formula>
    </cfRule>
    <cfRule type="cellIs" dxfId="159" priority="10" operator="greaterThan">
      <formula>0</formula>
    </cfRule>
  </conditionalFormatting>
  <conditionalFormatting sqref="J4:J11">
    <cfRule type="cellIs" dxfId="158" priority="7" operator="lessThan">
      <formula>0</formula>
    </cfRule>
    <cfRule type="cellIs" dxfId="157" priority="8" operator="greaterThan">
      <formula>0</formula>
    </cfRule>
  </conditionalFormatting>
  <conditionalFormatting sqref="J12:J19">
    <cfRule type="cellIs" dxfId="156" priority="5" operator="lessThan">
      <formula>0</formula>
    </cfRule>
    <cfRule type="cellIs" dxfId="155" priority="6" operator="greaterThan">
      <formula>0</formula>
    </cfRule>
  </conditionalFormatting>
  <conditionalFormatting sqref="F5:H19">
    <cfRule type="cellIs" dxfId="154" priority="3" operator="lessThan">
      <formula>0</formula>
    </cfRule>
    <cfRule type="cellIs" dxfId="153" priority="4" operator="greaterThan">
      <formula>0</formula>
    </cfRule>
  </conditionalFormatting>
  <conditionalFormatting sqref="J5">
    <cfRule type="cellIs" dxfId="152" priority="1" operator="lessThan">
      <formula>0</formula>
    </cfRule>
    <cfRule type="cellIs" dxfId="151" priority="2" operator="greaterThan">
      <formula>0</formula>
    </cfRule>
  </conditionalFormatting>
  <pageMargins left="0.7" right="0.7" top="0.75" bottom="0.75" header="0.3" footer="0.3"/>
  <pageSetup paperSize="9" orientation="portrait" horizontalDpi="300" verticalDpi="30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1:I11"/>
  <sheetViews>
    <sheetView showGridLines="0" zoomScaleNormal="100" workbookViewId="0">
      <selection activeCell="H7" sqref="H7:I10"/>
    </sheetView>
  </sheetViews>
  <sheetFormatPr defaultRowHeight="15"/>
  <cols>
    <col min="1" max="1" width="33.5703125" customWidth="1"/>
    <col min="2" max="3" width="26.42578125" customWidth="1"/>
    <col min="4" max="4" width="20.42578125" customWidth="1"/>
    <col min="5" max="5" width="25.7109375" style="335" customWidth="1"/>
    <col min="6" max="6" width="25.7109375" style="340" customWidth="1"/>
    <col min="7" max="7" width="3.85546875" customWidth="1"/>
    <col min="8" max="8" width="26" style="335" customWidth="1"/>
    <col min="9" max="9" width="26" style="340" customWidth="1"/>
  </cols>
  <sheetData>
    <row r="1" spans="1:9" ht="16.5">
      <c r="A1" s="1" t="s">
        <v>130</v>
      </c>
      <c r="E1" s="1568" t="s">
        <v>1056</v>
      </c>
      <c r="F1" s="1570"/>
      <c r="G1" s="345"/>
      <c r="H1" s="1568" t="s">
        <v>1058</v>
      </c>
      <c r="I1" s="1570"/>
    </row>
    <row r="2" spans="1:9" ht="17.25" thickBot="1">
      <c r="A2" s="5" t="s">
        <v>15</v>
      </c>
    </row>
    <row r="3" spans="1:9" ht="33" customHeight="1" thickTop="1">
      <c r="A3" s="1556" t="s">
        <v>460</v>
      </c>
      <c r="B3" s="1556" t="s">
        <v>2</v>
      </c>
      <c r="C3" s="1556" t="s">
        <v>3</v>
      </c>
      <c r="E3" s="1556" t="s">
        <v>2</v>
      </c>
      <c r="F3" s="1556" t="s">
        <v>3</v>
      </c>
      <c r="H3" s="1556" t="s">
        <v>2</v>
      </c>
      <c r="I3" s="1556" t="s">
        <v>3</v>
      </c>
    </row>
    <row r="4" spans="1:9" ht="15.75" customHeight="1" thickBot="1">
      <c r="A4" s="1557"/>
      <c r="B4" s="1557"/>
      <c r="C4" s="1557"/>
      <c r="E4" s="1557"/>
      <c r="F4" s="1557"/>
      <c r="H4" s="1557"/>
      <c r="I4" s="1557"/>
    </row>
    <row r="5" spans="1:9" ht="23.25" customHeight="1" thickTop="1" thickBot="1">
      <c r="A5" s="14" t="s">
        <v>143</v>
      </c>
      <c r="B5" s="65"/>
      <c r="C5" s="66"/>
    </row>
    <row r="6" spans="1:9" ht="23.25" customHeight="1" thickBot="1">
      <c r="A6" s="14" t="s">
        <v>461</v>
      </c>
      <c r="B6" s="65"/>
      <c r="C6" s="66"/>
    </row>
    <row r="7" spans="1:9" ht="23.25" customHeight="1" thickBot="1">
      <c r="A7" s="44" t="s">
        <v>142</v>
      </c>
      <c r="B7" s="65">
        <f>B5+B6</f>
        <v>0</v>
      </c>
      <c r="C7" s="66">
        <f>C5+C6</f>
        <v>0</v>
      </c>
      <c r="E7" s="338">
        <f>SUM(B5:B6)-B7</f>
        <v>0</v>
      </c>
      <c r="F7" s="341">
        <f>SUM(C5:C6)-C7</f>
        <v>0</v>
      </c>
      <c r="H7" s="338">
        <f>B7-'BS old'!$D$55</f>
        <v>0</v>
      </c>
      <c r="I7" s="341">
        <f>C7-'BS old'!$G$55</f>
        <v>0</v>
      </c>
    </row>
    <row r="8" spans="1:9" ht="23.25" customHeight="1" thickBot="1">
      <c r="A8" s="14" t="s">
        <v>144</v>
      </c>
      <c r="B8" s="65"/>
      <c r="C8" s="66"/>
    </row>
    <row r="9" spans="1:9" ht="23.25" customHeight="1" thickBot="1">
      <c r="A9" s="14" t="s">
        <v>145</v>
      </c>
      <c r="B9" s="65"/>
      <c r="C9" s="66"/>
    </row>
    <row r="10" spans="1:9" ht="23.25" customHeight="1" thickBot="1">
      <c r="A10" s="25" t="s">
        <v>137</v>
      </c>
      <c r="B10" s="67">
        <f>B8+B9</f>
        <v>0</v>
      </c>
      <c r="C10" s="68">
        <f>C8+C9</f>
        <v>0</v>
      </c>
      <c r="E10" s="338">
        <f>SUM(B8:B9)-B10</f>
        <v>0</v>
      </c>
      <c r="F10" s="341">
        <f>SUM(C8:C9)-C10</f>
        <v>0</v>
      </c>
      <c r="H10" s="338">
        <f>B10-'BS old'!$D$47</f>
        <v>0</v>
      </c>
      <c r="I10" s="341">
        <f>C10-'BS old'!$G$47</f>
        <v>0</v>
      </c>
    </row>
    <row r="11" spans="1:9" ht="17.25" thickTop="1">
      <c r="A11" s="3"/>
    </row>
  </sheetData>
  <mergeCells count="9">
    <mergeCell ref="I3:I4"/>
    <mergeCell ref="H1:I1"/>
    <mergeCell ref="B3:B4"/>
    <mergeCell ref="C3:C4"/>
    <mergeCell ref="A3:A4"/>
    <mergeCell ref="E1:F1"/>
    <mergeCell ref="E3:E4"/>
    <mergeCell ref="F3:F4"/>
    <mergeCell ref="H3:H4"/>
  </mergeCells>
  <conditionalFormatting sqref="E7:F10">
    <cfRule type="cellIs" dxfId="150" priority="6" operator="lessThan">
      <formula>0</formula>
    </cfRule>
    <cfRule type="cellIs" dxfId="149" priority="7" operator="greaterThan">
      <formula>0</formula>
    </cfRule>
  </conditionalFormatting>
  <conditionalFormatting sqref="H7:I10">
    <cfRule type="cellIs" dxfId="148" priority="1" operator="lessThan">
      <formula>0</formula>
    </cfRule>
    <cfRule type="cellIs" dxfId="147" priority="2" operator="greaterThan">
      <formula>0</formula>
    </cfRule>
    <cfRule type="cellIs" dxfId="146" priority="4" operator="lessThan">
      <formula>0</formula>
    </cfRule>
    <cfRule type="cellIs" dxfId="145" priority="5" operator="greaterThan">
      <formula>0</formula>
    </cfRule>
  </conditionalFormatting>
  <conditionalFormatting sqref="H1:I2 H5:I1048576">
    <cfRule type="cellIs" priority="3" stopIfTrue="1" operator="greaterThan">
      <formula>0</formula>
    </cfRule>
  </conditionalFormatting>
  <pageMargins left="0.7" right="0.7" top="0.75" bottom="0.75" header="0.3" footer="0.3"/>
  <pageSetup paperSize="9" orientation="portrait" horizontalDpi="300" verticalDpi="30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C7"/>
  <sheetViews>
    <sheetView showGridLines="0" zoomScaleNormal="100" workbookViewId="0">
      <selection activeCell="A7" sqref="A7"/>
    </sheetView>
  </sheetViews>
  <sheetFormatPr defaultRowHeight="15"/>
  <cols>
    <col min="1" max="1" width="32.42578125" customWidth="1"/>
    <col min="2" max="3" width="27" customWidth="1"/>
    <col min="4" max="6" width="20.42578125" customWidth="1"/>
  </cols>
  <sheetData>
    <row r="1" spans="1:3" ht="17.25" thickBot="1">
      <c r="A1" s="1" t="s">
        <v>146</v>
      </c>
    </row>
    <row r="2" spans="1:3" ht="16.5" thickTop="1" thickBot="1">
      <c r="A2" s="1556" t="s">
        <v>147</v>
      </c>
      <c r="B2" s="1577" t="s">
        <v>2</v>
      </c>
      <c r="C2" s="1578"/>
    </row>
    <row r="3" spans="1:3" ht="16.5" thickTop="1" thickBot="1">
      <c r="A3" s="1557"/>
      <c r="B3" s="11" t="s">
        <v>148</v>
      </c>
      <c r="C3" s="59" t="s">
        <v>149</v>
      </c>
    </row>
    <row r="4" spans="1:3" ht="23.25" customHeight="1" thickTop="1" thickBot="1">
      <c r="A4" s="12" t="s">
        <v>150</v>
      </c>
      <c r="B4" s="45"/>
      <c r="C4" s="13"/>
    </row>
    <row r="5" spans="1:3" ht="23.25" customHeight="1" thickBot="1">
      <c r="A5" s="14" t="s">
        <v>151</v>
      </c>
      <c r="B5" s="62" t="s">
        <v>18</v>
      </c>
      <c r="C5" s="15"/>
    </row>
    <row r="6" spans="1:3" ht="23.25" customHeight="1" thickBot="1">
      <c r="A6" s="16" t="s">
        <v>152</v>
      </c>
      <c r="B6" s="34" t="s">
        <v>18</v>
      </c>
      <c r="C6" s="17"/>
    </row>
    <row r="7" spans="1:3" ht="17.25" thickTop="1">
      <c r="A7" s="1"/>
    </row>
  </sheetData>
  <mergeCells count="2">
    <mergeCell ref="A2:A3"/>
    <mergeCell ref="B2:C2"/>
  </mergeCells>
  <pageMargins left="0.7" right="0.7" top="0.75" bottom="0.75" header="0.3" footer="0.3"/>
  <pageSetup paperSize="9" orientation="portrait" horizontalDpi="300" verticalDpi="30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A1:I9"/>
  <sheetViews>
    <sheetView showGridLines="0" topLeftCell="C1" zoomScaleNormal="100" workbookViewId="0">
      <selection activeCell="H3" sqref="H3:I8"/>
    </sheetView>
  </sheetViews>
  <sheetFormatPr defaultRowHeight="15"/>
  <cols>
    <col min="1" max="1" width="33" customWidth="1"/>
    <col min="2" max="3" width="26.7109375" customWidth="1"/>
    <col min="4" max="4" width="20.42578125" customWidth="1"/>
    <col min="5" max="5" width="21.85546875" style="335" customWidth="1"/>
    <col min="6" max="6" width="36" style="340" customWidth="1"/>
    <col min="7" max="7" width="3.85546875" customWidth="1"/>
    <col min="8" max="8" width="18.5703125" style="335" customWidth="1"/>
    <col min="9" max="9" width="37" style="340" customWidth="1"/>
  </cols>
  <sheetData>
    <row r="1" spans="1:9" ht="16.5">
      <c r="A1" s="1" t="s">
        <v>153</v>
      </c>
      <c r="E1" s="1568" t="s">
        <v>1056</v>
      </c>
      <c r="F1" s="1570"/>
      <c r="H1" s="1568" t="s">
        <v>1058</v>
      </c>
      <c r="I1" s="1570"/>
    </row>
    <row r="2" spans="1:9" ht="17.25" thickBot="1">
      <c r="A2" s="5" t="s">
        <v>154</v>
      </c>
    </row>
    <row r="3" spans="1:9" ht="30" customHeight="1" thickTop="1" thickBot="1">
      <c r="A3" s="10" t="s">
        <v>131</v>
      </c>
      <c r="B3" s="11" t="s">
        <v>2</v>
      </c>
      <c r="C3" s="11" t="s">
        <v>3</v>
      </c>
      <c r="E3" s="59" t="s">
        <v>2</v>
      </c>
      <c r="F3" s="59" t="s">
        <v>3</v>
      </c>
      <c r="H3" s="59" t="s">
        <v>2</v>
      </c>
      <c r="I3" s="59" t="s">
        <v>3</v>
      </c>
    </row>
    <row r="4" spans="1:9" ht="18.75" customHeight="1" thickTop="1" thickBot="1">
      <c r="A4" s="12" t="s">
        <v>155</v>
      </c>
      <c r="B4" s="45"/>
      <c r="C4" s="13"/>
      <c r="H4" s="338">
        <f>B4+B7-'BS old'!$D$65</f>
        <v>0</v>
      </c>
      <c r="I4" s="341">
        <f>C4+C7-'BS old'!$G$65</f>
        <v>0</v>
      </c>
    </row>
    <row r="5" spans="1:9" ht="18.75" customHeight="1" thickBot="1">
      <c r="A5" s="14" t="s">
        <v>156</v>
      </c>
      <c r="B5" s="22"/>
      <c r="C5" s="15"/>
      <c r="H5" s="338">
        <f>B5-'BS old'!$D$66</f>
        <v>0</v>
      </c>
      <c r="I5" s="341">
        <f>C5-'BS old'!$G$66</f>
        <v>0</v>
      </c>
    </row>
    <row r="6" spans="1:9" ht="18.75" customHeight="1" thickBot="1">
      <c r="A6" s="14" t="s">
        <v>157</v>
      </c>
      <c r="B6" s="22"/>
      <c r="C6" s="15"/>
      <c r="E6" s="338"/>
      <c r="F6" s="341"/>
      <c r="H6" s="338">
        <f>B6-'BS old'!$D$67</f>
        <v>0</v>
      </c>
      <c r="I6" s="341">
        <f>C6-'BS old'!$G$67</f>
        <v>0</v>
      </c>
    </row>
    <row r="7" spans="1:9" ht="18.75" customHeight="1" thickBot="1">
      <c r="A7" s="14" t="s">
        <v>158</v>
      </c>
      <c r="B7" s="22"/>
      <c r="C7" s="15"/>
      <c r="H7" s="338">
        <f>H4</f>
        <v>0</v>
      </c>
      <c r="I7" s="341">
        <f>I4</f>
        <v>0</v>
      </c>
    </row>
    <row r="8" spans="1:9" ht="18.75" customHeight="1" thickBot="1">
      <c r="A8" s="25" t="s">
        <v>14</v>
      </c>
      <c r="B8" s="58">
        <f>SUM(B4:B7)</f>
        <v>0</v>
      </c>
      <c r="C8" s="60">
        <f>SUM(C4:C7)</f>
        <v>0</v>
      </c>
      <c r="E8" s="338">
        <f>SUM(B4:B7)-B8</f>
        <v>0</v>
      </c>
      <c r="F8" s="341">
        <f>SUM(C4:C7)-C8</f>
        <v>0</v>
      </c>
      <c r="H8" s="338">
        <f>B8-SUM('BS old'!$D$65:$D$67)</f>
        <v>0</v>
      </c>
      <c r="I8" s="341">
        <f>C8-SUM('BS old'!$G$65:$G$67)</f>
        <v>0</v>
      </c>
    </row>
    <row r="9" spans="1:9" ht="15.75" thickTop="1">
      <c r="E9" s="338"/>
      <c r="F9" s="341"/>
    </row>
  </sheetData>
  <mergeCells count="2">
    <mergeCell ref="E1:F1"/>
    <mergeCell ref="H1:I1"/>
  </mergeCells>
  <conditionalFormatting sqref="E6:F9">
    <cfRule type="cellIs" dxfId="144" priority="9" operator="lessThan">
      <formula>0</formula>
    </cfRule>
    <cfRule type="cellIs" dxfId="143" priority="10" operator="greaterThan">
      <formula>0</formula>
    </cfRule>
  </conditionalFormatting>
  <conditionalFormatting sqref="H1:I1">
    <cfRule type="cellIs" priority="8" stopIfTrue="1" operator="greaterThan">
      <formula>0</formula>
    </cfRule>
  </conditionalFormatting>
  <conditionalFormatting sqref="H8:I8">
    <cfRule type="cellIs" dxfId="142" priority="6" operator="lessThan">
      <formula>0</formula>
    </cfRule>
    <cfRule type="cellIs" dxfId="141" priority="7" operator="greaterThan">
      <formula>0</formula>
    </cfRule>
  </conditionalFormatting>
  <conditionalFormatting sqref="H4:I8">
    <cfRule type="cellIs" dxfId="140" priority="1" operator="lessThan">
      <formula>0</formula>
    </cfRule>
    <cfRule type="cellIs" dxfId="139" priority="2" operator="greaterThan">
      <formula>0</formula>
    </cfRule>
    <cfRule type="cellIs" priority="3" stopIfTrue="1" operator="greaterThan">
      <formula>0</formula>
    </cfRule>
    <cfRule type="cellIs" priority="4" stopIfTrue="1" operator="greaterThan">
      <formula>0</formula>
    </cfRule>
    <cfRule type="cellIs" priority="5" stopIfTrue="1" operator="greaterThan">
      <formula>0</formula>
    </cfRule>
  </conditionalFormatting>
  <pageMargins left="0.7" right="0.7" top="0.75" bottom="0.75" header="0.3" footer="0.3"/>
  <pageSetup paperSize="9" orientation="portrait" horizontalDpi="300" verticalDpi="30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M14"/>
  <sheetViews>
    <sheetView showGridLines="0" zoomScaleNormal="100" workbookViewId="0">
      <selection activeCell="C19" sqref="C19"/>
    </sheetView>
  </sheetViews>
  <sheetFormatPr defaultRowHeight="15" outlineLevelCol="1"/>
  <cols>
    <col min="1" max="1" width="24.5703125" customWidth="1"/>
    <col min="2" max="5" width="15.42578125" customWidth="1"/>
    <col min="6" max="6" width="20.42578125" customWidth="1"/>
    <col min="7" max="7" width="20.42578125" style="335" customWidth="1" outlineLevel="1"/>
    <col min="8" max="9" width="20.42578125" style="336" customWidth="1" outlineLevel="1"/>
    <col min="10" max="10" width="20.42578125" style="340" customWidth="1"/>
    <col min="12" max="12" width="20.42578125" style="342" customWidth="1"/>
  </cols>
  <sheetData>
    <row r="1" spans="1:13" ht="16.5">
      <c r="A1" s="1" t="s">
        <v>153</v>
      </c>
      <c r="G1" s="1568" t="s">
        <v>1056</v>
      </c>
      <c r="H1" s="1569"/>
      <c r="I1" s="1569"/>
      <c r="J1" s="1570"/>
      <c r="L1" s="348" t="s">
        <v>1058</v>
      </c>
      <c r="M1" s="345"/>
    </row>
    <row r="3" spans="1:13" ht="17.25" thickBot="1">
      <c r="A3" s="5" t="s">
        <v>15</v>
      </c>
    </row>
    <row r="4" spans="1:13" ht="16.5" thickTop="1" thickBot="1">
      <c r="A4" s="1556" t="s">
        <v>159</v>
      </c>
      <c r="B4" s="1558" t="s">
        <v>2</v>
      </c>
      <c r="C4" s="1564"/>
      <c r="D4" s="1564"/>
      <c r="E4" s="1559"/>
    </row>
    <row r="5" spans="1:13" ht="18" customHeight="1" thickTop="1">
      <c r="A5" s="1563"/>
      <c r="B5" s="1563" t="s">
        <v>32</v>
      </c>
      <c r="C5" s="1563" t="s">
        <v>27</v>
      </c>
      <c r="D5" s="1563" t="s">
        <v>28</v>
      </c>
      <c r="E5" s="1563" t="s">
        <v>30</v>
      </c>
      <c r="G5" s="1556" t="s">
        <v>32</v>
      </c>
      <c r="H5" s="1556" t="s">
        <v>27</v>
      </c>
      <c r="I5" s="1556" t="s">
        <v>28</v>
      </c>
      <c r="J5" s="1556" t="s">
        <v>30</v>
      </c>
      <c r="L5" s="1556" t="s">
        <v>30</v>
      </c>
    </row>
    <row r="6" spans="1:13" ht="17.25" customHeight="1" thickBot="1">
      <c r="A6" s="1557"/>
      <c r="B6" s="1557"/>
      <c r="C6" s="1557"/>
      <c r="D6" s="1557"/>
      <c r="E6" s="1557"/>
      <c r="G6" s="1557"/>
      <c r="H6" s="1557"/>
      <c r="I6" s="1557"/>
      <c r="J6" s="1557"/>
      <c r="L6" s="1557"/>
    </row>
    <row r="7" spans="1:13" ht="21.75" customHeight="1" thickTop="1" thickBot="1">
      <c r="A7" s="14" t="s">
        <v>160</v>
      </c>
      <c r="B7" s="22"/>
      <c r="C7" s="22"/>
      <c r="D7" s="22"/>
      <c r="E7" s="15">
        <f>SUM(B7:D7)</f>
        <v>0</v>
      </c>
      <c r="J7" s="341">
        <f>SUM(B7:D7)-E7</f>
        <v>0</v>
      </c>
    </row>
    <row r="8" spans="1:13" ht="21.75" customHeight="1" thickBot="1">
      <c r="A8" s="14" t="s">
        <v>161</v>
      </c>
      <c r="B8" s="22"/>
      <c r="C8" s="22"/>
      <c r="D8" s="22"/>
      <c r="E8" s="15">
        <f t="shared" ref="E8:E12" si="0">SUM(B8:D8)</f>
        <v>0</v>
      </c>
      <c r="J8" s="341">
        <f t="shared" ref="J8:J12" si="1">SUM(B8:D8)-E8</f>
        <v>0</v>
      </c>
    </row>
    <row r="9" spans="1:13" ht="21.75" customHeight="1" thickBot="1">
      <c r="A9" s="14" t="s">
        <v>162</v>
      </c>
      <c r="B9" s="22"/>
      <c r="C9" s="22"/>
      <c r="D9" s="22"/>
      <c r="E9" s="15">
        <f t="shared" si="0"/>
        <v>0</v>
      </c>
      <c r="J9" s="341">
        <f t="shared" si="1"/>
        <v>0</v>
      </c>
    </row>
    <row r="10" spans="1:13" ht="21.75" customHeight="1" thickBot="1">
      <c r="A10" s="14" t="s">
        <v>163</v>
      </c>
      <c r="B10" s="22"/>
      <c r="C10" s="22"/>
      <c r="D10" s="22"/>
      <c r="E10" s="15">
        <f t="shared" si="0"/>
        <v>0</v>
      </c>
      <c r="J10" s="341">
        <f t="shared" si="1"/>
        <v>0</v>
      </c>
    </row>
    <row r="11" spans="1:13" ht="21.75" customHeight="1" thickBot="1">
      <c r="A11" s="14" t="s">
        <v>164</v>
      </c>
      <c r="B11" s="22"/>
      <c r="C11" s="22"/>
      <c r="D11" s="22"/>
      <c r="E11" s="15">
        <f t="shared" si="0"/>
        <v>0</v>
      </c>
      <c r="J11" s="341">
        <f t="shared" si="1"/>
        <v>0</v>
      </c>
    </row>
    <row r="12" spans="1:13" ht="21.75" customHeight="1" thickBot="1">
      <c r="A12" s="14" t="s">
        <v>165</v>
      </c>
      <c r="B12" s="22"/>
      <c r="C12" s="22"/>
      <c r="D12" s="22"/>
      <c r="E12" s="15">
        <f t="shared" si="0"/>
        <v>0</v>
      </c>
      <c r="J12" s="341">
        <f t="shared" si="1"/>
        <v>0</v>
      </c>
    </row>
    <row r="13" spans="1:13" ht="21.75" customHeight="1" thickBot="1">
      <c r="A13" s="25" t="s">
        <v>166</v>
      </c>
      <c r="B13" s="58">
        <f>SUM(B7:B12)</f>
        <v>0</v>
      </c>
      <c r="C13" s="58">
        <f t="shared" ref="C13:E13" si="2">SUM(C7:C12)</f>
        <v>0</v>
      </c>
      <c r="D13" s="58">
        <f t="shared" si="2"/>
        <v>0</v>
      </c>
      <c r="E13" s="60">
        <f t="shared" si="2"/>
        <v>0</v>
      </c>
      <c r="G13" s="338">
        <f>SUM(B7:B12)-B13</f>
        <v>0</v>
      </c>
      <c r="H13" s="337">
        <f t="shared" ref="H13:J13" si="3">SUM(C7:C12)-C13</f>
        <v>0</v>
      </c>
      <c r="I13" s="337">
        <f t="shared" si="3"/>
        <v>0</v>
      </c>
      <c r="J13" s="341">
        <f t="shared" si="3"/>
        <v>0</v>
      </c>
      <c r="L13" s="349">
        <f>E13-SUM('BS old'!$D$68:$D$69)</f>
        <v>0</v>
      </c>
    </row>
    <row r="14" spans="1:13" ht="15.75" thickTop="1"/>
  </sheetData>
  <mergeCells count="12">
    <mergeCell ref="G1:J1"/>
    <mergeCell ref="L5:L6"/>
    <mergeCell ref="A4:A6"/>
    <mergeCell ref="B4:E4"/>
    <mergeCell ref="B5:B6"/>
    <mergeCell ref="C5:C6"/>
    <mergeCell ref="D5:D6"/>
    <mergeCell ref="E5:E6"/>
    <mergeCell ref="G5:G6"/>
    <mergeCell ref="H5:H6"/>
    <mergeCell ref="I5:I6"/>
    <mergeCell ref="J5:J6"/>
  </mergeCells>
  <conditionalFormatting sqref="L1:M1">
    <cfRule type="cellIs" priority="5" stopIfTrue="1" operator="greaterThan">
      <formula>0</formula>
    </cfRule>
  </conditionalFormatting>
  <conditionalFormatting sqref="G7:L13">
    <cfRule type="cellIs" dxfId="138" priority="3" operator="lessThan">
      <formula>0</formula>
    </cfRule>
    <cfRule type="cellIs" dxfId="137" priority="4" operator="greaterThan">
      <formula>0</formula>
    </cfRule>
  </conditionalFormatting>
  <conditionalFormatting sqref="J13">
    <cfRule type="cellIs" dxfId="136" priority="1" operator="lessThan">
      <formula>0</formula>
    </cfRule>
    <cfRule type="cellIs" dxfId="135" priority="2" operator="greaterThan">
      <formula>0</formula>
    </cfRule>
  </conditionalFormatting>
  <pageMargins left="0.7" right="0.7" top="0.75" bottom="0.75" header="0.3" footer="0.3"/>
  <pageSetup paperSize="9" orientation="portrait" horizontalDpi="300" verticalDpi="30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A1:O10"/>
  <sheetViews>
    <sheetView showGridLines="0" topLeftCell="C1" zoomScaleNormal="100" workbookViewId="0">
      <selection activeCell="O6" sqref="O6"/>
    </sheetView>
  </sheetViews>
  <sheetFormatPr defaultRowHeight="15" outlineLevelCol="1"/>
  <cols>
    <col min="1" max="1" width="21.42578125" customWidth="1"/>
    <col min="2" max="6" width="13" customWidth="1"/>
    <col min="9" max="9" width="23.140625" style="335" hidden="1" customWidth="1" outlineLevel="1"/>
    <col min="10" max="11" width="23.140625" style="336" hidden="1" customWidth="1" outlineLevel="1"/>
    <col min="12" max="12" width="20.140625" style="336" hidden="1" customWidth="1" outlineLevel="1"/>
    <col min="13" max="13" width="24.85546875" style="340" customWidth="1" collapsed="1"/>
    <col min="14" max="14" width="9.140625" style="336"/>
    <col min="15" max="15" width="20.42578125" style="342" customWidth="1"/>
  </cols>
  <sheetData>
    <row r="1" spans="1:15" ht="17.25" thickBot="1">
      <c r="A1" s="1" t="s">
        <v>167</v>
      </c>
      <c r="I1" s="1574" t="s">
        <v>1056</v>
      </c>
      <c r="J1" s="1575"/>
      <c r="K1" s="1575"/>
      <c r="L1" s="1575"/>
      <c r="M1" s="1576"/>
      <c r="N1" s="340"/>
      <c r="O1" s="348" t="s">
        <v>1058</v>
      </c>
    </row>
    <row r="2" spans="1:15" ht="55.5" customHeight="1" thickTop="1" thickBot="1">
      <c r="A2" s="59" t="s">
        <v>168</v>
      </c>
      <c r="B2" s="59" t="s">
        <v>169</v>
      </c>
      <c r="C2" s="59" t="s">
        <v>170</v>
      </c>
      <c r="D2" s="59" t="s">
        <v>88</v>
      </c>
      <c r="E2" s="59" t="s">
        <v>457</v>
      </c>
      <c r="F2" s="59" t="s">
        <v>171</v>
      </c>
      <c r="I2" s="59" t="s">
        <v>169</v>
      </c>
      <c r="J2" s="59" t="s">
        <v>170</v>
      </c>
      <c r="K2" s="59" t="s">
        <v>88</v>
      </c>
      <c r="L2" s="176" t="s">
        <v>457</v>
      </c>
      <c r="M2" s="59" t="s">
        <v>171</v>
      </c>
      <c r="N2" s="351"/>
      <c r="O2" s="59" t="s">
        <v>171</v>
      </c>
    </row>
    <row r="3" spans="1:15" ht="23.25" customHeight="1" thickTop="1" thickBot="1">
      <c r="A3" s="71" t="s">
        <v>164</v>
      </c>
      <c r="B3" s="79"/>
      <c r="C3" s="79"/>
      <c r="D3" s="79"/>
      <c r="E3" s="79"/>
      <c r="F3" s="80">
        <f>SUM(B3:E3)</f>
        <v>0</v>
      </c>
      <c r="M3" s="341">
        <f>SUM(B3:E3)-F3</f>
        <v>0</v>
      </c>
      <c r="N3" s="341"/>
    </row>
    <row r="4" spans="1:15" ht="23.25" customHeight="1" thickBot="1">
      <c r="A4" s="14" t="s">
        <v>165</v>
      </c>
      <c r="B4" s="79"/>
      <c r="C4" s="79"/>
      <c r="D4" s="79"/>
      <c r="E4" s="79"/>
      <c r="F4" s="80">
        <f t="shared" ref="F4:F5" si="0">SUM(B4:E4)</f>
        <v>0</v>
      </c>
      <c r="M4" s="341">
        <f>SUM(B4:E4)-F4</f>
        <v>0</v>
      </c>
      <c r="N4" s="341"/>
    </row>
    <row r="5" spans="1:15" ht="23.25" customHeight="1" thickBot="1">
      <c r="A5" s="25" t="s">
        <v>166</v>
      </c>
      <c r="B5" s="81">
        <f>SUM(B3:B4)</f>
        <v>0</v>
      </c>
      <c r="C5" s="81">
        <f>SUM(C3:C4)</f>
        <v>0</v>
      </c>
      <c r="D5" s="81">
        <f>SUM(D3:D4)</f>
        <v>0</v>
      </c>
      <c r="E5" s="81">
        <f>SUM(E3:E4)</f>
        <v>0</v>
      </c>
      <c r="F5" s="82">
        <f t="shared" si="0"/>
        <v>0</v>
      </c>
      <c r="I5" s="338">
        <f>SUM(B3:B4)-B5</f>
        <v>0</v>
      </c>
      <c r="J5" s="337">
        <f>SUM(C3:C4)-C5</f>
        <v>0</v>
      </c>
      <c r="K5" s="337">
        <f>SUM(D3:D4)-D5</f>
        <v>0</v>
      </c>
      <c r="L5" s="337">
        <f>SUM(E3:E4)-E5</f>
        <v>0</v>
      </c>
      <c r="M5" s="341">
        <f>SUM(F3:F4)-F5</f>
        <v>0</v>
      </c>
      <c r="N5" s="341"/>
      <c r="O5" s="349">
        <f>F5-SUM('BS old'!E68:E69)</f>
        <v>0</v>
      </c>
    </row>
    <row r="6" spans="1:15" ht="15.75" thickTop="1">
      <c r="M6" s="341"/>
      <c r="N6" s="341"/>
    </row>
    <row r="7" spans="1:15">
      <c r="M7" s="341"/>
      <c r="N7" s="341"/>
    </row>
    <row r="8" spans="1:15">
      <c r="M8" s="341"/>
      <c r="N8" s="341"/>
    </row>
    <row r="10" spans="1:15">
      <c r="B10" s="20"/>
    </row>
  </sheetData>
  <mergeCells count="1">
    <mergeCell ref="I1:M1"/>
  </mergeCells>
  <conditionalFormatting sqref="O1">
    <cfRule type="cellIs" priority="3" stopIfTrue="1" operator="greaterThan">
      <formula>0</formula>
    </cfRule>
  </conditionalFormatting>
  <conditionalFormatting sqref="I3:K8 L5 O3:O8 M3:N9">
    <cfRule type="cellIs" dxfId="134" priority="1" operator="lessThan">
      <formula>0</formula>
    </cfRule>
    <cfRule type="cellIs" dxfId="133" priority="2" operator="greaterThan">
      <formula>0</formula>
    </cfRule>
  </conditionalFormatting>
  <pageMargins left="0.7" right="0.7" top="0.75" bottom="0.75" header="0.3" footer="0.3"/>
  <pageSetup paperSize="9" orientation="portrait" horizontalDpi="300" verticalDpi="30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A1:B5"/>
  <sheetViews>
    <sheetView showGridLines="0" zoomScaleNormal="100" workbookViewId="0">
      <selection activeCell="C11" sqref="C11"/>
    </sheetView>
  </sheetViews>
  <sheetFormatPr defaultRowHeight="15"/>
  <cols>
    <col min="1" max="2" width="43.28515625" customWidth="1"/>
    <col min="3" max="3" width="19.140625" customWidth="1"/>
  </cols>
  <sheetData>
    <row r="1" spans="1:2" ht="17.25" thickBot="1">
      <c r="A1" s="1" t="s">
        <v>174</v>
      </c>
    </row>
    <row r="2" spans="1:2" ht="16.5" thickTop="1" thickBot="1">
      <c r="A2" s="75" t="s">
        <v>131</v>
      </c>
      <c r="B2" s="76" t="s">
        <v>36</v>
      </c>
    </row>
    <row r="3" spans="1:2" ht="24" thickTop="1" thickBot="1">
      <c r="A3" s="12" t="s">
        <v>172</v>
      </c>
      <c r="B3" s="77"/>
    </row>
    <row r="4" spans="1:2" ht="23.25" thickBot="1">
      <c r="A4" s="16" t="s">
        <v>173</v>
      </c>
      <c r="B4" s="78"/>
    </row>
    <row r="5" spans="1:2" ht="15.75" thickTop="1"/>
  </sheetData>
  <pageMargins left="0.7" right="0.7" top="0.75" bottom="0.75" header="0.3" footer="0.3"/>
  <pageSetup paperSize="9" orientation="portrait" horizontalDpi="300" verticalDpi="30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dimension ref="A1:D8"/>
  <sheetViews>
    <sheetView showGridLines="0" zoomScaleNormal="100" workbookViewId="0">
      <selection activeCell="A3" sqref="A3:A7"/>
    </sheetView>
  </sheetViews>
  <sheetFormatPr defaultRowHeight="15"/>
  <cols>
    <col min="1" max="1" width="26.140625" customWidth="1"/>
    <col min="2" max="4" width="20.140625" customWidth="1"/>
  </cols>
  <sheetData>
    <row r="1" spans="1:4" ht="17.25" thickBot="1">
      <c r="A1" s="1" t="s">
        <v>175</v>
      </c>
    </row>
    <row r="2" spans="1:4" ht="44.25" customHeight="1" thickTop="1" thickBot="1">
      <c r="A2" s="84" t="s">
        <v>168</v>
      </c>
      <c r="B2" s="593" t="s">
        <v>462</v>
      </c>
      <c r="C2" s="593" t="s">
        <v>463</v>
      </c>
      <c r="D2" s="593" t="s">
        <v>464</v>
      </c>
    </row>
    <row r="3" spans="1:4" ht="16.5" thickTop="1" thickBot="1">
      <c r="A3" s="71" t="s">
        <v>160</v>
      </c>
      <c r="B3" s="79"/>
      <c r="C3" s="79"/>
      <c r="D3" s="80"/>
    </row>
    <row r="4" spans="1:4" ht="15.75" thickBot="1">
      <c r="A4" s="71" t="s">
        <v>161</v>
      </c>
      <c r="B4" s="79"/>
      <c r="C4" s="79"/>
      <c r="D4" s="80"/>
    </row>
    <row r="5" spans="1:4" ht="15.75" thickBot="1">
      <c r="A5" s="71" t="s">
        <v>176</v>
      </c>
      <c r="B5" s="79"/>
      <c r="C5" s="79"/>
      <c r="D5" s="80"/>
    </row>
    <row r="6" spans="1:4" ht="15.75" thickBot="1">
      <c r="A6" s="71" t="s">
        <v>164</v>
      </c>
      <c r="B6" s="79"/>
      <c r="C6" s="79"/>
      <c r="D6" s="80"/>
    </row>
    <row r="7" spans="1:4" ht="26.25" customHeight="1" thickBot="1">
      <c r="A7" s="86" t="s">
        <v>166</v>
      </c>
      <c r="B7" s="85"/>
      <c r="C7" s="85"/>
      <c r="D7" s="78"/>
    </row>
    <row r="8" spans="1:4" ht="15.75" thickTop="1"/>
  </sheetData>
  <pageMargins left="0.7" right="0.7" top="0.75" bottom="0.75" header="0.3" footer="0.3"/>
  <pageSetup paperSize="9" orientation="portrait" horizontalDpi="300" verticalDpi="30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dimension ref="A1:I15"/>
  <sheetViews>
    <sheetView showGridLines="0" topLeftCell="C1" zoomScaleNormal="100" workbookViewId="0">
      <selection activeCell="H3" sqref="H3:I12"/>
    </sheetView>
  </sheetViews>
  <sheetFormatPr defaultRowHeight="15"/>
  <cols>
    <col min="1" max="1" width="35.42578125" customWidth="1"/>
    <col min="2" max="3" width="25.5703125" customWidth="1"/>
    <col min="4" max="4" width="22.28515625" customWidth="1"/>
    <col min="5" max="5" width="34.7109375" style="335" customWidth="1"/>
    <col min="6" max="6" width="41.28515625" style="340" customWidth="1"/>
    <col min="8" max="8" width="26.7109375" style="335" customWidth="1"/>
    <col min="9" max="9" width="26.7109375" style="340" customWidth="1"/>
  </cols>
  <sheetData>
    <row r="1" spans="1:9" ht="17.25" thickBot="1">
      <c r="A1" s="1" t="s">
        <v>177</v>
      </c>
      <c r="E1" s="1574" t="s">
        <v>1056</v>
      </c>
      <c r="F1" s="1576"/>
      <c r="G1" s="345"/>
      <c r="H1" s="1568" t="s">
        <v>1058</v>
      </c>
      <c r="I1" s="1570"/>
    </row>
    <row r="2" spans="1:9" ht="35.25" thickTop="1" thickBot="1">
      <c r="A2" s="84" t="s">
        <v>178</v>
      </c>
      <c r="B2" s="593" t="s">
        <v>2</v>
      </c>
      <c r="C2" s="593" t="s">
        <v>3</v>
      </c>
      <c r="E2" s="59" t="s">
        <v>2</v>
      </c>
      <c r="F2" s="59" t="s">
        <v>3</v>
      </c>
      <c r="H2" s="59" t="s">
        <v>2</v>
      </c>
      <c r="I2" s="59" t="s">
        <v>3</v>
      </c>
    </row>
    <row r="3" spans="1:9" ht="24" thickTop="1" thickBot="1">
      <c r="A3" s="25" t="s">
        <v>179</v>
      </c>
      <c r="B3" s="352">
        <f>SUM(B4:B5)</f>
        <v>0</v>
      </c>
      <c r="C3" s="143">
        <f>SUM(C4:C5)</f>
        <v>0</v>
      </c>
      <c r="E3" s="338">
        <f>SUM(B4:B5)-B3</f>
        <v>0</v>
      </c>
      <c r="F3" s="341">
        <f>SUM(C4:C5)-C3</f>
        <v>0</v>
      </c>
      <c r="H3" s="338">
        <f>B3-'BS old'!$D$71</f>
        <v>0</v>
      </c>
      <c r="I3" s="355">
        <f>C3-'BS old'!$G$71</f>
        <v>0</v>
      </c>
    </row>
    <row r="4" spans="1:9" ht="16.5" thickTop="1" thickBot="1">
      <c r="A4" s="14"/>
      <c r="B4" s="353"/>
      <c r="C4" s="80"/>
    </row>
    <row r="5" spans="1:9" ht="15.75" thickBot="1">
      <c r="A5" s="16"/>
      <c r="B5" s="354"/>
      <c r="C5" s="78"/>
    </row>
    <row r="6" spans="1:9" ht="24" thickTop="1" thickBot="1">
      <c r="A6" s="25" t="s">
        <v>180</v>
      </c>
      <c r="B6" s="354">
        <f>SUM(B7:B8)</f>
        <v>0</v>
      </c>
      <c r="C6" s="143">
        <f>SUM(C7:C8)</f>
        <v>0</v>
      </c>
      <c r="E6" s="338">
        <f>SUM(B7:B8)-B6</f>
        <v>0</v>
      </c>
      <c r="F6" s="341">
        <f>SUM(C7:C8)-C6</f>
        <v>0</v>
      </c>
      <c r="H6" s="338">
        <f>B6-'BS old'!$D$72</f>
        <v>0</v>
      </c>
      <c r="I6" s="341">
        <f>C6-'BS old'!$G$72</f>
        <v>0</v>
      </c>
    </row>
    <row r="7" spans="1:9" ht="16.5" thickTop="1" thickBot="1">
      <c r="A7" s="14"/>
      <c r="B7" s="353"/>
      <c r="C7" s="80"/>
    </row>
    <row r="8" spans="1:9" ht="15.75" thickBot="1">
      <c r="A8" s="16"/>
      <c r="B8" s="354"/>
      <c r="C8" s="78"/>
    </row>
    <row r="9" spans="1:9" ht="24" customHeight="1" thickTop="1" thickBot="1">
      <c r="A9" s="25" t="s">
        <v>181</v>
      </c>
      <c r="B9" s="354">
        <f>SUM(B10:B11)</f>
        <v>0</v>
      </c>
      <c r="C9" s="143">
        <f>SUM(C10:C11)</f>
        <v>0</v>
      </c>
      <c r="E9" s="338">
        <f>SUM(B10:B11)-B9</f>
        <v>0</v>
      </c>
      <c r="F9" s="341">
        <f>SUM(C10:C11)-C9</f>
        <v>0</v>
      </c>
      <c r="H9" s="338">
        <f>B9-'BS old'!$D$73</f>
        <v>0</v>
      </c>
      <c r="I9" s="341">
        <f>C9-'BS old'!$G$73</f>
        <v>0</v>
      </c>
    </row>
    <row r="10" spans="1:9" ht="16.5" thickTop="1" thickBot="1">
      <c r="A10" s="14"/>
      <c r="B10" s="353"/>
      <c r="C10" s="80"/>
    </row>
    <row r="11" spans="1:9" ht="15.75" thickBot="1">
      <c r="A11" s="16"/>
      <c r="B11" s="354"/>
      <c r="C11" s="78"/>
    </row>
    <row r="12" spans="1:9" ht="24" thickTop="1" thickBot="1">
      <c r="A12" s="25" t="s">
        <v>182</v>
      </c>
      <c r="B12" s="354">
        <f>SUM(B13:B14)</f>
        <v>0</v>
      </c>
      <c r="C12" s="143">
        <f>SUM(C13:C14)</f>
        <v>0</v>
      </c>
      <c r="E12" s="338">
        <f>SUM(B13:B14)-B12</f>
        <v>0</v>
      </c>
      <c r="F12" s="341">
        <f>SUM(C13:C14)-C12</f>
        <v>0</v>
      </c>
      <c r="H12" s="338">
        <f>B12-'BS old'!$D$74</f>
        <v>0</v>
      </c>
      <c r="I12" s="341">
        <f>C12-'BS old'!$G$74</f>
        <v>0</v>
      </c>
    </row>
    <row r="13" spans="1:9" ht="16.5" thickTop="1" thickBot="1">
      <c r="A13" s="14"/>
      <c r="B13" s="353"/>
      <c r="C13" s="80"/>
    </row>
    <row r="14" spans="1:9" ht="15.75" thickBot="1">
      <c r="A14" s="16"/>
      <c r="B14" s="354"/>
      <c r="C14" s="78"/>
    </row>
    <row r="15" spans="1:9" ht="15.75" thickTop="1"/>
  </sheetData>
  <mergeCells count="2">
    <mergeCell ref="E1:F1"/>
    <mergeCell ref="H1:I1"/>
  </mergeCells>
  <conditionalFormatting sqref="H1">
    <cfRule type="cellIs" priority="5" stopIfTrue="1" operator="greaterThan">
      <formula>0</formula>
    </cfRule>
  </conditionalFormatting>
  <conditionalFormatting sqref="E3:F12">
    <cfRule type="cellIs" dxfId="132" priority="3" operator="lessThan">
      <formula>0</formula>
    </cfRule>
    <cfRule type="cellIs" dxfId="131" priority="4" operator="greaterThan">
      <formula>0</formula>
    </cfRule>
  </conditionalFormatting>
  <conditionalFormatting sqref="H3:I12">
    <cfRule type="cellIs" dxfId="130" priority="1" operator="lessThan">
      <formula>0</formula>
    </cfRule>
    <cfRule type="cellIs" dxfId="129" priority="2" operator="greaterThan">
      <formula>0</formula>
    </cfRule>
  </conditionalFormatting>
  <pageMargins left="0.7" right="0.7" top="0.75" bottom="0.75" header="0.3" footer="0.3"/>
  <pageSetup paperSize="9"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C6"/>
  <sheetViews>
    <sheetView showGridLines="0" zoomScale="115" zoomScaleNormal="115" workbookViewId="0">
      <selection activeCell="B10" sqref="B10"/>
    </sheetView>
  </sheetViews>
  <sheetFormatPr defaultRowHeight="15"/>
  <cols>
    <col min="1" max="1" width="33.28515625" customWidth="1"/>
    <col min="2" max="3" width="26.140625" customWidth="1"/>
  </cols>
  <sheetData>
    <row r="1" spans="1:3" ht="17.25" thickBot="1">
      <c r="A1" s="1" t="s">
        <v>0</v>
      </c>
    </row>
    <row r="2" spans="1:3" ht="21.75" customHeight="1" thickTop="1" thickBot="1">
      <c r="A2" s="10" t="s">
        <v>1</v>
      </c>
      <c r="B2" s="11" t="s">
        <v>2</v>
      </c>
      <c r="C2" s="11" t="s">
        <v>3</v>
      </c>
    </row>
    <row r="3" spans="1:3" ht="22.5" customHeight="1" thickTop="1" thickBot="1">
      <c r="A3" s="12" t="s">
        <v>4</v>
      </c>
      <c r="B3" s="13"/>
      <c r="C3" s="13"/>
    </row>
    <row r="4" spans="1:3" ht="22.5" customHeight="1" thickBot="1">
      <c r="A4" s="14" t="s">
        <v>5</v>
      </c>
      <c r="B4" s="15"/>
      <c r="C4" s="15"/>
    </row>
    <row r="5" spans="1:3" ht="22.5" customHeight="1" thickBot="1">
      <c r="A5" s="16" t="s">
        <v>6</v>
      </c>
      <c r="B5" s="17"/>
      <c r="C5" s="17"/>
    </row>
    <row r="6" spans="1:3" ht="15.75" thickTop="1"/>
  </sheetData>
  <pageMargins left="0.7" right="0.7" top="0.75" bottom="0.75" header="0.3" footer="0.3"/>
  <pageSetup paperSize="9" orientation="portrait" horizontalDpi="300" verticalDpi="30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dimension ref="A1:O8"/>
  <sheetViews>
    <sheetView showGridLines="0" zoomScaleNormal="100" workbookViewId="0">
      <selection activeCell="O7" sqref="J2:O7"/>
    </sheetView>
  </sheetViews>
  <sheetFormatPr defaultRowHeight="15"/>
  <cols>
    <col min="1" max="1" width="14.42578125" customWidth="1"/>
    <col min="2" max="7" width="12" customWidth="1"/>
    <col min="10" max="10" width="9.140625" style="335"/>
    <col min="11" max="14" width="9.140625" style="336"/>
    <col min="15" max="15" width="9.140625" style="340"/>
  </cols>
  <sheetData>
    <row r="1" spans="1:15" ht="17.25" thickBot="1">
      <c r="A1" s="1" t="s">
        <v>183</v>
      </c>
      <c r="J1" s="1574" t="s">
        <v>1056</v>
      </c>
      <c r="K1" s="1575"/>
      <c r="L1" s="1575"/>
      <c r="M1" s="1575"/>
      <c r="N1" s="1575"/>
      <c r="O1" s="1576"/>
    </row>
    <row r="2" spans="1:15" ht="49.5" customHeight="1" thickTop="1" thickBot="1">
      <c r="A2" s="1579" t="s">
        <v>1</v>
      </c>
      <c r="B2" s="1565" t="s">
        <v>2</v>
      </c>
      <c r="C2" s="1566"/>
      <c r="D2" s="1567"/>
      <c r="E2" s="1558" t="s">
        <v>492</v>
      </c>
      <c r="F2" s="1564"/>
      <c r="G2" s="1559"/>
      <c r="J2" s="1565" t="s">
        <v>2</v>
      </c>
      <c r="K2" s="1566"/>
      <c r="L2" s="1567"/>
      <c r="M2" s="1558" t="s">
        <v>492</v>
      </c>
      <c r="N2" s="1564"/>
      <c r="O2" s="1559"/>
    </row>
    <row r="3" spans="1:15" ht="16.5" thickTop="1" thickBot="1">
      <c r="A3" s="1580"/>
      <c r="B3" s="1565" t="s">
        <v>184</v>
      </c>
      <c r="C3" s="1566"/>
      <c r="D3" s="1567"/>
      <c r="E3" s="1565" t="s">
        <v>184</v>
      </c>
      <c r="F3" s="1566"/>
      <c r="G3" s="1567"/>
      <c r="J3" s="1565" t="s">
        <v>184</v>
      </c>
      <c r="K3" s="1566"/>
      <c r="L3" s="1567"/>
      <c r="M3" s="1565" t="s">
        <v>184</v>
      </c>
      <c r="N3" s="1566"/>
      <c r="O3" s="1567"/>
    </row>
    <row r="4" spans="1:15" s="4" customFormat="1" ht="45" customHeight="1" thickTop="1" thickBot="1">
      <c r="A4" s="1581"/>
      <c r="B4" s="21" t="s">
        <v>185</v>
      </c>
      <c r="C4" s="21" t="s">
        <v>186</v>
      </c>
      <c r="D4" s="21" t="s">
        <v>187</v>
      </c>
      <c r="E4" s="21" t="s">
        <v>185</v>
      </c>
      <c r="F4" s="21" t="s">
        <v>186</v>
      </c>
      <c r="G4" s="21" t="s">
        <v>187</v>
      </c>
      <c r="J4" s="59" t="s">
        <v>185</v>
      </c>
      <c r="K4" s="21" t="s">
        <v>186</v>
      </c>
      <c r="L4" s="21" t="s">
        <v>187</v>
      </c>
      <c r="M4" s="21" t="s">
        <v>185</v>
      </c>
      <c r="N4" s="21" t="s">
        <v>186</v>
      </c>
      <c r="O4" s="21" t="s">
        <v>187</v>
      </c>
    </row>
    <row r="5" spans="1:15" ht="16.5" thickTop="1" thickBot="1">
      <c r="A5" s="71" t="s">
        <v>188</v>
      </c>
      <c r="B5" s="79"/>
      <c r="C5" s="79"/>
      <c r="D5" s="79"/>
      <c r="E5" s="79"/>
      <c r="F5" s="79"/>
      <c r="G5" s="80"/>
    </row>
    <row r="6" spans="1:15" ht="15.75" thickBot="1">
      <c r="A6" s="71" t="s">
        <v>189</v>
      </c>
      <c r="B6" s="79"/>
      <c r="C6" s="79"/>
      <c r="D6" s="79"/>
      <c r="E6" s="79"/>
      <c r="F6" s="79"/>
      <c r="G6" s="80"/>
    </row>
    <row r="7" spans="1:15" ht="15.75" thickBot="1">
      <c r="A7" s="72" t="s">
        <v>14</v>
      </c>
      <c r="B7" s="85">
        <f>B5+B6</f>
        <v>0</v>
      </c>
      <c r="C7" s="85">
        <f t="shared" ref="C7:G7" si="0">C5+C6</f>
        <v>0</v>
      </c>
      <c r="D7" s="85">
        <f t="shared" si="0"/>
        <v>0</v>
      </c>
      <c r="E7" s="85">
        <f t="shared" si="0"/>
        <v>0</v>
      </c>
      <c r="F7" s="85">
        <f t="shared" si="0"/>
        <v>0</v>
      </c>
      <c r="G7" s="78">
        <f t="shared" si="0"/>
        <v>0</v>
      </c>
      <c r="J7" s="338">
        <f>SUM(B5:B6)-B7</f>
        <v>0</v>
      </c>
      <c r="K7" s="337">
        <f t="shared" ref="K7:O7" si="1">SUM(C5:C6)-C7</f>
        <v>0</v>
      </c>
      <c r="L7" s="337">
        <f t="shared" si="1"/>
        <v>0</v>
      </c>
      <c r="M7" s="337">
        <f t="shared" si="1"/>
        <v>0</v>
      </c>
      <c r="N7" s="337">
        <f t="shared" si="1"/>
        <v>0</v>
      </c>
      <c r="O7" s="341">
        <f t="shared" si="1"/>
        <v>0</v>
      </c>
    </row>
    <row r="8" spans="1:15" ht="15.75" thickTop="1"/>
  </sheetData>
  <mergeCells count="10">
    <mergeCell ref="B2:D2"/>
    <mergeCell ref="E2:G2"/>
    <mergeCell ref="B3:D3"/>
    <mergeCell ref="E3:G3"/>
    <mergeCell ref="A2:A4"/>
    <mergeCell ref="J2:L2"/>
    <mergeCell ref="M2:O2"/>
    <mergeCell ref="J3:L3"/>
    <mergeCell ref="M3:O3"/>
    <mergeCell ref="J1:O1"/>
  </mergeCells>
  <conditionalFormatting sqref="J5:O7">
    <cfRule type="cellIs" dxfId="128" priority="3" operator="lessThan">
      <formula>0</formula>
    </cfRule>
    <cfRule type="cellIs" dxfId="127" priority="4" operator="greaterThan">
      <formula>0</formula>
    </cfRule>
  </conditionalFormatting>
  <conditionalFormatting sqref="J7:O7">
    <cfRule type="cellIs" dxfId="126" priority="1" operator="lessThan">
      <formula>0</formula>
    </cfRule>
    <cfRule type="cellIs" dxfId="125" priority="2" operator="greaterThan">
      <formula>0</formula>
    </cfRule>
  </conditionalFormatting>
  <pageMargins left="0.7" right="0.7" top="0.75" bottom="0.75" header="0.3" footer="0.3"/>
  <pageSetup paperSize="9" orientation="portrait" horizontalDpi="300" verticalDpi="300"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dimension ref="A1:H27"/>
  <sheetViews>
    <sheetView showGridLines="0" zoomScaleNormal="100" workbookViewId="0">
      <selection activeCell="C23" sqref="C23"/>
    </sheetView>
  </sheetViews>
  <sheetFormatPr defaultRowHeight="15"/>
  <cols>
    <col min="1" max="1" width="41" customWidth="1"/>
    <col min="2" max="2" width="45.42578125" customWidth="1"/>
    <col min="3" max="3" width="15.7109375" customWidth="1"/>
    <col min="4" max="4" width="41" style="342" customWidth="1"/>
    <col min="5" max="5" width="14.42578125" customWidth="1"/>
    <col min="6" max="6" width="11.42578125" customWidth="1"/>
  </cols>
  <sheetData>
    <row r="1" spans="1:8" ht="49.5">
      <c r="A1" s="3" t="s">
        <v>190</v>
      </c>
      <c r="D1" s="350" t="s">
        <v>1056</v>
      </c>
      <c r="E1" s="345"/>
      <c r="F1" s="345"/>
      <c r="G1" s="345"/>
      <c r="H1" s="345"/>
    </row>
    <row r="2" spans="1:8" ht="15.75" thickBot="1">
      <c r="A2" s="20" t="s">
        <v>8</v>
      </c>
      <c r="B2" s="20"/>
    </row>
    <row r="3" spans="1:8" ht="18.75" customHeight="1" thickTop="1" thickBot="1">
      <c r="A3" s="84" t="s">
        <v>131</v>
      </c>
      <c r="B3" s="51" t="s">
        <v>3</v>
      </c>
      <c r="D3" s="84" t="s">
        <v>3</v>
      </c>
    </row>
    <row r="4" spans="1:8" ht="18.75" customHeight="1" thickTop="1" thickBot="1">
      <c r="A4" s="72" t="s">
        <v>191</v>
      </c>
      <c r="B4" s="89"/>
    </row>
    <row r="5" spans="1:8" ht="18.75" customHeight="1" thickTop="1" thickBot="1">
      <c r="A5" s="72" t="s">
        <v>192</v>
      </c>
      <c r="B5" s="88" t="s">
        <v>2</v>
      </c>
    </row>
    <row r="6" spans="1:8" ht="18.75" customHeight="1" thickTop="1" thickBot="1">
      <c r="A6" s="71" t="s">
        <v>193</v>
      </c>
      <c r="B6" s="80"/>
    </row>
    <row r="7" spans="1:8" ht="18.75" customHeight="1" thickBot="1">
      <c r="A7" s="71" t="s">
        <v>194</v>
      </c>
      <c r="B7" s="80"/>
    </row>
    <row r="8" spans="1:8" ht="18.75" customHeight="1" thickBot="1">
      <c r="A8" s="71" t="s">
        <v>195</v>
      </c>
      <c r="B8" s="80"/>
    </row>
    <row r="9" spans="1:8" ht="18.75" customHeight="1" thickBot="1">
      <c r="A9" s="71" t="s">
        <v>196</v>
      </c>
      <c r="B9" s="80"/>
    </row>
    <row r="10" spans="1:8" ht="18.75" customHeight="1" thickBot="1">
      <c r="A10" s="71" t="s">
        <v>197</v>
      </c>
      <c r="B10" s="80"/>
    </row>
    <row r="11" spans="1:8" ht="18.75" customHeight="1" thickBot="1">
      <c r="A11" s="71" t="s">
        <v>198</v>
      </c>
      <c r="B11" s="80"/>
    </row>
    <row r="12" spans="1:8" ht="18.75" customHeight="1" thickBot="1">
      <c r="A12" s="71" t="s">
        <v>199</v>
      </c>
      <c r="B12" s="80"/>
    </row>
    <row r="13" spans="1:8" ht="18.75" customHeight="1" thickBot="1">
      <c r="A13" s="71" t="s">
        <v>200</v>
      </c>
      <c r="B13" s="80"/>
    </row>
    <row r="14" spans="1:8" ht="18.75" customHeight="1" thickBot="1">
      <c r="A14" s="72" t="s">
        <v>14</v>
      </c>
      <c r="B14" s="78">
        <f>SUM(B6:B13)</f>
        <v>0</v>
      </c>
      <c r="D14" s="349">
        <f>SUM(B6:B13)-B14</f>
        <v>0</v>
      </c>
    </row>
    <row r="15" spans="1:8" ht="18.75" customHeight="1" thickTop="1">
      <c r="A15" s="20"/>
      <c r="B15" s="20"/>
    </row>
    <row r="16" spans="1:8" ht="18.75" customHeight="1" thickBot="1">
      <c r="A16" s="20" t="s">
        <v>15</v>
      </c>
      <c r="B16" s="20"/>
    </row>
    <row r="17" spans="1:4" ht="18.75" customHeight="1" thickTop="1" thickBot="1">
      <c r="A17" s="84" t="s">
        <v>131</v>
      </c>
      <c r="B17" s="51" t="s">
        <v>3</v>
      </c>
    </row>
    <row r="18" spans="1:4" ht="18.75" customHeight="1" thickTop="1" thickBot="1">
      <c r="A18" s="72" t="s">
        <v>201</v>
      </c>
      <c r="B18" s="89"/>
    </row>
    <row r="19" spans="1:4" ht="18.75" customHeight="1" thickTop="1" thickBot="1">
      <c r="A19" s="72" t="s">
        <v>202</v>
      </c>
      <c r="B19" s="88" t="s">
        <v>2</v>
      </c>
    </row>
    <row r="20" spans="1:4" ht="18.75" customHeight="1" thickTop="1" thickBot="1">
      <c r="A20" s="71" t="s">
        <v>203</v>
      </c>
      <c r="B20" s="80"/>
    </row>
    <row r="21" spans="1:4" ht="18.75" customHeight="1" thickBot="1">
      <c r="A21" s="71" t="s">
        <v>204</v>
      </c>
      <c r="B21" s="80"/>
    </row>
    <row r="22" spans="1:4" ht="18.75" customHeight="1" thickBot="1">
      <c r="A22" s="71" t="s">
        <v>205</v>
      </c>
      <c r="B22" s="80"/>
    </row>
    <row r="23" spans="1:4" ht="18.75" customHeight="1" thickBot="1">
      <c r="A23" s="71" t="s">
        <v>206</v>
      </c>
      <c r="B23" s="80"/>
    </row>
    <row r="24" spans="1:4" ht="18.75" customHeight="1" thickBot="1">
      <c r="A24" s="71" t="s">
        <v>207</v>
      </c>
      <c r="B24" s="80"/>
    </row>
    <row r="25" spans="1:4" ht="18.75" customHeight="1" thickBot="1">
      <c r="A25" s="71" t="s">
        <v>200</v>
      </c>
      <c r="B25" s="80"/>
    </row>
    <row r="26" spans="1:4" ht="18.75" customHeight="1" thickBot="1">
      <c r="A26" s="72" t="s">
        <v>208</v>
      </c>
      <c r="B26" s="78">
        <f>SUM(B20:B25)</f>
        <v>0</v>
      </c>
      <c r="D26" s="349">
        <f>SUM(B20:B25)-B26</f>
        <v>0</v>
      </c>
    </row>
    <row r="27" spans="1:4" ht="17.25" thickTop="1">
      <c r="A27" s="1"/>
    </row>
  </sheetData>
  <conditionalFormatting sqref="D14:D26">
    <cfRule type="cellIs" dxfId="124" priority="2" operator="lessThan">
      <formula>0</formula>
    </cfRule>
    <cfRule type="cellIs" dxfId="123" priority="3" operator="greaterThan">
      <formula>0</formula>
    </cfRule>
  </conditionalFormatting>
  <pageMargins left="0.7" right="0.7" top="0.75" bottom="0.75" header="0.3" footer="0.3"/>
  <pageSetup paperSize="9" orientation="portrait" horizontalDpi="300" verticalDpi="300"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dimension ref="A1:M45"/>
  <sheetViews>
    <sheetView showGridLines="0" workbookViewId="0">
      <selection activeCell="F12" sqref="F12"/>
    </sheetView>
  </sheetViews>
  <sheetFormatPr defaultColWidth="9.140625" defaultRowHeight="11.25"/>
  <cols>
    <col min="1" max="1" width="28.42578125" style="20" customWidth="1"/>
    <col min="2" max="6" width="11.5703125" style="20" customWidth="1"/>
    <col min="7" max="8" width="9.140625" style="20"/>
    <col min="9" max="9" width="20.140625" style="358" customWidth="1"/>
    <col min="10" max="10" width="9.140625" style="20" customWidth="1"/>
    <col min="11" max="11" width="26.85546875" style="358" customWidth="1"/>
    <col min="12" max="12" width="9.140625" style="20"/>
    <col min="13" max="13" width="31.28515625" style="358" customWidth="1"/>
    <col min="14" max="16384" width="9.140625" style="20"/>
  </cols>
  <sheetData>
    <row r="1" spans="1:13" ht="15">
      <c r="I1" s="348" t="s">
        <v>1056</v>
      </c>
      <c r="K1" s="348" t="s">
        <v>1060</v>
      </c>
      <c r="M1" s="350" t="s">
        <v>1058</v>
      </c>
    </row>
    <row r="2" spans="1:13" ht="12" thickBot="1"/>
    <row r="3" spans="1:13" ht="13.5" customHeight="1" thickTop="1" thickBot="1">
      <c r="A3" s="1585" t="s">
        <v>465</v>
      </c>
      <c r="B3" s="1582" t="s">
        <v>2</v>
      </c>
      <c r="C3" s="1583"/>
      <c r="D3" s="1583"/>
      <c r="E3" s="1583"/>
      <c r="F3" s="1584"/>
    </row>
    <row r="4" spans="1:13" ht="46.5" thickTop="1" thickBot="1">
      <c r="A4" s="1586"/>
      <c r="B4" s="92" t="s">
        <v>472</v>
      </c>
      <c r="C4" s="92" t="s">
        <v>27</v>
      </c>
      <c r="D4" s="92" t="s">
        <v>28</v>
      </c>
      <c r="E4" s="92" t="s">
        <v>29</v>
      </c>
      <c r="F4" s="21" t="s">
        <v>392</v>
      </c>
      <c r="I4" s="59" t="s">
        <v>392</v>
      </c>
      <c r="K4" s="59" t="s">
        <v>472</v>
      </c>
      <c r="M4" s="59" t="s">
        <v>392</v>
      </c>
    </row>
    <row r="5" spans="1:13" ht="22.5" customHeight="1" thickTop="1" thickBot="1">
      <c r="A5" s="90" t="s">
        <v>393</v>
      </c>
      <c r="B5" s="93"/>
      <c r="C5" s="93"/>
      <c r="D5" s="93"/>
      <c r="E5" s="93"/>
      <c r="F5" s="94">
        <f>SUM(B5:E5)</f>
        <v>0</v>
      </c>
      <c r="I5" s="358">
        <f>SUM(B5:E5)-F5</f>
        <v>0</v>
      </c>
      <c r="K5" s="358">
        <f>B5-F27</f>
        <v>0</v>
      </c>
      <c r="M5" s="359">
        <f>F5-'BS old'!$D$84</f>
        <v>0</v>
      </c>
    </row>
    <row r="6" spans="1:13" ht="22.5" customHeight="1" thickBot="1">
      <c r="A6" s="90" t="s">
        <v>394</v>
      </c>
      <c r="B6" s="93"/>
      <c r="C6" s="93"/>
      <c r="D6" s="93"/>
      <c r="E6" s="93"/>
      <c r="F6" s="94">
        <f t="shared" ref="F6:F21" si="0">SUM(B6:E6)</f>
        <v>0</v>
      </c>
      <c r="I6" s="358">
        <f>SUM(B6:E6)-F6</f>
        <v>0</v>
      </c>
      <c r="K6" s="358">
        <f>B6-F28</f>
        <v>0</v>
      </c>
      <c r="M6" s="359">
        <f>F6-'BS old'!$D$85</f>
        <v>0</v>
      </c>
    </row>
    <row r="7" spans="1:13" ht="22.5" customHeight="1" thickBot="1">
      <c r="A7" s="90" t="s">
        <v>466</v>
      </c>
      <c r="B7" s="93"/>
      <c r="C7" s="93"/>
      <c r="D7" s="93"/>
      <c r="E7" s="93"/>
      <c r="F7" s="94">
        <f t="shared" si="0"/>
        <v>0</v>
      </c>
      <c r="I7" s="358">
        <f t="shared" ref="I7:I22" si="1">SUM(B7:E7)-F7</f>
        <v>0</v>
      </c>
      <c r="K7" s="358">
        <f t="shared" ref="K7:K22" si="2">B7-F29</f>
        <v>0</v>
      </c>
      <c r="M7" s="359">
        <f>F7-'BS old'!$D$86</f>
        <v>0</v>
      </c>
    </row>
    <row r="8" spans="1:13" ht="22.5" customHeight="1" thickBot="1">
      <c r="A8" s="90" t="s">
        <v>467</v>
      </c>
      <c r="B8" s="93"/>
      <c r="C8" s="93"/>
      <c r="D8" s="93"/>
      <c r="E8" s="93"/>
      <c r="F8" s="94">
        <f t="shared" si="0"/>
        <v>0</v>
      </c>
      <c r="I8" s="358">
        <f t="shared" si="1"/>
        <v>0</v>
      </c>
      <c r="K8" s="358">
        <f t="shared" si="2"/>
        <v>0</v>
      </c>
      <c r="M8" s="358">
        <f>F8-'BS old'!$D$87</f>
        <v>0</v>
      </c>
    </row>
    <row r="9" spans="1:13" ht="22.5" customHeight="1" thickBot="1">
      <c r="A9" s="90" t="s">
        <v>395</v>
      </c>
      <c r="B9" s="93"/>
      <c r="C9" s="93"/>
      <c r="D9" s="93"/>
      <c r="E9" s="93"/>
      <c r="F9" s="94">
        <f t="shared" si="0"/>
        <v>0</v>
      </c>
      <c r="I9" s="358">
        <f t="shared" si="1"/>
        <v>0</v>
      </c>
      <c r="K9" s="358">
        <f t="shared" si="2"/>
        <v>0</v>
      </c>
      <c r="M9" s="359">
        <f>F9-'BS old'!$D$89</f>
        <v>0</v>
      </c>
    </row>
    <row r="10" spans="1:13" ht="22.5" customHeight="1" thickBot="1">
      <c r="A10" s="90" t="s">
        <v>396</v>
      </c>
      <c r="B10" s="93"/>
      <c r="C10" s="93"/>
      <c r="D10" s="93"/>
      <c r="E10" s="93"/>
      <c r="F10" s="94">
        <f t="shared" si="0"/>
        <v>0</v>
      </c>
      <c r="I10" s="358">
        <f t="shared" si="1"/>
        <v>0</v>
      </c>
      <c r="K10" s="358">
        <f t="shared" si="2"/>
        <v>0</v>
      </c>
      <c r="M10" s="359">
        <f>F10-'BS old'!$D$90</f>
        <v>0</v>
      </c>
    </row>
    <row r="11" spans="1:13" ht="22.5" customHeight="1" thickBot="1">
      <c r="A11" s="90" t="s">
        <v>397</v>
      </c>
      <c r="B11" s="93"/>
      <c r="C11" s="93"/>
      <c r="D11" s="93"/>
      <c r="E11" s="93"/>
      <c r="F11" s="94">
        <f>SUM(B11:E11)</f>
        <v>0</v>
      </c>
      <c r="I11" s="358">
        <f t="shared" si="1"/>
        <v>0</v>
      </c>
      <c r="K11" s="358">
        <f t="shared" si="2"/>
        <v>0</v>
      </c>
      <c r="M11" s="359">
        <f>F11-'BS old'!$D$91</f>
        <v>0</v>
      </c>
    </row>
    <row r="12" spans="1:13" ht="22.5" customHeight="1" thickBot="1">
      <c r="A12" s="90" t="s">
        <v>398</v>
      </c>
      <c r="B12" s="93"/>
      <c r="C12" s="93"/>
      <c r="D12" s="93"/>
      <c r="E12" s="93"/>
      <c r="F12" s="94">
        <f t="shared" si="0"/>
        <v>0</v>
      </c>
      <c r="I12" s="358">
        <f t="shared" si="1"/>
        <v>0</v>
      </c>
      <c r="K12" s="358">
        <f t="shared" si="2"/>
        <v>0</v>
      </c>
      <c r="M12" s="359">
        <f>F12-'BS old'!$D$92-'BS old'!$D$93</f>
        <v>0</v>
      </c>
    </row>
    <row r="13" spans="1:13" ht="22.5" customHeight="1" thickBot="1">
      <c r="A13" s="90" t="s">
        <v>468</v>
      </c>
      <c r="B13" s="93"/>
      <c r="C13" s="93"/>
      <c r="D13" s="93"/>
      <c r="E13" s="93"/>
      <c r="F13" s="94">
        <f t="shared" si="0"/>
        <v>0</v>
      </c>
      <c r="I13" s="358">
        <f t="shared" si="1"/>
        <v>0</v>
      </c>
      <c r="K13" s="358">
        <f t="shared" si="2"/>
        <v>0</v>
      </c>
      <c r="M13" s="359">
        <f>F13-'BS old'!$D$94</f>
        <v>0</v>
      </c>
    </row>
    <row r="14" spans="1:13" ht="22.5" customHeight="1" thickBot="1">
      <c r="A14" s="90" t="s">
        <v>399</v>
      </c>
      <c r="B14" s="93"/>
      <c r="C14" s="93"/>
      <c r="D14" s="93"/>
      <c r="E14" s="93"/>
      <c r="F14" s="94">
        <f t="shared" si="0"/>
        <v>0</v>
      </c>
      <c r="I14" s="358">
        <f t="shared" si="1"/>
        <v>0</v>
      </c>
      <c r="K14" s="358">
        <f t="shared" si="2"/>
        <v>0</v>
      </c>
      <c r="M14" s="359">
        <f>F14-'BS old'!$D$96</f>
        <v>0</v>
      </c>
    </row>
    <row r="15" spans="1:13" ht="22.5" customHeight="1" thickBot="1">
      <c r="A15" s="90" t="s">
        <v>400</v>
      </c>
      <c r="B15" s="93"/>
      <c r="C15" s="93"/>
      <c r="D15" s="93"/>
      <c r="E15" s="93"/>
      <c r="F15" s="94">
        <f t="shared" si="0"/>
        <v>0</v>
      </c>
      <c r="I15" s="358">
        <f t="shared" si="1"/>
        <v>0</v>
      </c>
      <c r="K15" s="358">
        <f t="shared" si="2"/>
        <v>0</v>
      </c>
      <c r="M15" s="359">
        <f>F15-'BS old'!$D$97</f>
        <v>0</v>
      </c>
    </row>
    <row r="16" spans="1:13" ht="22.5" customHeight="1" thickBot="1">
      <c r="A16" s="90" t="s">
        <v>401</v>
      </c>
      <c r="B16" s="93"/>
      <c r="C16" s="93"/>
      <c r="D16" s="93"/>
      <c r="E16" s="93"/>
      <c r="F16" s="94">
        <f t="shared" si="0"/>
        <v>0</v>
      </c>
      <c r="I16" s="358">
        <f t="shared" si="1"/>
        <v>0</v>
      </c>
      <c r="K16" s="358">
        <f t="shared" si="2"/>
        <v>0</v>
      </c>
      <c r="M16" s="359">
        <f>F16-'BS old'!$D$98</f>
        <v>0</v>
      </c>
    </row>
    <row r="17" spans="1:13" ht="22.5" customHeight="1" thickBot="1">
      <c r="A17" s="90" t="s">
        <v>402</v>
      </c>
      <c r="B17" s="93"/>
      <c r="C17" s="93"/>
      <c r="D17" s="93"/>
      <c r="E17" s="93"/>
      <c r="F17" s="94">
        <f t="shared" si="0"/>
        <v>0</v>
      </c>
      <c r="I17" s="358">
        <f t="shared" si="1"/>
        <v>0</v>
      </c>
      <c r="K17" s="358">
        <f t="shared" si="2"/>
        <v>0</v>
      </c>
      <c r="M17" s="359">
        <f>F17-'BS old'!$D$100</f>
        <v>0</v>
      </c>
    </row>
    <row r="18" spans="1:13" ht="22.5" customHeight="1" thickBot="1">
      <c r="A18" s="90" t="s">
        <v>469</v>
      </c>
      <c r="B18" s="93"/>
      <c r="C18" s="93"/>
      <c r="D18" s="93"/>
      <c r="E18" s="93"/>
      <c r="F18" s="94">
        <f t="shared" si="0"/>
        <v>0</v>
      </c>
      <c r="I18" s="358">
        <f t="shared" si="1"/>
        <v>0</v>
      </c>
      <c r="K18" s="358">
        <f t="shared" si="2"/>
        <v>0</v>
      </c>
      <c r="M18" s="359">
        <f>F18-'BS old'!$D$101</f>
        <v>0</v>
      </c>
    </row>
    <row r="19" spans="1:13" ht="22.5" customHeight="1" thickBot="1">
      <c r="A19" s="90" t="s">
        <v>470</v>
      </c>
      <c r="B19" s="93"/>
      <c r="C19" s="93"/>
      <c r="D19" s="93"/>
      <c r="E19" s="93"/>
      <c r="F19" s="94">
        <f t="shared" si="0"/>
        <v>0</v>
      </c>
      <c r="I19" s="358">
        <f t="shared" si="1"/>
        <v>0</v>
      </c>
      <c r="K19" s="358">
        <f t="shared" si="2"/>
        <v>0</v>
      </c>
      <c r="M19" s="359">
        <f>F19-'BS old'!$D$102</f>
        <v>0</v>
      </c>
    </row>
    <row r="20" spans="1:13" ht="22.5" customHeight="1" thickBot="1">
      <c r="A20" s="90" t="s">
        <v>403</v>
      </c>
      <c r="B20" s="93"/>
      <c r="C20" s="93"/>
      <c r="D20" s="93"/>
      <c r="E20" s="93"/>
      <c r="F20" s="94">
        <f t="shared" si="0"/>
        <v>0</v>
      </c>
      <c r="I20" s="358">
        <f t="shared" si="1"/>
        <v>0</v>
      </c>
      <c r="K20" s="358">
        <f t="shared" si="2"/>
        <v>0</v>
      </c>
      <c r="M20" s="360"/>
    </row>
    <row r="21" spans="1:13" ht="22.5" customHeight="1" thickBot="1">
      <c r="A21" s="90" t="s">
        <v>404</v>
      </c>
      <c r="B21" s="93"/>
      <c r="C21" s="93"/>
      <c r="D21" s="93"/>
      <c r="E21" s="93"/>
      <c r="F21" s="94">
        <f t="shared" si="0"/>
        <v>0</v>
      </c>
      <c r="I21" s="358">
        <f t="shared" si="1"/>
        <v>0</v>
      </c>
      <c r="K21" s="358">
        <f t="shared" si="2"/>
        <v>0</v>
      </c>
      <c r="M21" s="360"/>
    </row>
    <row r="22" spans="1:13" ht="22.5" customHeight="1" thickBot="1">
      <c r="A22" s="91" t="s">
        <v>471</v>
      </c>
      <c r="B22" s="95"/>
      <c r="C22" s="95"/>
      <c r="D22" s="95"/>
      <c r="E22" s="95"/>
      <c r="F22" s="98">
        <f>SUM(B22:E22)</f>
        <v>0</v>
      </c>
      <c r="I22" s="358">
        <f t="shared" si="1"/>
        <v>0</v>
      </c>
      <c r="K22" s="358">
        <f t="shared" si="2"/>
        <v>0</v>
      </c>
      <c r="M22" s="360"/>
    </row>
    <row r="23" spans="1:13" ht="22.5" customHeight="1" thickTop="1">
      <c r="A23" s="96"/>
      <c r="B23" s="97"/>
      <c r="C23" s="97"/>
      <c r="D23" s="97"/>
      <c r="E23" s="97"/>
      <c r="F23" s="97"/>
    </row>
    <row r="24" spans="1:13" ht="12" thickBot="1"/>
    <row r="25" spans="1:13" ht="13.5" customHeight="1" thickTop="1" thickBot="1">
      <c r="A25" s="1585" t="s">
        <v>465</v>
      </c>
      <c r="B25" s="1582" t="s">
        <v>3</v>
      </c>
      <c r="C25" s="1583"/>
      <c r="D25" s="1583"/>
      <c r="E25" s="1583"/>
      <c r="F25" s="1584"/>
    </row>
    <row r="26" spans="1:13" ht="46.5" thickTop="1" thickBot="1">
      <c r="A26" s="1586"/>
      <c r="B26" s="92" t="s">
        <v>472</v>
      </c>
      <c r="C26" s="92" t="s">
        <v>27</v>
      </c>
      <c r="D26" s="92" t="s">
        <v>28</v>
      </c>
      <c r="E26" s="92" t="s">
        <v>29</v>
      </c>
      <c r="F26" s="21" t="s">
        <v>392</v>
      </c>
      <c r="I26" s="59" t="s">
        <v>392</v>
      </c>
      <c r="M26" s="59" t="s">
        <v>392</v>
      </c>
    </row>
    <row r="27" spans="1:13" ht="22.5" customHeight="1" thickTop="1" thickBot="1">
      <c r="A27" s="90" t="s">
        <v>393</v>
      </c>
      <c r="B27" s="93"/>
      <c r="C27" s="93"/>
      <c r="D27" s="93"/>
      <c r="E27" s="93"/>
      <c r="F27" s="94">
        <f>SUM(B27:E27)</f>
        <v>0</v>
      </c>
      <c r="I27" s="358">
        <f>SUM(B27:E27)-F27</f>
        <v>0</v>
      </c>
      <c r="M27" s="359">
        <f>F27-'BS old'!E84</f>
        <v>0</v>
      </c>
    </row>
    <row r="28" spans="1:13" ht="22.5" customHeight="1" thickBot="1">
      <c r="A28" s="90" t="s">
        <v>394</v>
      </c>
      <c r="B28" s="93"/>
      <c r="C28" s="93"/>
      <c r="D28" s="93"/>
      <c r="E28" s="93"/>
      <c r="F28" s="94">
        <f t="shared" ref="F28:F42" si="3">SUM(B28:E28)</f>
        <v>0</v>
      </c>
      <c r="I28" s="358">
        <f>SUM(B28:E28)-F28</f>
        <v>0</v>
      </c>
      <c r="M28" s="359">
        <f>F28-'BS old'!E85</f>
        <v>0</v>
      </c>
    </row>
    <row r="29" spans="1:13" ht="22.5" customHeight="1" thickBot="1">
      <c r="A29" s="90" t="s">
        <v>466</v>
      </c>
      <c r="B29" s="93"/>
      <c r="C29" s="93"/>
      <c r="D29" s="93"/>
      <c r="E29" s="93"/>
      <c r="F29" s="94">
        <f t="shared" si="3"/>
        <v>0</v>
      </c>
      <c r="I29" s="358">
        <f t="shared" ref="I29:I44" si="4">SUM(B29:E29)-F29</f>
        <v>0</v>
      </c>
      <c r="M29" s="359">
        <f>F29-'BS old'!E86</f>
        <v>0</v>
      </c>
    </row>
    <row r="30" spans="1:13" ht="22.5" customHeight="1" thickBot="1">
      <c r="A30" s="90" t="s">
        <v>467</v>
      </c>
      <c r="B30" s="93"/>
      <c r="C30" s="93"/>
      <c r="D30" s="93"/>
      <c r="E30" s="93"/>
      <c r="F30" s="94">
        <f t="shared" si="3"/>
        <v>0</v>
      </c>
      <c r="I30" s="358">
        <f t="shared" si="4"/>
        <v>0</v>
      </c>
      <c r="M30" s="359">
        <f>F30-'BS old'!E87</f>
        <v>0</v>
      </c>
    </row>
    <row r="31" spans="1:13" ht="22.5" customHeight="1" thickBot="1">
      <c r="A31" s="90" t="s">
        <v>395</v>
      </c>
      <c r="B31" s="93"/>
      <c r="C31" s="93"/>
      <c r="D31" s="93"/>
      <c r="E31" s="93"/>
      <c r="F31" s="94">
        <f t="shared" si="3"/>
        <v>0</v>
      </c>
      <c r="I31" s="358">
        <f t="shared" si="4"/>
        <v>0</v>
      </c>
      <c r="M31" s="359">
        <f>F31-'BS old'!E89</f>
        <v>0</v>
      </c>
    </row>
    <row r="32" spans="1:13" ht="22.5" customHeight="1" thickBot="1">
      <c r="A32" s="90" t="s">
        <v>396</v>
      </c>
      <c r="B32" s="93"/>
      <c r="C32" s="93"/>
      <c r="D32" s="93"/>
      <c r="E32" s="93"/>
      <c r="F32" s="94">
        <f t="shared" si="3"/>
        <v>0</v>
      </c>
      <c r="I32" s="358">
        <f t="shared" si="4"/>
        <v>0</v>
      </c>
      <c r="M32" s="359">
        <f>F32-'BS old'!E90</f>
        <v>0</v>
      </c>
    </row>
    <row r="33" spans="1:13" ht="22.5" customHeight="1" thickBot="1">
      <c r="A33" s="90" t="s">
        <v>397</v>
      </c>
      <c r="B33" s="93"/>
      <c r="C33" s="93"/>
      <c r="D33" s="93"/>
      <c r="E33" s="93"/>
      <c r="F33" s="94">
        <f t="shared" si="3"/>
        <v>0</v>
      </c>
      <c r="I33" s="358">
        <f t="shared" si="4"/>
        <v>0</v>
      </c>
      <c r="M33" s="359">
        <f>F33-'BS old'!E91</f>
        <v>0</v>
      </c>
    </row>
    <row r="34" spans="1:13" ht="22.5" customHeight="1" thickBot="1">
      <c r="A34" s="90" t="s">
        <v>398</v>
      </c>
      <c r="B34" s="93"/>
      <c r="C34" s="93"/>
      <c r="D34" s="93"/>
      <c r="E34" s="93"/>
      <c r="F34" s="94">
        <f t="shared" si="3"/>
        <v>0</v>
      </c>
      <c r="I34" s="358">
        <f t="shared" si="4"/>
        <v>0</v>
      </c>
      <c r="M34" s="359">
        <f>F34-'BS old'!E92-'BS old'!E93</f>
        <v>0</v>
      </c>
    </row>
    <row r="35" spans="1:13" ht="22.5" customHeight="1" thickBot="1">
      <c r="A35" s="90" t="s">
        <v>468</v>
      </c>
      <c r="B35" s="93"/>
      <c r="C35" s="93"/>
      <c r="D35" s="93"/>
      <c r="E35" s="93"/>
      <c r="F35" s="94">
        <f t="shared" si="3"/>
        <v>0</v>
      </c>
      <c r="I35" s="358">
        <f t="shared" si="4"/>
        <v>0</v>
      </c>
      <c r="M35" s="359">
        <f>F35-'BS old'!E94</f>
        <v>0</v>
      </c>
    </row>
    <row r="36" spans="1:13" ht="22.5" customHeight="1" thickBot="1">
      <c r="A36" s="90" t="s">
        <v>399</v>
      </c>
      <c r="B36" s="93"/>
      <c r="C36" s="93"/>
      <c r="D36" s="93"/>
      <c r="E36" s="93"/>
      <c r="F36" s="94">
        <f t="shared" si="3"/>
        <v>0</v>
      </c>
      <c r="I36" s="358">
        <f t="shared" si="4"/>
        <v>0</v>
      </c>
      <c r="M36" s="359">
        <f>F36-'BS old'!E96</f>
        <v>0</v>
      </c>
    </row>
    <row r="37" spans="1:13" ht="22.5" customHeight="1" thickBot="1">
      <c r="A37" s="90" t="s">
        <v>400</v>
      </c>
      <c r="B37" s="93"/>
      <c r="C37" s="93"/>
      <c r="D37" s="93"/>
      <c r="E37" s="93"/>
      <c r="F37" s="94">
        <f t="shared" si="3"/>
        <v>0</v>
      </c>
      <c r="I37" s="358">
        <f t="shared" si="4"/>
        <v>0</v>
      </c>
      <c r="M37" s="359">
        <f>F37-'BS old'!E97</f>
        <v>0</v>
      </c>
    </row>
    <row r="38" spans="1:13" ht="22.5" customHeight="1" thickBot="1">
      <c r="A38" s="90" t="s">
        <v>401</v>
      </c>
      <c r="B38" s="93"/>
      <c r="C38" s="93"/>
      <c r="D38" s="93"/>
      <c r="E38" s="93"/>
      <c r="F38" s="94">
        <f t="shared" si="3"/>
        <v>0</v>
      </c>
      <c r="I38" s="358">
        <f t="shared" si="4"/>
        <v>0</v>
      </c>
      <c r="M38" s="359">
        <f>F38-'BS old'!E98</f>
        <v>0</v>
      </c>
    </row>
    <row r="39" spans="1:13" ht="22.5" customHeight="1" thickBot="1">
      <c r="A39" s="90" t="s">
        <v>402</v>
      </c>
      <c r="B39" s="93"/>
      <c r="C39" s="93"/>
      <c r="D39" s="93"/>
      <c r="E39" s="93"/>
      <c r="F39" s="94">
        <f t="shared" si="3"/>
        <v>0</v>
      </c>
      <c r="I39" s="358">
        <f t="shared" si="4"/>
        <v>0</v>
      </c>
      <c r="M39" s="359">
        <f>F39-'BS old'!E100</f>
        <v>0</v>
      </c>
    </row>
    <row r="40" spans="1:13" ht="22.5" customHeight="1" thickBot="1">
      <c r="A40" s="90" t="s">
        <v>469</v>
      </c>
      <c r="B40" s="93"/>
      <c r="C40" s="93"/>
      <c r="D40" s="93"/>
      <c r="E40" s="93"/>
      <c r="F40" s="94">
        <f t="shared" si="3"/>
        <v>0</v>
      </c>
      <c r="I40" s="358">
        <f t="shared" si="4"/>
        <v>0</v>
      </c>
      <c r="M40" s="359">
        <f>F40-'BS old'!E101</f>
        <v>0</v>
      </c>
    </row>
    <row r="41" spans="1:13" ht="22.5" customHeight="1" thickBot="1">
      <c r="A41" s="90" t="s">
        <v>470</v>
      </c>
      <c r="B41" s="93"/>
      <c r="C41" s="93"/>
      <c r="D41" s="93"/>
      <c r="E41" s="93"/>
      <c r="F41" s="94">
        <f t="shared" si="3"/>
        <v>0</v>
      </c>
      <c r="I41" s="358">
        <f t="shared" si="4"/>
        <v>0</v>
      </c>
      <c r="M41" s="359">
        <f>F41-'BS old'!E102</f>
        <v>0</v>
      </c>
    </row>
    <row r="42" spans="1:13" ht="22.5" customHeight="1" thickBot="1">
      <c r="A42" s="90" t="s">
        <v>403</v>
      </c>
      <c r="B42" s="93"/>
      <c r="C42" s="93"/>
      <c r="D42" s="93"/>
      <c r="E42" s="93"/>
      <c r="F42" s="94">
        <f t="shared" si="3"/>
        <v>0</v>
      </c>
      <c r="I42" s="358">
        <f t="shared" si="4"/>
        <v>0</v>
      </c>
      <c r="M42" s="360"/>
    </row>
    <row r="43" spans="1:13" ht="22.5" customHeight="1" thickBot="1">
      <c r="A43" s="90" t="s">
        <v>404</v>
      </c>
      <c r="B43" s="93"/>
      <c r="C43" s="93"/>
      <c r="D43" s="93"/>
      <c r="E43" s="93"/>
      <c r="F43" s="94">
        <f>SUM(B43:E43)</f>
        <v>0</v>
      </c>
      <c r="I43" s="358">
        <f t="shared" si="4"/>
        <v>0</v>
      </c>
      <c r="M43" s="360"/>
    </row>
    <row r="44" spans="1:13" ht="22.5" customHeight="1" thickBot="1">
      <c r="A44" s="91" t="s">
        <v>471</v>
      </c>
      <c r="B44" s="95"/>
      <c r="C44" s="95"/>
      <c r="D44" s="95"/>
      <c r="E44" s="95"/>
      <c r="F44" s="98">
        <f>SUM(B44:E44)</f>
        <v>0</v>
      </c>
      <c r="I44" s="358">
        <f t="shared" si="4"/>
        <v>0</v>
      </c>
      <c r="M44" s="360"/>
    </row>
    <row r="45" spans="1:13" ht="12" thickTop="1"/>
  </sheetData>
  <mergeCells count="4">
    <mergeCell ref="B3:F3"/>
    <mergeCell ref="A25:A26"/>
    <mergeCell ref="B25:F25"/>
    <mergeCell ref="A3:A4"/>
  </mergeCells>
  <conditionalFormatting sqref="I5:I22 I27:I44 M5:M19 M27:M41 K5:K22">
    <cfRule type="cellIs" dxfId="122" priority="12" operator="lessThan">
      <formula>0</formula>
    </cfRule>
    <cfRule type="cellIs" dxfId="121" priority="13" operator="greaterThan">
      <formula>0</formula>
    </cfRule>
  </conditionalFormatting>
  <conditionalFormatting sqref="M1">
    <cfRule type="cellIs" priority="9" stopIfTrue="1" operator="greaterThan">
      <formula>0</formula>
    </cfRule>
  </conditionalFormatting>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dimension ref="A1:P36"/>
  <sheetViews>
    <sheetView showGridLines="0" topLeftCell="A25" zoomScaleNormal="100" workbookViewId="0">
      <selection activeCell="P29" sqref="P29"/>
    </sheetView>
  </sheetViews>
  <sheetFormatPr defaultRowHeight="15" outlineLevelCol="1"/>
  <cols>
    <col min="1" max="1" width="20.7109375" customWidth="1"/>
    <col min="2" max="6" width="13.140625" customWidth="1"/>
    <col min="7" max="7" width="23.28515625" customWidth="1"/>
    <col min="8" max="8" width="14.28515625" style="335" hidden="1" customWidth="1" outlineLevel="1"/>
    <col min="9" max="11" width="12.7109375" style="336" hidden="1" customWidth="1" outlineLevel="1"/>
    <col min="12" max="12" width="18" style="340" customWidth="1" collapsed="1"/>
    <col min="14" max="14" width="27.42578125" style="342" customWidth="1"/>
    <col min="16" max="16" width="24.7109375" style="342" customWidth="1"/>
    <col min="17" max="17" width="27.7109375" customWidth="1"/>
  </cols>
  <sheetData>
    <row r="1" spans="1:16">
      <c r="A1" s="99" t="s">
        <v>209</v>
      </c>
      <c r="B1" s="20"/>
      <c r="C1" s="20"/>
      <c r="D1" s="20"/>
      <c r="E1" s="20"/>
      <c r="F1" s="20"/>
      <c r="H1" s="1568" t="s">
        <v>1056</v>
      </c>
      <c r="I1" s="1569"/>
      <c r="J1" s="1569"/>
      <c r="K1" s="1569"/>
      <c r="L1" s="1570"/>
      <c r="N1" s="348" t="s">
        <v>1060</v>
      </c>
      <c r="P1" s="350" t="s">
        <v>1058</v>
      </c>
    </row>
    <row r="2" spans="1:16" ht="15.75" thickBot="1">
      <c r="A2" s="20" t="s">
        <v>8</v>
      </c>
      <c r="B2" s="20"/>
      <c r="C2" s="20"/>
      <c r="D2" s="20"/>
      <c r="E2" s="20"/>
      <c r="F2" s="20"/>
      <c r="N2" s="358"/>
    </row>
    <row r="3" spans="1:16" ht="16.5" thickTop="1" thickBot="1">
      <c r="A3" s="1579" t="s">
        <v>131</v>
      </c>
      <c r="B3" s="1565" t="s">
        <v>2</v>
      </c>
      <c r="C3" s="1566"/>
      <c r="D3" s="1566"/>
      <c r="E3" s="1566"/>
      <c r="F3" s="1567"/>
      <c r="N3" s="358"/>
    </row>
    <row r="4" spans="1:16" s="4" customFormat="1" ht="33" customHeight="1" thickTop="1" thickBot="1">
      <c r="A4" s="1581"/>
      <c r="B4" s="21" t="s">
        <v>32</v>
      </c>
      <c r="C4" s="21" t="s">
        <v>124</v>
      </c>
      <c r="D4" s="102" t="s">
        <v>210</v>
      </c>
      <c r="E4" s="592" t="s">
        <v>211</v>
      </c>
      <c r="F4" s="21" t="s">
        <v>30</v>
      </c>
      <c r="H4" s="59" t="s">
        <v>32</v>
      </c>
      <c r="I4" s="59" t="s">
        <v>124</v>
      </c>
      <c r="J4" s="59" t="s">
        <v>210</v>
      </c>
      <c r="K4" s="59" t="s">
        <v>211</v>
      </c>
      <c r="L4" s="59" t="s">
        <v>30</v>
      </c>
      <c r="N4" s="59" t="s">
        <v>472</v>
      </c>
      <c r="P4" s="59" t="s">
        <v>30</v>
      </c>
    </row>
    <row r="5" spans="1:16" ht="21" customHeight="1" thickTop="1" thickBot="1">
      <c r="A5" s="86" t="s">
        <v>212</v>
      </c>
      <c r="B5" s="85">
        <f>SUM(B6:B10)</f>
        <v>0</v>
      </c>
      <c r="C5" s="85">
        <f>SUM(C6:C10)</f>
        <v>0</v>
      </c>
      <c r="D5" s="85">
        <f t="shared" ref="D5:E5" si="0">SUM(D6:D10)</f>
        <v>0</v>
      </c>
      <c r="E5" s="85">
        <f t="shared" si="0"/>
        <v>0</v>
      </c>
      <c r="F5" s="143">
        <f>SUM(B5:E5)</f>
        <v>0</v>
      </c>
      <c r="H5" s="338">
        <f>SUM(B6:B10)-B5</f>
        <v>0</v>
      </c>
      <c r="I5" s="337">
        <f t="shared" ref="I5:K5" si="1">SUM(C6:C10)-C5</f>
        <v>0</v>
      </c>
      <c r="J5" s="337">
        <f t="shared" si="1"/>
        <v>0</v>
      </c>
      <c r="K5" s="337">
        <f t="shared" si="1"/>
        <v>0</v>
      </c>
      <c r="L5" s="341">
        <f>SUM(B5:E5)-F5</f>
        <v>0</v>
      </c>
      <c r="N5" s="349">
        <f>B5-F23</f>
        <v>0</v>
      </c>
      <c r="P5" s="349">
        <f>F5-'BS old'!$D$105-'BS old'!$D$107</f>
        <v>0</v>
      </c>
    </row>
    <row r="6" spans="1:16" ht="21" customHeight="1" thickTop="1" thickBot="1">
      <c r="A6" s="108"/>
      <c r="B6" s="79"/>
      <c r="C6" s="79"/>
      <c r="D6" s="144"/>
      <c r="E6" s="144"/>
      <c r="F6" s="145">
        <f t="shared" ref="F6:F17" si="2">SUM(B6:E6)</f>
        <v>0</v>
      </c>
      <c r="L6" s="341">
        <f>SUM(B6:E6)-F6</f>
        <v>0</v>
      </c>
      <c r="N6" s="349">
        <f>B6-F24</f>
        <v>0</v>
      </c>
    </row>
    <row r="7" spans="1:16" ht="21" customHeight="1" thickBot="1">
      <c r="A7" s="108"/>
      <c r="B7" s="79"/>
      <c r="C7" s="79"/>
      <c r="D7" s="120"/>
      <c r="E7" s="120"/>
      <c r="F7" s="145">
        <f t="shared" si="2"/>
        <v>0</v>
      </c>
      <c r="L7" s="341">
        <f t="shared" ref="L7:L10" si="3">SUM(B7:E7)-F7</f>
        <v>0</v>
      </c>
      <c r="N7" s="349">
        <f t="shared" ref="N7:N17" si="4">B7-F25</f>
        <v>0</v>
      </c>
    </row>
    <row r="8" spans="1:16" ht="21" customHeight="1" thickBot="1">
      <c r="A8" s="108"/>
      <c r="B8" s="79"/>
      <c r="C8" s="79"/>
      <c r="D8" s="120"/>
      <c r="E8" s="120"/>
      <c r="F8" s="145">
        <f t="shared" si="2"/>
        <v>0</v>
      </c>
      <c r="L8" s="341">
        <f t="shared" si="3"/>
        <v>0</v>
      </c>
      <c r="N8" s="349">
        <f t="shared" si="4"/>
        <v>0</v>
      </c>
    </row>
    <row r="9" spans="1:16" ht="21" customHeight="1" thickBot="1">
      <c r="A9" s="108"/>
      <c r="B9" s="79"/>
      <c r="C9" s="79"/>
      <c r="D9" s="120"/>
      <c r="E9" s="120"/>
      <c r="F9" s="145">
        <f t="shared" si="2"/>
        <v>0</v>
      </c>
      <c r="L9" s="341">
        <f t="shared" si="3"/>
        <v>0</v>
      </c>
      <c r="N9" s="349">
        <f t="shared" si="4"/>
        <v>0</v>
      </c>
    </row>
    <row r="10" spans="1:16" ht="21" customHeight="1" thickBot="1">
      <c r="A10" s="150"/>
      <c r="B10" s="85"/>
      <c r="C10" s="85"/>
      <c r="D10" s="146"/>
      <c r="E10" s="146"/>
      <c r="F10" s="147">
        <f t="shared" si="2"/>
        <v>0</v>
      </c>
      <c r="L10" s="341">
        <f t="shared" si="3"/>
        <v>0</v>
      </c>
      <c r="N10" s="349">
        <f t="shared" si="4"/>
        <v>0</v>
      </c>
    </row>
    <row r="11" spans="1:16" ht="21" customHeight="1" thickTop="1" thickBot="1">
      <c r="A11" s="86" t="s">
        <v>213</v>
      </c>
      <c r="B11" s="85">
        <f>SUM(B12:B17)</f>
        <v>0</v>
      </c>
      <c r="C11" s="85">
        <f>SUM(C12:C17)</f>
        <v>0</v>
      </c>
      <c r="D11" s="85">
        <f t="shared" ref="D11:E11" si="5">SUM(D12:D17)</f>
        <v>0</v>
      </c>
      <c r="E11" s="85">
        <f t="shared" si="5"/>
        <v>0</v>
      </c>
      <c r="F11" s="143">
        <f>SUM(B11:E11)</f>
        <v>0</v>
      </c>
      <c r="H11" s="338">
        <f>SUM(B12:B17)-B11</f>
        <v>0</v>
      </c>
      <c r="I11" s="337">
        <f t="shared" ref="I11:K11" si="6">SUM(C12:C17)-C11</f>
        <v>0</v>
      </c>
      <c r="J11" s="337">
        <f t="shared" si="6"/>
        <v>0</v>
      </c>
      <c r="K11" s="337">
        <f t="shared" si="6"/>
        <v>0</v>
      </c>
      <c r="L11" s="341">
        <f>SUM(B11:E11)-F11</f>
        <v>0</v>
      </c>
      <c r="N11" s="349">
        <f t="shared" si="4"/>
        <v>0</v>
      </c>
      <c r="P11" s="349">
        <f>F11-'BS old'!$D$106-'BS old'!$D$108</f>
        <v>0</v>
      </c>
    </row>
    <row r="12" spans="1:16" ht="21" customHeight="1" thickTop="1" thickBot="1">
      <c r="A12" s="108"/>
      <c r="B12" s="79"/>
      <c r="C12" s="79"/>
      <c r="D12" s="144"/>
      <c r="E12" s="144"/>
      <c r="F12" s="145">
        <f t="shared" si="2"/>
        <v>0</v>
      </c>
      <c r="L12" s="341">
        <f>SUM(B12:E12)-F12</f>
        <v>0</v>
      </c>
      <c r="N12" s="349">
        <f t="shared" si="4"/>
        <v>0</v>
      </c>
    </row>
    <row r="13" spans="1:16" ht="21" customHeight="1" thickBot="1">
      <c r="A13" s="108"/>
      <c r="B13" s="79"/>
      <c r="C13" s="79"/>
      <c r="D13" s="120"/>
      <c r="E13" s="120"/>
      <c r="F13" s="145">
        <f t="shared" si="2"/>
        <v>0</v>
      </c>
      <c r="L13" s="341">
        <f>SUM(B13:E13)-F13</f>
        <v>0</v>
      </c>
      <c r="N13" s="349">
        <f>B13-F31</f>
        <v>0</v>
      </c>
    </row>
    <row r="14" spans="1:16" ht="21" customHeight="1" thickBot="1">
      <c r="A14" s="108"/>
      <c r="B14" s="79"/>
      <c r="C14" s="79"/>
      <c r="D14" s="120"/>
      <c r="E14" s="120"/>
      <c r="F14" s="145">
        <f t="shared" si="2"/>
        <v>0</v>
      </c>
      <c r="L14" s="341">
        <f t="shared" ref="L14:L17" si="7">SUM(B14:E14)-F14</f>
        <v>0</v>
      </c>
      <c r="N14" s="349">
        <f t="shared" si="4"/>
        <v>0</v>
      </c>
    </row>
    <row r="15" spans="1:16" ht="21" customHeight="1" thickBot="1">
      <c r="A15" s="108"/>
      <c r="B15" s="79"/>
      <c r="C15" s="79"/>
      <c r="D15" s="120"/>
      <c r="E15" s="120"/>
      <c r="F15" s="145">
        <f t="shared" si="2"/>
        <v>0</v>
      </c>
      <c r="L15" s="341">
        <f t="shared" si="7"/>
        <v>0</v>
      </c>
      <c r="N15" s="349">
        <f t="shared" si="4"/>
        <v>0</v>
      </c>
    </row>
    <row r="16" spans="1:16" ht="21" customHeight="1" thickBot="1">
      <c r="A16" s="108"/>
      <c r="B16" s="79"/>
      <c r="C16" s="79"/>
      <c r="D16" s="120"/>
      <c r="E16" s="120"/>
      <c r="F16" s="145">
        <f t="shared" si="2"/>
        <v>0</v>
      </c>
      <c r="L16" s="341">
        <f t="shared" si="7"/>
        <v>0</v>
      </c>
      <c r="N16" s="349">
        <f t="shared" si="4"/>
        <v>0</v>
      </c>
    </row>
    <row r="17" spans="1:16" ht="21" customHeight="1" thickBot="1">
      <c r="A17" s="150"/>
      <c r="B17" s="81"/>
      <c r="C17" s="81"/>
      <c r="D17" s="148"/>
      <c r="E17" s="148"/>
      <c r="F17" s="149">
        <f t="shared" si="2"/>
        <v>0</v>
      </c>
      <c r="L17" s="341">
        <f t="shared" si="7"/>
        <v>0</v>
      </c>
      <c r="N17" s="349">
        <f t="shared" si="4"/>
        <v>0</v>
      </c>
    </row>
    <row r="18" spans="1:16" ht="15.75" thickTop="1">
      <c r="A18" s="4"/>
      <c r="B18" s="4"/>
      <c r="C18" s="4"/>
      <c r="D18" s="4"/>
      <c r="E18" s="4"/>
      <c r="F18" s="4"/>
      <c r="N18" s="349"/>
    </row>
    <row r="19" spans="1:16" ht="16.5">
      <c r="A19" s="2"/>
      <c r="N19" s="349"/>
    </row>
    <row r="20" spans="1:16" ht="15.75" thickBot="1">
      <c r="A20" s="20" t="s">
        <v>15</v>
      </c>
      <c r="B20" s="20"/>
      <c r="C20" s="20"/>
      <c r="D20" s="20"/>
      <c r="E20" s="20"/>
      <c r="F20" s="20"/>
      <c r="N20" s="349"/>
    </row>
    <row r="21" spans="1:16" ht="16.5" thickTop="1" thickBot="1">
      <c r="A21" s="1579" t="s">
        <v>131</v>
      </c>
      <c r="B21" s="1565" t="s">
        <v>3</v>
      </c>
      <c r="C21" s="1566"/>
      <c r="D21" s="1566"/>
      <c r="E21" s="1566"/>
      <c r="F21" s="1567"/>
      <c r="N21" s="349"/>
    </row>
    <row r="22" spans="1:16" s="4" customFormat="1" ht="35.25" thickTop="1" thickBot="1">
      <c r="A22" s="1581"/>
      <c r="B22" s="21" t="s">
        <v>32</v>
      </c>
      <c r="C22" s="21" t="s">
        <v>124</v>
      </c>
      <c r="D22" s="102" t="s">
        <v>210</v>
      </c>
      <c r="E22" s="30" t="s">
        <v>211</v>
      </c>
      <c r="F22" s="21" t="s">
        <v>30</v>
      </c>
      <c r="H22" s="362"/>
      <c r="I22" s="361"/>
      <c r="J22" s="361"/>
      <c r="K22" s="361"/>
      <c r="L22" s="344"/>
      <c r="N22" s="349"/>
      <c r="P22" s="363"/>
    </row>
    <row r="23" spans="1:16" ht="21" customHeight="1" thickTop="1" thickBot="1">
      <c r="A23" s="150" t="s">
        <v>212</v>
      </c>
      <c r="B23" s="85">
        <f>SUM(B24:B28)</f>
        <v>0</v>
      </c>
      <c r="C23" s="85">
        <f>SUM(C24:C28)</f>
        <v>0</v>
      </c>
      <c r="D23" s="85">
        <f t="shared" ref="D23" si="8">SUM(D24:D28)</f>
        <v>0</v>
      </c>
      <c r="E23" s="85">
        <f t="shared" ref="E23" si="9">SUM(E24:E28)</f>
        <v>0</v>
      </c>
      <c r="F23" s="143">
        <f>SUM(B23:E23)</f>
        <v>0</v>
      </c>
      <c r="H23" s="338">
        <f>SUM(B24:B28)-B23</f>
        <v>0</v>
      </c>
      <c r="I23" s="337">
        <f t="shared" ref="I23" si="10">SUM(C24:C28)-C23</f>
        <v>0</v>
      </c>
      <c r="J23" s="337">
        <f t="shared" ref="J23" si="11">SUM(D24:D28)-D23</f>
        <v>0</v>
      </c>
      <c r="K23" s="337">
        <f t="shared" ref="K23" si="12">SUM(E24:E28)-E23</f>
        <v>0</v>
      </c>
      <c r="L23" s="341">
        <f>SUM(B23:E23)-F23</f>
        <v>0</v>
      </c>
      <c r="N23" s="349"/>
      <c r="P23" s="349">
        <f>F23-'BS old'!E105-'BS old'!E107</f>
        <v>0</v>
      </c>
    </row>
    <row r="24" spans="1:16" ht="21" customHeight="1" thickTop="1" thickBot="1">
      <c r="A24" s="108"/>
      <c r="B24" s="79"/>
      <c r="C24" s="79"/>
      <c r="D24" s="144"/>
      <c r="E24" s="144"/>
      <c r="F24" s="145">
        <f t="shared" ref="F24:F35" si="13">SUM(B24:E24)</f>
        <v>0</v>
      </c>
      <c r="L24" s="341">
        <f>SUM(B24:E24)-F24</f>
        <v>0</v>
      </c>
      <c r="N24" s="349"/>
    </row>
    <row r="25" spans="1:16" ht="21" customHeight="1" thickBot="1">
      <c r="A25" s="108"/>
      <c r="B25" s="79"/>
      <c r="C25" s="79"/>
      <c r="D25" s="120"/>
      <c r="E25" s="120"/>
      <c r="F25" s="145">
        <f t="shared" si="13"/>
        <v>0</v>
      </c>
      <c r="L25" s="341">
        <f t="shared" ref="L25:L28" si="14">SUM(B25:E25)-F25</f>
        <v>0</v>
      </c>
      <c r="N25" s="349"/>
    </row>
    <row r="26" spans="1:16" ht="21" customHeight="1" thickBot="1">
      <c r="A26" s="108"/>
      <c r="B26" s="79"/>
      <c r="C26" s="79"/>
      <c r="D26" s="120"/>
      <c r="E26" s="120"/>
      <c r="F26" s="145">
        <f t="shared" si="13"/>
        <v>0</v>
      </c>
      <c r="L26" s="341">
        <f t="shared" si="14"/>
        <v>0</v>
      </c>
      <c r="N26" s="349"/>
    </row>
    <row r="27" spans="1:16" ht="21" customHeight="1" thickBot="1">
      <c r="A27" s="108"/>
      <c r="B27" s="79"/>
      <c r="C27" s="79"/>
      <c r="D27" s="120"/>
      <c r="E27" s="120"/>
      <c r="F27" s="145">
        <f t="shared" si="13"/>
        <v>0</v>
      </c>
      <c r="L27" s="341">
        <f t="shared" si="14"/>
        <v>0</v>
      </c>
      <c r="N27" s="349"/>
    </row>
    <row r="28" spans="1:16" ht="21" customHeight="1" thickBot="1">
      <c r="A28" s="150"/>
      <c r="B28" s="85"/>
      <c r="C28" s="85"/>
      <c r="D28" s="146"/>
      <c r="E28" s="146"/>
      <c r="F28" s="147">
        <f t="shared" si="13"/>
        <v>0</v>
      </c>
      <c r="L28" s="341">
        <f t="shared" si="14"/>
        <v>0</v>
      </c>
      <c r="N28" s="349"/>
    </row>
    <row r="29" spans="1:16" ht="21" customHeight="1" thickTop="1" thickBot="1">
      <c r="A29" s="150" t="s">
        <v>213</v>
      </c>
      <c r="B29" s="85">
        <f>SUM(B30:B34)</f>
        <v>0</v>
      </c>
      <c r="C29" s="85">
        <f>SUM(C30:C34)</f>
        <v>0</v>
      </c>
      <c r="D29" s="85">
        <f t="shared" ref="D29" si="15">SUM(D30:D34)</f>
        <v>0</v>
      </c>
      <c r="E29" s="85">
        <f t="shared" ref="E29" si="16">SUM(E30:E34)</f>
        <v>0</v>
      </c>
      <c r="F29" s="143">
        <f>SUM(B29:E29)</f>
        <v>0</v>
      </c>
      <c r="H29" s="338">
        <f>SUM(B30:B35)-B29</f>
        <v>0</v>
      </c>
      <c r="I29" s="337">
        <f t="shared" ref="I29" si="17">SUM(C30:C35)-C29</f>
        <v>0</v>
      </c>
      <c r="J29" s="337">
        <f t="shared" ref="J29" si="18">SUM(D30:D35)-D29</f>
        <v>0</v>
      </c>
      <c r="K29" s="337">
        <f t="shared" ref="K29" si="19">SUM(E30:E35)-E29</f>
        <v>0</v>
      </c>
      <c r="L29" s="341">
        <f>SUM(B29:E29)-F29</f>
        <v>0</v>
      </c>
      <c r="N29" s="349"/>
      <c r="P29" s="349">
        <f>F29-'BS old'!E106-'BS old'!E108</f>
        <v>0</v>
      </c>
    </row>
    <row r="30" spans="1:16" ht="21" customHeight="1" thickTop="1" thickBot="1">
      <c r="A30" s="108"/>
      <c r="B30" s="79"/>
      <c r="C30" s="79"/>
      <c r="D30" s="144"/>
      <c r="E30" s="144"/>
      <c r="F30" s="145">
        <f t="shared" si="13"/>
        <v>0</v>
      </c>
      <c r="L30" s="341">
        <f>SUM(B30:E30)-F30</f>
        <v>0</v>
      </c>
      <c r="N30" s="349"/>
    </row>
    <row r="31" spans="1:16" ht="21" customHeight="1" thickBot="1">
      <c r="A31" s="108"/>
      <c r="B31" s="79"/>
      <c r="C31" s="79"/>
      <c r="D31" s="120"/>
      <c r="E31" s="120"/>
      <c r="F31" s="145">
        <f t="shared" si="13"/>
        <v>0</v>
      </c>
      <c r="L31" s="341">
        <f t="shared" ref="L31:L35" si="20">SUM(B31:E31)-F31</f>
        <v>0</v>
      </c>
      <c r="N31" s="349"/>
    </row>
    <row r="32" spans="1:16" ht="21" customHeight="1" thickBot="1">
      <c r="A32" s="108"/>
      <c r="B32" s="79"/>
      <c r="C32" s="79"/>
      <c r="D32" s="120"/>
      <c r="E32" s="120"/>
      <c r="F32" s="145">
        <f t="shared" si="13"/>
        <v>0</v>
      </c>
      <c r="L32" s="341">
        <f t="shared" si="20"/>
        <v>0</v>
      </c>
      <c r="N32" s="349"/>
    </row>
    <row r="33" spans="1:14" ht="21" customHeight="1" thickBot="1">
      <c r="A33" s="108"/>
      <c r="B33" s="79"/>
      <c r="C33" s="79"/>
      <c r="D33" s="120"/>
      <c r="E33" s="120"/>
      <c r="F33" s="145">
        <f t="shared" si="13"/>
        <v>0</v>
      </c>
      <c r="L33" s="341">
        <f t="shared" si="20"/>
        <v>0</v>
      </c>
      <c r="N33" s="349"/>
    </row>
    <row r="34" spans="1:14" ht="21" customHeight="1" thickBot="1">
      <c r="A34" s="108"/>
      <c r="B34" s="79"/>
      <c r="C34" s="79"/>
      <c r="D34" s="120"/>
      <c r="E34" s="120"/>
      <c r="F34" s="145">
        <f t="shared" si="13"/>
        <v>0</v>
      </c>
      <c r="L34" s="341">
        <f t="shared" si="20"/>
        <v>0</v>
      </c>
      <c r="N34" s="349"/>
    </row>
    <row r="35" spans="1:14" ht="21" customHeight="1" thickBot="1">
      <c r="A35" s="150"/>
      <c r="B35" s="81"/>
      <c r="C35" s="81"/>
      <c r="D35" s="148"/>
      <c r="E35" s="148"/>
      <c r="F35" s="149">
        <f t="shared" si="13"/>
        <v>0</v>
      </c>
      <c r="L35" s="341">
        <f t="shared" si="20"/>
        <v>0</v>
      </c>
      <c r="N35" s="349"/>
    </row>
    <row r="36" spans="1:14" ht="15.75" thickTop="1"/>
  </sheetData>
  <mergeCells count="5">
    <mergeCell ref="B21:F21"/>
    <mergeCell ref="A21:A22"/>
    <mergeCell ref="A3:A4"/>
    <mergeCell ref="B3:F3"/>
    <mergeCell ref="H1:L1"/>
  </mergeCells>
  <conditionalFormatting sqref="H5:K35">
    <cfRule type="cellIs" dxfId="120" priority="31" operator="lessThan">
      <formula>0</formula>
    </cfRule>
    <cfRule type="cellIs" dxfId="119" priority="32" operator="greaterThan">
      <formula>0</formula>
    </cfRule>
  </conditionalFormatting>
  <conditionalFormatting sqref="H5:L36">
    <cfRule type="cellIs" dxfId="118" priority="26" operator="lessThan">
      <formula>0</formula>
    </cfRule>
    <cfRule type="cellIs" dxfId="117" priority="27" operator="greaterThan">
      <formula>0</formula>
    </cfRule>
    <cfRule type="cellIs" priority="28" stopIfTrue="1" operator="greaterThan">
      <formula>0</formula>
    </cfRule>
    <cfRule type="cellIs" priority="29" stopIfTrue="1" operator="greaterThan">
      <formula>0</formula>
    </cfRule>
    <cfRule type="cellIs" priority="30" stopIfTrue="1" operator="greaterThan">
      <formula>0</formula>
    </cfRule>
  </conditionalFormatting>
  <conditionalFormatting sqref="P1">
    <cfRule type="cellIs" priority="25" stopIfTrue="1" operator="greaterThan">
      <formula>0</formula>
    </cfRule>
  </conditionalFormatting>
  <conditionalFormatting sqref="N5:N17">
    <cfRule type="cellIs" dxfId="116" priority="23" operator="lessThan">
      <formula>0</formula>
    </cfRule>
    <cfRule type="cellIs" dxfId="115" priority="24" operator="greaterThan">
      <formula>0</formula>
    </cfRule>
  </conditionalFormatting>
  <conditionalFormatting sqref="P5:P29">
    <cfRule type="cellIs" dxfId="114" priority="21" operator="lessThan">
      <formula>0</formula>
    </cfRule>
    <cfRule type="cellIs" dxfId="113" priority="22" operator="greaterThan">
      <formula>0</formula>
    </cfRule>
  </conditionalFormatting>
  <conditionalFormatting sqref="L5">
    <cfRule type="cellIs" dxfId="112" priority="16" operator="lessThan">
      <formula>0</formula>
    </cfRule>
    <cfRule type="cellIs" dxfId="111" priority="17" operator="greaterThan">
      <formula>0</formula>
    </cfRule>
    <cfRule type="cellIs" priority="18" stopIfTrue="1" operator="greaterThan">
      <formula>0</formula>
    </cfRule>
    <cfRule type="cellIs" priority="19" stopIfTrue="1" operator="greaterThan">
      <formula>0</formula>
    </cfRule>
    <cfRule type="cellIs" priority="20" stopIfTrue="1" operator="greaterThan">
      <formula>0</formula>
    </cfRule>
  </conditionalFormatting>
  <conditionalFormatting sqref="L11">
    <cfRule type="cellIs" dxfId="110" priority="11" operator="lessThan">
      <formula>0</formula>
    </cfRule>
    <cfRule type="cellIs" dxfId="109" priority="12" operator="greaterThan">
      <formula>0</formula>
    </cfRule>
    <cfRule type="cellIs" priority="13" stopIfTrue="1" operator="greaterThan">
      <formula>0</formula>
    </cfRule>
    <cfRule type="cellIs" priority="14" stopIfTrue="1" operator="greaterThan">
      <formula>0</formula>
    </cfRule>
    <cfRule type="cellIs" priority="15" stopIfTrue="1" operator="greaterThan">
      <formula>0</formula>
    </cfRule>
  </conditionalFormatting>
  <conditionalFormatting sqref="L23">
    <cfRule type="cellIs" dxfId="108" priority="6" operator="lessThan">
      <formula>0</formula>
    </cfRule>
    <cfRule type="cellIs" dxfId="107" priority="7" operator="greaterThan">
      <formula>0</formula>
    </cfRule>
    <cfRule type="cellIs" priority="8" stopIfTrue="1" operator="greaterThan">
      <formula>0</formula>
    </cfRule>
    <cfRule type="cellIs" priority="9" stopIfTrue="1" operator="greaterThan">
      <formula>0</formula>
    </cfRule>
    <cfRule type="cellIs" priority="10" stopIfTrue="1" operator="greaterThan">
      <formula>0</formula>
    </cfRule>
  </conditionalFormatting>
  <conditionalFormatting sqref="L29">
    <cfRule type="cellIs" dxfId="106" priority="1" operator="lessThan">
      <formula>0</formula>
    </cfRule>
    <cfRule type="cellIs" dxfId="105" priority="2" operator="greaterThan">
      <formula>0</formula>
    </cfRule>
    <cfRule type="cellIs" priority="3" stopIfTrue="1" operator="greaterThan">
      <formula>0</formula>
    </cfRule>
    <cfRule type="cellIs" priority="4" stopIfTrue="1" operator="greaterThan">
      <formula>0</formula>
    </cfRule>
    <cfRule type="cellIs" priority="5" stopIfTrue="1" operator="greaterThan">
      <formula>0</formula>
    </cfRule>
  </conditionalFormatting>
  <pageMargins left="0.7" right="0.7" top="0.75" bottom="0.75" header="0.3" footer="0.3"/>
  <pageSetup paperSize="9" orientation="portrait" horizontalDpi="300" verticalDpi="30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dimension ref="A1:I9"/>
  <sheetViews>
    <sheetView showGridLines="0" zoomScaleNormal="100" workbookViewId="0">
      <selection activeCell="A3" sqref="A3:A8"/>
    </sheetView>
  </sheetViews>
  <sheetFormatPr defaultRowHeight="15"/>
  <cols>
    <col min="1" max="1" width="32" customWidth="1"/>
    <col min="2" max="3" width="27.28515625" customWidth="1"/>
    <col min="4" max="4" width="14.140625" customWidth="1"/>
    <col min="5" max="5" width="25.28515625" style="335" customWidth="1"/>
    <col min="6" max="6" width="25.28515625" style="340" customWidth="1"/>
    <col min="7" max="7" width="5.85546875" customWidth="1"/>
    <col min="8" max="8" width="29.42578125" style="335" customWidth="1"/>
    <col min="9" max="9" width="30.85546875" style="340" customWidth="1"/>
  </cols>
  <sheetData>
    <row r="1" spans="1:9" ht="17.25" thickBot="1">
      <c r="A1" s="1" t="s">
        <v>214</v>
      </c>
      <c r="E1" s="1574" t="s">
        <v>1056</v>
      </c>
      <c r="F1" s="1576"/>
      <c r="H1" s="1574" t="s">
        <v>1058</v>
      </c>
      <c r="I1" s="1576"/>
    </row>
    <row r="2" spans="1:9" ht="26.25" customHeight="1" thickTop="1" thickBot="1">
      <c r="A2" s="84" t="s">
        <v>131</v>
      </c>
      <c r="B2" s="38" t="s">
        <v>2</v>
      </c>
      <c r="C2" s="38" t="s">
        <v>3</v>
      </c>
      <c r="E2" s="59" t="s">
        <v>2</v>
      </c>
      <c r="F2" s="177" t="s">
        <v>3</v>
      </c>
      <c r="H2" s="59" t="s">
        <v>2</v>
      </c>
      <c r="I2" s="177" t="s">
        <v>3</v>
      </c>
    </row>
    <row r="3" spans="1:9" ht="20.25" customHeight="1" thickTop="1" thickBot="1">
      <c r="A3" s="14" t="s">
        <v>215</v>
      </c>
      <c r="B3" s="151"/>
      <c r="C3" s="152"/>
    </row>
    <row r="4" spans="1:9" ht="20.25" customHeight="1" thickBot="1">
      <c r="A4" s="14" t="s">
        <v>473</v>
      </c>
      <c r="B4" s="151"/>
      <c r="C4" s="152"/>
    </row>
    <row r="5" spans="1:9" ht="20.25" customHeight="1" thickBot="1">
      <c r="A5" s="44" t="s">
        <v>216</v>
      </c>
      <c r="B5" s="79">
        <f>B3+B4</f>
        <v>0</v>
      </c>
      <c r="C5" s="80">
        <f>C3+C4</f>
        <v>0</v>
      </c>
      <c r="E5" s="338">
        <f>SUM(B3:B4)-B5</f>
        <v>0</v>
      </c>
      <c r="F5" s="341">
        <f>SUM(C3:C4)-C5</f>
        <v>0</v>
      </c>
      <c r="H5" s="338">
        <f>B5-'BS old'!$D$121</f>
        <v>0</v>
      </c>
      <c r="I5" s="341">
        <f>C5-'BS old'!$E$121</f>
        <v>0</v>
      </c>
    </row>
    <row r="6" spans="1:9" ht="20.25" customHeight="1" thickBot="1">
      <c r="A6" s="14" t="s">
        <v>217</v>
      </c>
      <c r="B6" s="79"/>
      <c r="C6" s="80"/>
    </row>
    <row r="7" spans="1:9" ht="20.25" customHeight="1" thickBot="1">
      <c r="A7" s="14" t="s">
        <v>218</v>
      </c>
      <c r="B7" s="153"/>
      <c r="C7" s="126"/>
    </row>
    <row r="8" spans="1:9" ht="20.25" customHeight="1" thickBot="1">
      <c r="A8" s="25" t="s">
        <v>219</v>
      </c>
      <c r="B8" s="146">
        <f>B6+B7</f>
        <v>0</v>
      </c>
      <c r="C8" s="127">
        <f>C6+C7</f>
        <v>0</v>
      </c>
      <c r="E8" s="338">
        <f>SUM(B6:B7)-B8</f>
        <v>0</v>
      </c>
      <c r="F8" s="341">
        <f>SUM(C6:C7)-C8</f>
        <v>0</v>
      </c>
      <c r="H8" s="338">
        <f>B8-'BS old'!$D$109</f>
        <v>0</v>
      </c>
      <c r="I8" s="341">
        <f>C8-'BS old'!$E$109</f>
        <v>0</v>
      </c>
    </row>
    <row r="9" spans="1:9" ht="15.75" thickTop="1"/>
  </sheetData>
  <mergeCells count="2">
    <mergeCell ref="E1:F1"/>
    <mergeCell ref="H1:I1"/>
  </mergeCells>
  <conditionalFormatting sqref="H1">
    <cfRule type="cellIs" priority="3" stopIfTrue="1" operator="greaterThan">
      <formula>0</formula>
    </cfRule>
  </conditionalFormatting>
  <conditionalFormatting sqref="E3:I12">
    <cfRule type="cellIs" dxfId="104" priority="1" operator="lessThan">
      <formula>0</formula>
    </cfRule>
    <cfRule type="cellIs" dxfId="103" priority="2" operator="greaterThan">
      <formula>0</formula>
    </cfRule>
  </conditionalFormatting>
  <pageMargins left="0.7" right="0.7" top="0.75" bottom="0.75" header="0.3" footer="0.3"/>
  <pageSetup paperSize="9" orientation="portrait" horizontalDpi="300" verticalDpi="30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dimension ref="A1:I10"/>
  <sheetViews>
    <sheetView showGridLines="0" zoomScaleNormal="100" workbookViewId="0">
      <selection activeCell="H9" sqref="H2:I9"/>
    </sheetView>
  </sheetViews>
  <sheetFormatPr defaultRowHeight="15"/>
  <cols>
    <col min="1" max="1" width="33" customWidth="1"/>
    <col min="2" max="3" width="26.7109375" customWidth="1"/>
    <col min="4" max="4" width="14.140625" customWidth="1"/>
    <col min="5" max="5" width="27.85546875" style="335" customWidth="1"/>
    <col min="6" max="6" width="27.85546875" style="340" customWidth="1"/>
    <col min="7" max="7" width="10.42578125" customWidth="1"/>
    <col min="8" max="8" width="23.140625" style="335" customWidth="1"/>
    <col min="9" max="9" width="23.140625" style="340" customWidth="1"/>
  </cols>
  <sheetData>
    <row r="1" spans="1:9" ht="17.25" thickBot="1">
      <c r="A1" s="1" t="s">
        <v>478</v>
      </c>
      <c r="E1" s="1574" t="s">
        <v>1056</v>
      </c>
      <c r="F1" s="1576"/>
      <c r="H1" s="1574" t="s">
        <v>1058</v>
      </c>
      <c r="I1" s="1576"/>
    </row>
    <row r="2" spans="1:9" ht="21.75" customHeight="1" thickTop="1" thickBot="1">
      <c r="A2" s="59" t="s">
        <v>131</v>
      </c>
      <c r="B2" s="38" t="s">
        <v>2</v>
      </c>
      <c r="C2" s="38" t="s">
        <v>3</v>
      </c>
      <c r="E2" s="59" t="s">
        <v>2</v>
      </c>
      <c r="F2" s="177" t="s">
        <v>3</v>
      </c>
      <c r="H2" s="59" t="s">
        <v>2</v>
      </c>
      <c r="I2" s="177" t="s">
        <v>3</v>
      </c>
    </row>
    <row r="3" spans="1:9" ht="21.75" customHeight="1" thickTop="1" thickBot="1">
      <c r="A3" s="103" t="s">
        <v>234</v>
      </c>
      <c r="B3" s="79"/>
      <c r="C3" s="80"/>
    </row>
    <row r="4" spans="1:9" ht="21.75" customHeight="1" thickBot="1">
      <c r="A4" s="71" t="s">
        <v>235</v>
      </c>
      <c r="B4" s="79"/>
      <c r="C4" s="80"/>
    </row>
    <row r="5" spans="1:9" ht="21.75" customHeight="1" thickBot="1">
      <c r="A5" s="71" t="s">
        <v>236</v>
      </c>
      <c r="B5" s="79"/>
      <c r="C5" s="80"/>
    </row>
    <row r="6" spans="1:9" ht="21.75" customHeight="1" thickBot="1">
      <c r="A6" s="71" t="s">
        <v>237</v>
      </c>
      <c r="B6" s="79"/>
      <c r="C6" s="80"/>
    </row>
    <row r="7" spans="1:9" ht="21.75" customHeight="1" thickBot="1">
      <c r="A7" s="103" t="s">
        <v>238</v>
      </c>
      <c r="B7" s="79">
        <f>SUM(B4:B6)</f>
        <v>0</v>
      </c>
      <c r="C7" s="80">
        <f>SUM(C4:C6)</f>
        <v>0</v>
      </c>
      <c r="E7" s="338">
        <f>SUM(B4:B6)-B7</f>
        <v>0</v>
      </c>
      <c r="F7" s="341">
        <f>SUM(C4:C6)-C7</f>
        <v>0</v>
      </c>
    </row>
    <row r="8" spans="1:9" ht="21.75" customHeight="1" thickBot="1">
      <c r="A8" s="103" t="s">
        <v>239</v>
      </c>
      <c r="B8" s="79"/>
      <c r="C8" s="80"/>
    </row>
    <row r="9" spans="1:9" ht="21.75" customHeight="1" thickBot="1">
      <c r="A9" s="72" t="s">
        <v>240</v>
      </c>
      <c r="B9" s="85">
        <f>B3+B7+B8</f>
        <v>0</v>
      </c>
      <c r="C9" s="78">
        <f>C3+C7+C8</f>
        <v>0</v>
      </c>
      <c r="E9" s="338">
        <f>B3+B7+B8-B9</f>
        <v>0</v>
      </c>
      <c r="F9" s="341">
        <f>C3+C7+C8-C9</f>
        <v>0</v>
      </c>
      <c r="H9" s="338">
        <f>B9-'BS old'!$D$118</f>
        <v>0</v>
      </c>
      <c r="I9" s="341">
        <f>C9-'BS old'!$E$118</f>
        <v>0</v>
      </c>
    </row>
    <row r="10" spans="1:9" ht="17.25" thickTop="1">
      <c r="A10" s="2"/>
    </row>
  </sheetData>
  <mergeCells count="2">
    <mergeCell ref="E1:F1"/>
    <mergeCell ref="H1:I1"/>
  </mergeCells>
  <conditionalFormatting sqref="E7:F9">
    <cfRule type="cellIs" dxfId="102" priority="4" operator="lessThan">
      <formula>0</formula>
    </cfRule>
    <cfRule type="cellIs" dxfId="101" priority="5" operator="greaterThan">
      <formula>0</formula>
    </cfRule>
  </conditionalFormatting>
  <conditionalFormatting sqref="H1">
    <cfRule type="cellIs" priority="3" stopIfTrue="1" operator="greaterThan">
      <formula>0</formula>
    </cfRule>
  </conditionalFormatting>
  <conditionalFormatting sqref="H9:I9">
    <cfRule type="cellIs" dxfId="100" priority="1" operator="lessThan">
      <formula>0</formula>
    </cfRule>
    <cfRule type="cellIs" dxfId="99" priority="2" operator="greaterThan">
      <formula>0</formula>
    </cfRule>
  </conditionalFormatting>
  <pageMargins left="0.7" right="0.7" top="0.75" bottom="0.75" header="0.3" footer="0.3"/>
  <pageSetup paperSize="9" orientation="portrait" horizontalDpi="300" verticalDpi="300"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dimension ref="A1:F7"/>
  <sheetViews>
    <sheetView showGridLines="0" zoomScaleNormal="100" workbookViewId="0">
      <selection activeCell="B27" sqref="B27"/>
    </sheetView>
  </sheetViews>
  <sheetFormatPr defaultRowHeight="15"/>
  <cols>
    <col min="1" max="6" width="14.42578125" customWidth="1"/>
    <col min="7" max="7" width="23.28515625" customWidth="1"/>
  </cols>
  <sheetData>
    <row r="1" spans="1:6" ht="17.25" thickBot="1">
      <c r="A1" s="1" t="s">
        <v>479</v>
      </c>
    </row>
    <row r="2" spans="1:6" s="4" customFormat="1" ht="21.75" customHeight="1" thickTop="1" thickBot="1">
      <c r="A2" s="59" t="s">
        <v>241</v>
      </c>
      <c r="B2" s="38" t="s">
        <v>242</v>
      </c>
      <c r="C2" s="38" t="s">
        <v>243</v>
      </c>
      <c r="D2" s="38" t="s">
        <v>244</v>
      </c>
      <c r="E2" s="38" t="s">
        <v>245</v>
      </c>
      <c r="F2" s="38" t="s">
        <v>184</v>
      </c>
    </row>
    <row r="3" spans="1:6" ht="21.75" customHeight="1" thickTop="1" thickBot="1">
      <c r="A3" s="108"/>
      <c r="B3" s="106"/>
      <c r="C3" s="79"/>
      <c r="D3" s="79"/>
      <c r="E3" s="79"/>
      <c r="F3" s="80"/>
    </row>
    <row r="4" spans="1:6" ht="21.75" customHeight="1" thickBot="1">
      <c r="A4" s="108"/>
      <c r="B4" s="106"/>
      <c r="C4" s="79"/>
      <c r="D4" s="79"/>
      <c r="E4" s="79"/>
      <c r="F4" s="80"/>
    </row>
    <row r="5" spans="1:6" ht="21.75" customHeight="1" thickBot="1">
      <c r="A5" s="108"/>
      <c r="B5" s="106"/>
      <c r="C5" s="79"/>
      <c r="D5" s="79"/>
      <c r="E5" s="79"/>
      <c r="F5" s="80"/>
    </row>
    <row r="6" spans="1:6" ht="21.75" customHeight="1" thickBot="1">
      <c r="A6" s="109"/>
      <c r="B6" s="107"/>
      <c r="C6" s="85"/>
      <c r="D6" s="85"/>
      <c r="E6" s="85"/>
      <c r="F6" s="78"/>
    </row>
    <row r="7" spans="1:6" ht="15.75" thickTop="1"/>
  </sheetData>
  <pageMargins left="0.7" right="0.7" top="0.75" bottom="0.75" header="0.3" footer="0.3"/>
  <pageSetup paperSize="9" orientation="portrait" horizontalDpi="300" verticalDpi="300"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tabColor rgb="FFFFFF00"/>
  </sheetPr>
  <dimension ref="A1:I26"/>
  <sheetViews>
    <sheetView showGridLines="0" topLeftCell="A10" zoomScaleNormal="100" workbookViewId="0">
      <selection activeCell="H19" sqref="H19:I19"/>
    </sheetView>
  </sheetViews>
  <sheetFormatPr defaultColWidth="9.140625" defaultRowHeight="11.25"/>
  <cols>
    <col min="1" max="1" width="23" style="20" customWidth="1"/>
    <col min="2" max="2" width="8.28515625" style="20" customWidth="1"/>
    <col min="3" max="6" width="13.85546875" style="20" customWidth="1"/>
    <col min="7" max="7" width="23.28515625" style="20" customWidth="1"/>
    <col min="8" max="8" width="18.28515625" style="357" customWidth="1"/>
    <col min="9" max="9" width="18.28515625" style="356" customWidth="1"/>
    <col min="10" max="16384" width="9.140625" style="20"/>
  </cols>
  <sheetData>
    <row r="1" spans="1:9" ht="15">
      <c r="A1" s="99" t="s">
        <v>480</v>
      </c>
      <c r="H1" s="1568" t="s">
        <v>1058</v>
      </c>
      <c r="I1" s="1570"/>
    </row>
    <row r="2" spans="1:9" ht="12" thickBot="1">
      <c r="A2" s="20" t="s">
        <v>8</v>
      </c>
    </row>
    <row r="3" spans="1:9" ht="66.75" customHeight="1" thickTop="1" thickBot="1">
      <c r="A3" s="19" t="s">
        <v>131</v>
      </c>
      <c r="B3" s="19" t="s">
        <v>246</v>
      </c>
      <c r="C3" s="50" t="s">
        <v>477</v>
      </c>
      <c r="D3" s="19" t="s">
        <v>247</v>
      </c>
      <c r="E3" s="19" t="s">
        <v>248</v>
      </c>
      <c r="F3" s="19" t="s">
        <v>249</v>
      </c>
      <c r="H3" s="59" t="s">
        <v>248</v>
      </c>
      <c r="I3" s="59" t="s">
        <v>249</v>
      </c>
    </row>
    <row r="4" spans="1:9" ht="21.75" customHeight="1" thickTop="1" thickBot="1">
      <c r="A4" s="52" t="s">
        <v>250</v>
      </c>
      <c r="B4" s="87"/>
      <c r="C4" s="87"/>
      <c r="D4" s="87"/>
      <c r="E4" s="87"/>
      <c r="F4" s="83"/>
      <c r="H4" s="367">
        <f>SUM(E5:E7)-'BS old'!$D$134</f>
        <v>0</v>
      </c>
      <c r="I4" s="365">
        <f>SUM(F5:F7)-'BS old'!$E$134</f>
        <v>0</v>
      </c>
    </row>
    <row r="5" spans="1:9" ht="21.75" customHeight="1" thickTop="1" thickBot="1">
      <c r="A5" s="71"/>
      <c r="B5" s="110"/>
      <c r="C5" s="113"/>
      <c r="D5" s="117"/>
      <c r="E5" s="79"/>
      <c r="F5" s="80"/>
    </row>
    <row r="6" spans="1:9" ht="21.75" customHeight="1" thickBot="1">
      <c r="A6" s="71"/>
      <c r="B6" s="110"/>
      <c r="C6" s="113"/>
      <c r="D6" s="93"/>
      <c r="E6" s="79"/>
      <c r="F6" s="80"/>
    </row>
    <row r="7" spans="1:9" ht="21.75" customHeight="1" thickBot="1">
      <c r="A7" s="71"/>
      <c r="B7" s="110"/>
      <c r="C7" s="113"/>
      <c r="D7" s="93"/>
      <c r="E7" s="79"/>
      <c r="F7" s="80"/>
    </row>
    <row r="8" spans="1:9" ht="21.75" customHeight="1" thickBot="1">
      <c r="A8" s="100" t="s">
        <v>251</v>
      </c>
      <c r="B8" s="111"/>
      <c r="C8" s="114"/>
      <c r="D8" s="114"/>
      <c r="E8" s="114"/>
      <c r="F8" s="115"/>
      <c r="H8" s="367">
        <f>SUM(E9:E11)-'BS old'!$D$135</f>
        <v>0</v>
      </c>
      <c r="I8" s="365">
        <f>SUM(F9:F11)-'BS old'!$E$135</f>
        <v>0</v>
      </c>
    </row>
    <row r="9" spans="1:9" ht="21.75" customHeight="1" thickTop="1" thickBot="1">
      <c r="A9" s="71"/>
      <c r="B9" s="110"/>
      <c r="C9" s="113"/>
      <c r="D9" s="93"/>
      <c r="E9" s="79"/>
      <c r="F9" s="80"/>
    </row>
    <row r="10" spans="1:9" ht="21.75" customHeight="1" thickBot="1">
      <c r="A10" s="71"/>
      <c r="B10" s="110"/>
      <c r="C10" s="113"/>
      <c r="D10" s="93"/>
      <c r="E10" s="79"/>
      <c r="F10" s="80"/>
    </row>
    <row r="11" spans="1:9" ht="21.75" customHeight="1" thickBot="1">
      <c r="A11" s="72"/>
      <c r="B11" s="112"/>
      <c r="C11" s="116"/>
      <c r="D11" s="95"/>
      <c r="E11" s="85"/>
      <c r="F11" s="78"/>
    </row>
    <row r="12" spans="1:9" ht="12" thickTop="1">
      <c r="A12" s="99"/>
    </row>
    <row r="13" spans="1:9" ht="12" thickBot="1">
      <c r="A13" s="20" t="s">
        <v>15</v>
      </c>
    </row>
    <row r="14" spans="1:9" ht="66.75" customHeight="1" thickTop="1" thickBot="1">
      <c r="A14" s="19" t="s">
        <v>131</v>
      </c>
      <c r="B14" s="19" t="s">
        <v>246</v>
      </c>
      <c r="C14" s="50" t="s">
        <v>477</v>
      </c>
      <c r="D14" s="19" t="s">
        <v>247</v>
      </c>
      <c r="E14" s="19" t="s">
        <v>248</v>
      </c>
      <c r="F14" s="19" t="s">
        <v>249</v>
      </c>
    </row>
    <row r="15" spans="1:9" ht="21.75" customHeight="1" thickTop="1" thickBot="1">
      <c r="A15" s="52" t="s">
        <v>474</v>
      </c>
      <c r="B15" s="87"/>
      <c r="C15" s="87"/>
      <c r="D15" s="87"/>
      <c r="E15" s="87"/>
      <c r="F15" s="83"/>
      <c r="H15" s="368"/>
      <c r="I15" s="366"/>
    </row>
    <row r="16" spans="1:9" ht="21.75" customHeight="1" thickTop="1" thickBot="1">
      <c r="A16" s="71"/>
      <c r="B16" s="110"/>
      <c r="C16" s="113"/>
      <c r="D16" s="93"/>
      <c r="E16" s="79"/>
      <c r="F16" s="80"/>
    </row>
    <row r="17" spans="1:9" ht="21.75" customHeight="1" thickBot="1">
      <c r="A17" s="71"/>
      <c r="B17" s="110"/>
      <c r="C17" s="113"/>
      <c r="D17" s="93"/>
      <c r="E17" s="79"/>
      <c r="F17" s="80"/>
    </row>
    <row r="18" spans="1:9" ht="21.75" customHeight="1" thickBot="1">
      <c r="A18" s="71"/>
      <c r="B18" s="110"/>
      <c r="C18" s="113"/>
      <c r="D18" s="93"/>
      <c r="E18" s="79"/>
      <c r="F18" s="80"/>
    </row>
    <row r="19" spans="1:9" ht="21.75" customHeight="1" thickBot="1">
      <c r="A19" s="100" t="s">
        <v>475</v>
      </c>
      <c r="B19" s="111"/>
      <c r="C19" s="114"/>
      <c r="D19" s="114"/>
      <c r="E19" s="114"/>
      <c r="F19" s="115"/>
      <c r="H19" s="367">
        <f>SUM(E20:E22,E24:E25)-'BS old'!$D$132</f>
        <v>0</v>
      </c>
      <c r="I19" s="365">
        <f>SUM(F20:F22,F24:F25)-'BS old'!$E$132</f>
        <v>0</v>
      </c>
    </row>
    <row r="20" spans="1:9" ht="21.75" customHeight="1" thickTop="1" thickBot="1">
      <c r="A20" s="71"/>
      <c r="B20" s="110"/>
      <c r="C20" s="113"/>
      <c r="D20" s="93"/>
      <c r="E20" s="79"/>
      <c r="F20" s="80"/>
    </row>
    <row r="21" spans="1:9" ht="21.75" customHeight="1" thickBot="1">
      <c r="A21" s="71"/>
      <c r="B21" s="110"/>
      <c r="C21" s="113"/>
      <c r="D21" s="93"/>
      <c r="E21" s="79"/>
      <c r="F21" s="80"/>
    </row>
    <row r="22" spans="1:9" ht="21.75" customHeight="1" thickBot="1">
      <c r="A22" s="71"/>
      <c r="B22" s="110"/>
      <c r="C22" s="113"/>
      <c r="D22" s="93"/>
      <c r="E22" s="79"/>
      <c r="F22" s="80"/>
    </row>
    <row r="23" spans="1:9" ht="21.75" customHeight="1" thickBot="1">
      <c r="A23" s="100" t="s">
        <v>476</v>
      </c>
      <c r="B23" s="111"/>
      <c r="C23" s="114"/>
      <c r="D23" s="114"/>
      <c r="E23" s="114"/>
      <c r="F23" s="115"/>
    </row>
    <row r="24" spans="1:9" ht="21.75" customHeight="1" thickTop="1" thickBot="1">
      <c r="A24" s="71"/>
      <c r="B24" s="110"/>
      <c r="C24" s="113"/>
      <c r="D24" s="93"/>
      <c r="E24" s="79"/>
      <c r="F24" s="80"/>
    </row>
    <row r="25" spans="1:9" ht="21.75" customHeight="1" thickBot="1">
      <c r="A25" s="72"/>
      <c r="B25" s="112"/>
      <c r="C25" s="116"/>
      <c r="D25" s="95"/>
      <c r="E25" s="85"/>
      <c r="F25" s="78"/>
    </row>
    <row r="26" spans="1:9" ht="12" thickTop="1"/>
  </sheetData>
  <mergeCells count="1">
    <mergeCell ref="H1:I1"/>
  </mergeCells>
  <conditionalFormatting sqref="H1">
    <cfRule type="cellIs" priority="5" stopIfTrue="1" operator="greaterThan">
      <formula>0</formula>
    </cfRule>
  </conditionalFormatting>
  <conditionalFormatting sqref="H19:I19">
    <cfRule type="cellIs" dxfId="98" priority="3" operator="lessThan">
      <formula>0</formula>
    </cfRule>
    <cfRule type="cellIs" dxfId="97" priority="4" operator="greaterThan">
      <formula>0</formula>
    </cfRule>
  </conditionalFormatting>
  <conditionalFormatting sqref="H4:I8">
    <cfRule type="cellIs" dxfId="96" priority="1" operator="lessThan">
      <formula>0</formula>
    </cfRule>
    <cfRule type="cellIs" dxfId="95" priority="2" operator="greaterThan">
      <formula>0</formula>
    </cfRule>
  </conditionalFormatting>
  <pageMargins left="0.7" right="0.7" top="0.75" bottom="0.75" header="0.3" footer="0.3"/>
  <pageSetup paperSize="9" orientation="portrait" horizontalDpi="300" verticalDpi="300"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dimension ref="A1:C20"/>
  <sheetViews>
    <sheetView showGridLines="0" zoomScaleNormal="100" workbookViewId="0">
      <selection activeCell="A3" sqref="A3:A19"/>
    </sheetView>
  </sheetViews>
  <sheetFormatPr defaultRowHeight="15"/>
  <cols>
    <col min="1" max="1" width="27.7109375" customWidth="1"/>
    <col min="2" max="3" width="29.28515625" customWidth="1"/>
    <col min="4" max="4" width="14.140625" customWidth="1"/>
    <col min="5" max="5" width="14.42578125" customWidth="1"/>
    <col min="6" max="7" width="23.28515625" customWidth="1"/>
  </cols>
  <sheetData>
    <row r="1" spans="1:3" ht="17.25" thickBot="1">
      <c r="A1" s="1" t="s">
        <v>481</v>
      </c>
    </row>
    <row r="2" spans="1:3" ht="24" thickTop="1" thickBot="1">
      <c r="A2" s="84" t="s">
        <v>131</v>
      </c>
      <c r="B2" s="38" t="s">
        <v>2</v>
      </c>
      <c r="C2" s="38" t="s">
        <v>3</v>
      </c>
    </row>
    <row r="3" spans="1:3" ht="23.25" customHeight="1" thickTop="1" thickBot="1">
      <c r="A3" s="44" t="s">
        <v>220</v>
      </c>
      <c r="B3" s="79"/>
      <c r="C3" s="80"/>
    </row>
    <row r="4" spans="1:3" ht="23.25" customHeight="1" thickBot="1">
      <c r="A4" s="14" t="s">
        <v>221</v>
      </c>
      <c r="B4" s="79"/>
      <c r="C4" s="80"/>
    </row>
    <row r="5" spans="1:3" ht="23.25" customHeight="1" thickBot="1">
      <c r="A5" s="14" t="s">
        <v>222</v>
      </c>
      <c r="B5" s="79"/>
      <c r="C5" s="80"/>
    </row>
    <row r="6" spans="1:3" ht="23.25" customHeight="1" thickBot="1">
      <c r="A6" s="44" t="s">
        <v>223</v>
      </c>
      <c r="B6" s="79"/>
      <c r="C6" s="80"/>
    </row>
    <row r="7" spans="1:3" ht="23.25" customHeight="1" thickBot="1">
      <c r="A7" s="14" t="s">
        <v>221</v>
      </c>
      <c r="B7" s="79"/>
      <c r="C7" s="80"/>
    </row>
    <row r="8" spans="1:3" ht="23.25" customHeight="1" thickBot="1">
      <c r="A8" s="14" t="s">
        <v>222</v>
      </c>
      <c r="B8" s="79"/>
      <c r="C8" s="80"/>
    </row>
    <row r="9" spans="1:3" ht="23.25" customHeight="1" thickBot="1">
      <c r="A9" s="44" t="s">
        <v>224</v>
      </c>
      <c r="B9" s="79"/>
      <c r="C9" s="80"/>
    </row>
    <row r="10" spans="1:3" ht="23.25" customHeight="1" thickBot="1">
      <c r="A10" s="44" t="s">
        <v>225</v>
      </c>
      <c r="B10" s="79"/>
      <c r="C10" s="80"/>
    </row>
    <row r="11" spans="1:3" ht="23.25" customHeight="1" thickBot="1">
      <c r="A11" s="44" t="s">
        <v>226</v>
      </c>
      <c r="B11" s="113">
        <v>0.19</v>
      </c>
      <c r="C11" s="118">
        <v>0.19</v>
      </c>
    </row>
    <row r="12" spans="1:3" ht="23.25" customHeight="1" thickBot="1">
      <c r="A12" s="44" t="s">
        <v>227</v>
      </c>
      <c r="B12" s="79"/>
      <c r="C12" s="80"/>
    </row>
    <row r="13" spans="1:3" ht="23.25" customHeight="1" thickBot="1">
      <c r="A13" s="44" t="s">
        <v>228</v>
      </c>
      <c r="B13" s="79"/>
      <c r="C13" s="80"/>
    </row>
    <row r="14" spans="1:3" ht="23.25" customHeight="1" thickBot="1">
      <c r="A14" s="14" t="s">
        <v>229</v>
      </c>
      <c r="B14" s="79"/>
      <c r="C14" s="80"/>
    </row>
    <row r="15" spans="1:3" ht="23.25" customHeight="1" thickBot="1">
      <c r="A15" s="14" t="s">
        <v>230</v>
      </c>
      <c r="B15" s="79"/>
      <c r="C15" s="80"/>
    </row>
    <row r="16" spans="1:3" ht="23.25" customHeight="1" thickBot="1">
      <c r="A16" s="104" t="s">
        <v>231</v>
      </c>
      <c r="B16" s="79"/>
      <c r="C16" s="80"/>
    </row>
    <row r="17" spans="1:3" ht="23.25" customHeight="1" thickBot="1">
      <c r="A17" s="105" t="s">
        <v>232</v>
      </c>
      <c r="B17" s="79"/>
      <c r="C17" s="80"/>
    </row>
    <row r="18" spans="1:3" ht="23.25" customHeight="1" thickBot="1">
      <c r="A18" s="14" t="s">
        <v>233</v>
      </c>
      <c r="B18" s="79"/>
      <c r="C18" s="80"/>
    </row>
    <row r="19" spans="1:3" ht="23.25" customHeight="1" thickBot="1">
      <c r="A19" s="16" t="s">
        <v>230</v>
      </c>
      <c r="B19" s="85"/>
      <c r="C19" s="78"/>
    </row>
    <row r="20" spans="1:3" ht="15.75" thickTop="1"/>
  </sheetData>
  <pageMargins left="0.7" right="0.7" top="0.75" bottom="0.75" header="0.3" footer="0.3"/>
  <pageSetup paperSize="9" orientation="portrait" horizontalDpi="300" verticalDpi="300"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dimension ref="A1:I17"/>
  <sheetViews>
    <sheetView showGridLines="0" zoomScaleNormal="100" workbookViewId="0">
      <selection activeCell="H2" sqref="H2:I13"/>
    </sheetView>
  </sheetViews>
  <sheetFormatPr defaultRowHeight="15"/>
  <cols>
    <col min="1" max="1" width="32.7109375" customWidth="1"/>
    <col min="2" max="3" width="26.85546875" customWidth="1"/>
    <col min="4" max="4" width="22.28515625" customWidth="1"/>
    <col min="5" max="5" width="26" style="335" customWidth="1"/>
    <col min="6" max="6" width="26" style="340" customWidth="1"/>
    <col min="7" max="7" width="5.140625" customWidth="1"/>
    <col min="8" max="8" width="22.5703125" style="371" customWidth="1"/>
    <col min="9" max="9" width="22.5703125" style="370" customWidth="1"/>
  </cols>
  <sheetData>
    <row r="1" spans="1:9" ht="17.25" thickBot="1">
      <c r="A1" s="369" t="s">
        <v>252</v>
      </c>
      <c r="E1" s="1574" t="s">
        <v>1056</v>
      </c>
      <c r="F1" s="1576"/>
      <c r="G1" s="345"/>
      <c r="H1" s="1587" t="s">
        <v>1058</v>
      </c>
      <c r="I1" s="1588"/>
    </row>
    <row r="2" spans="1:9" ht="23.25" customHeight="1" thickTop="1" thickBot="1">
      <c r="A2" s="84" t="s">
        <v>1</v>
      </c>
      <c r="B2" s="38" t="s">
        <v>2</v>
      </c>
      <c r="C2" s="38" t="s">
        <v>3</v>
      </c>
      <c r="E2" s="59" t="s">
        <v>2</v>
      </c>
      <c r="F2" s="59" t="s">
        <v>3</v>
      </c>
      <c r="H2" s="372" t="s">
        <v>2</v>
      </c>
      <c r="I2" s="372" t="s">
        <v>3</v>
      </c>
    </row>
    <row r="3" spans="1:9" ht="23.25" customHeight="1" thickTop="1" thickBot="1">
      <c r="A3" s="73" t="s">
        <v>253</v>
      </c>
      <c r="B3" s="85">
        <f>SUM(B4:B5)</f>
        <v>0</v>
      </c>
      <c r="C3" s="78">
        <f>SUM(C4:C5)</f>
        <v>0</v>
      </c>
      <c r="E3" s="338">
        <f>SUM(B4:B5)-B3</f>
        <v>0</v>
      </c>
      <c r="F3" s="341">
        <f>SUM(C4:C5)-C3</f>
        <v>0</v>
      </c>
      <c r="H3" s="646">
        <f>B3-'BS old'!$D$137</f>
        <v>0</v>
      </c>
      <c r="I3" s="647">
        <f>C3-'BS old'!$E$137</f>
        <v>0</v>
      </c>
    </row>
    <row r="4" spans="1:9" ht="23.25" customHeight="1" thickTop="1" thickBot="1">
      <c r="A4" s="14"/>
      <c r="B4" s="79"/>
      <c r="C4" s="80"/>
      <c r="H4" s="373"/>
      <c r="I4" s="374"/>
    </row>
    <row r="5" spans="1:9" ht="23.25" customHeight="1" thickBot="1">
      <c r="A5" s="16"/>
      <c r="B5" s="85"/>
      <c r="C5" s="78"/>
      <c r="H5" s="373"/>
      <c r="I5" s="374"/>
    </row>
    <row r="6" spans="1:9" ht="23.25" customHeight="1" thickTop="1" thickBot="1">
      <c r="A6" s="25" t="s">
        <v>254</v>
      </c>
      <c r="B6" s="85">
        <f>SUM(B7:B8)</f>
        <v>0</v>
      </c>
      <c r="C6" s="78">
        <f>SUM(C7:C8)</f>
        <v>0</v>
      </c>
      <c r="E6" s="338">
        <f>SUM(B7:B8)-B6</f>
        <v>0</v>
      </c>
      <c r="F6" s="341">
        <f>SUM(C7:C8)-C6</f>
        <v>0</v>
      </c>
      <c r="H6" s="646">
        <f>B6-'BS old'!$D$138</f>
        <v>0</v>
      </c>
      <c r="I6" s="647">
        <f>C6-'BS old'!$E$138</f>
        <v>0</v>
      </c>
    </row>
    <row r="7" spans="1:9" ht="23.25" customHeight="1" thickTop="1" thickBot="1">
      <c r="A7" s="14"/>
      <c r="B7" s="79"/>
      <c r="C7" s="80"/>
      <c r="H7" s="373"/>
      <c r="I7" s="374"/>
    </row>
    <row r="8" spans="1:9" ht="23.25" customHeight="1" thickBot="1">
      <c r="A8" s="16"/>
      <c r="B8" s="85"/>
      <c r="C8" s="78"/>
      <c r="H8" s="373"/>
      <c r="I8" s="374"/>
    </row>
    <row r="9" spans="1:9" ht="23.25" customHeight="1" thickTop="1" thickBot="1">
      <c r="A9" s="25" t="s">
        <v>482</v>
      </c>
      <c r="B9" s="85">
        <f>SUM(B10:B12)</f>
        <v>0</v>
      </c>
      <c r="C9" s="78">
        <f>SUM(C10:C12)</f>
        <v>0</v>
      </c>
      <c r="E9" s="338">
        <f>SUM(B10:B12)-B9</f>
        <v>0</v>
      </c>
      <c r="F9" s="341">
        <f>SUM(C10:C12)-C9</f>
        <v>0</v>
      </c>
      <c r="H9" s="646">
        <f>B9-'BS old'!$D$139</f>
        <v>0</v>
      </c>
      <c r="I9" s="647">
        <f>C9-'BS old'!$E$139</f>
        <v>0</v>
      </c>
    </row>
    <row r="10" spans="1:9" ht="23.25" customHeight="1" thickTop="1" thickBot="1">
      <c r="A10" s="14"/>
      <c r="B10" s="79"/>
      <c r="C10" s="80"/>
      <c r="H10" s="373"/>
      <c r="I10" s="374"/>
    </row>
    <row r="11" spans="1:9" ht="23.25" customHeight="1" thickBot="1">
      <c r="A11" s="14"/>
      <c r="B11" s="79"/>
      <c r="C11" s="80"/>
      <c r="H11" s="373"/>
      <c r="I11" s="374"/>
    </row>
    <row r="12" spans="1:9" ht="23.25" customHeight="1" thickBot="1">
      <c r="A12" s="16"/>
      <c r="B12" s="85"/>
      <c r="C12" s="78"/>
      <c r="H12" s="373"/>
      <c r="I12" s="374"/>
    </row>
    <row r="13" spans="1:9" ht="23.25" customHeight="1" thickTop="1" thickBot="1">
      <c r="A13" s="25" t="s">
        <v>483</v>
      </c>
      <c r="B13" s="85">
        <f>SUM(B14:B16)</f>
        <v>0</v>
      </c>
      <c r="C13" s="78">
        <f>SUM(C14:C16)</f>
        <v>0</v>
      </c>
      <c r="E13" s="338">
        <f>SUM(B14:B16)-B13</f>
        <v>0</v>
      </c>
      <c r="F13" s="341">
        <f>SUM(C14:C16)-C13</f>
        <v>0</v>
      </c>
      <c r="H13" s="646">
        <f>B13-'BS old'!$D$140</f>
        <v>0</v>
      </c>
      <c r="I13" s="647">
        <f>C13-'BS old'!$E$140</f>
        <v>0</v>
      </c>
    </row>
    <row r="14" spans="1:9" ht="23.25" customHeight="1" thickTop="1" thickBot="1">
      <c r="A14" s="14"/>
      <c r="B14" s="79"/>
      <c r="C14" s="80"/>
    </row>
    <row r="15" spans="1:9" ht="23.25" customHeight="1" thickBot="1">
      <c r="A15" s="119"/>
      <c r="B15" s="120"/>
      <c r="C15" s="121"/>
    </row>
    <row r="16" spans="1:9" ht="23.25" customHeight="1" thickBot="1">
      <c r="A16" s="16"/>
      <c r="B16" s="85"/>
      <c r="C16" s="78"/>
    </row>
    <row r="17" ht="15.75" thickTop="1"/>
  </sheetData>
  <mergeCells count="2">
    <mergeCell ref="E1:F1"/>
    <mergeCell ref="H1:I1"/>
  </mergeCells>
  <conditionalFormatting sqref="E3:F13">
    <cfRule type="cellIs" dxfId="94" priority="4" operator="lessThan">
      <formula>0</formula>
    </cfRule>
    <cfRule type="cellIs" dxfId="93" priority="5" operator="greaterThan">
      <formula>0</formula>
    </cfRule>
  </conditionalFormatting>
  <conditionalFormatting sqref="H3:I13">
    <cfRule type="cellIs" dxfId="92" priority="1" operator="lessThan">
      <formula>0</formula>
    </cfRule>
    <cfRule type="cellIs" dxfId="91" priority="2" operator="greaterThan">
      <formula>0</formula>
    </cfRule>
  </conditionalFormatting>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G12"/>
  <sheetViews>
    <sheetView showGridLines="0" zoomScaleNormal="100" workbookViewId="0">
      <selection activeCell="A2" sqref="A1:A2"/>
    </sheetView>
  </sheetViews>
  <sheetFormatPr defaultRowHeight="15"/>
  <cols>
    <col min="1" max="1" width="29.140625" customWidth="1"/>
    <col min="2" max="3" width="15.42578125" customWidth="1"/>
    <col min="4" max="5" width="12.85546875" customWidth="1"/>
    <col min="6" max="6" width="12.140625" customWidth="1"/>
  </cols>
  <sheetData>
    <row r="1" spans="1:7" ht="16.5">
      <c r="A1" s="1" t="s">
        <v>7</v>
      </c>
    </row>
    <row r="2" spans="1:7" ht="17.25" thickBot="1">
      <c r="A2" s="2" t="s">
        <v>8</v>
      </c>
    </row>
    <row r="3" spans="1:7" ht="43.5" customHeight="1" thickTop="1" thickBot="1">
      <c r="A3" s="1556" t="s">
        <v>9</v>
      </c>
      <c r="B3" s="1558" t="s">
        <v>10</v>
      </c>
      <c r="C3" s="1559"/>
      <c r="D3" s="1556" t="s">
        <v>11</v>
      </c>
      <c r="E3" s="1556" t="s">
        <v>454</v>
      </c>
      <c r="F3" s="20"/>
      <c r="G3" s="20"/>
    </row>
    <row r="4" spans="1:7" ht="15" customHeight="1" thickTop="1" thickBot="1">
      <c r="A4" s="1557"/>
      <c r="B4" s="21" t="s">
        <v>13</v>
      </c>
      <c r="C4" s="21" t="s">
        <v>12</v>
      </c>
      <c r="D4" s="1557"/>
      <c r="E4" s="1557"/>
      <c r="F4" s="20"/>
      <c r="G4" s="20"/>
    </row>
    <row r="5" spans="1:7" ht="16.5" thickTop="1" thickBot="1">
      <c r="A5" s="14"/>
      <c r="B5" s="22"/>
      <c r="C5" s="23"/>
      <c r="D5" s="23"/>
      <c r="E5" s="24"/>
      <c r="F5" s="20"/>
      <c r="G5" s="20"/>
    </row>
    <row r="6" spans="1:7" ht="15.75" thickBot="1">
      <c r="A6" s="14"/>
      <c r="B6" s="22"/>
      <c r="C6" s="23"/>
      <c r="D6" s="23"/>
      <c r="E6" s="24"/>
      <c r="F6" s="20"/>
      <c r="G6" s="20"/>
    </row>
    <row r="7" spans="1:7" ht="15.75" thickBot="1">
      <c r="A7" s="14"/>
      <c r="B7" s="22"/>
      <c r="C7" s="23"/>
      <c r="D7" s="23"/>
      <c r="E7" s="24"/>
      <c r="F7" s="20"/>
      <c r="G7" s="20"/>
    </row>
    <row r="8" spans="1:7" ht="15.75" thickBot="1">
      <c r="A8" s="14"/>
      <c r="B8" s="22"/>
      <c r="C8" s="23"/>
      <c r="D8" s="23"/>
      <c r="E8" s="24"/>
      <c r="F8" s="20"/>
      <c r="G8" s="20"/>
    </row>
    <row r="9" spans="1:7" ht="15.75" thickBot="1">
      <c r="A9" s="14"/>
      <c r="B9" s="22"/>
      <c r="C9" s="23"/>
      <c r="D9" s="23"/>
      <c r="E9" s="24"/>
      <c r="F9" s="20"/>
      <c r="G9" s="20"/>
    </row>
    <row r="10" spans="1:7" ht="15.75" thickBot="1">
      <c r="A10" s="25" t="s">
        <v>14</v>
      </c>
      <c r="B10" s="26">
        <f>SUM(B5:B9)</f>
        <v>0</v>
      </c>
      <c r="C10" s="27">
        <f>SUM(C5:C9)</f>
        <v>0</v>
      </c>
      <c r="D10" s="28">
        <f t="shared" ref="D10:E10" si="0">SUM(D5:D9)</f>
        <v>0</v>
      </c>
      <c r="E10" s="29">
        <f t="shared" si="0"/>
        <v>0</v>
      </c>
      <c r="F10" s="20"/>
      <c r="G10" s="20"/>
    </row>
    <row r="11" spans="1:7" ht="15.75" thickTop="1">
      <c r="A11" s="20"/>
      <c r="B11" s="20"/>
      <c r="C11" s="20"/>
      <c r="D11" s="20"/>
      <c r="E11" s="20"/>
      <c r="F11" s="20"/>
      <c r="G11" s="20"/>
    </row>
    <row r="12" spans="1:7">
      <c r="A12" s="37">
        <v>7</v>
      </c>
      <c r="B12" s="37">
        <v>4</v>
      </c>
      <c r="C12" s="37">
        <v>4</v>
      </c>
      <c r="D12" s="37">
        <v>4</v>
      </c>
      <c r="E12" s="37">
        <v>4</v>
      </c>
      <c r="F12" s="37"/>
      <c r="G12" s="37"/>
    </row>
  </sheetData>
  <mergeCells count="4">
    <mergeCell ref="A3:A4"/>
    <mergeCell ref="B3:C3"/>
    <mergeCell ref="D3:D4"/>
    <mergeCell ref="E3:E4"/>
  </mergeCells>
  <pageMargins left="0.7" right="0.7" top="0.75" bottom="0.75" header="0.3" footer="0.3"/>
  <pageSetup paperSize="9" orientation="portrait" horizontalDpi="300" verticalDpi="300"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dimension ref="A1:E15"/>
  <sheetViews>
    <sheetView showGridLines="0" zoomScaleNormal="100" workbookViewId="0">
      <selection activeCell="A11" sqref="A11"/>
    </sheetView>
  </sheetViews>
  <sheetFormatPr defaultRowHeight="15"/>
  <cols>
    <col min="1" max="1" width="27.5703125" customWidth="1"/>
    <col min="2" max="5" width="19.5703125" customWidth="1"/>
  </cols>
  <sheetData>
    <row r="1" spans="1:5" ht="16.5">
      <c r="A1" s="1" t="s">
        <v>255</v>
      </c>
    </row>
    <row r="2" spans="1:5" ht="15.75" thickBot="1">
      <c r="A2" s="20" t="s">
        <v>8</v>
      </c>
      <c r="B2" s="20"/>
      <c r="C2" s="20"/>
      <c r="D2" s="20"/>
      <c r="E2" s="20"/>
    </row>
    <row r="3" spans="1:5" ht="16.5" thickTop="1" thickBot="1">
      <c r="A3" s="1579" t="s">
        <v>131</v>
      </c>
      <c r="B3" s="1558" t="s">
        <v>256</v>
      </c>
      <c r="C3" s="1564"/>
      <c r="D3" s="1556" t="s">
        <v>257</v>
      </c>
      <c r="E3" s="20"/>
    </row>
    <row r="4" spans="1:5" ht="16.5" thickTop="1" thickBot="1">
      <c r="A4" s="1581"/>
      <c r="B4" s="21" t="s">
        <v>258</v>
      </c>
      <c r="C4" s="69" t="s">
        <v>259</v>
      </c>
      <c r="D4" s="1557"/>
      <c r="E4" s="20"/>
    </row>
    <row r="5" spans="1:5" ht="18.75" customHeight="1" thickTop="1" thickBot="1">
      <c r="A5" s="25" t="s">
        <v>260</v>
      </c>
      <c r="B5" s="58"/>
      <c r="C5" s="58"/>
      <c r="D5" s="60"/>
      <c r="E5" s="20"/>
    </row>
    <row r="6" spans="1:5" ht="18.75" customHeight="1" thickTop="1" thickBot="1">
      <c r="A6" s="14"/>
      <c r="B6" s="79"/>
      <c r="C6" s="79"/>
      <c r="D6" s="80"/>
      <c r="E6" s="20"/>
    </row>
    <row r="7" spans="1:5" ht="18.75" customHeight="1" thickBot="1">
      <c r="A7" s="14"/>
      <c r="B7" s="79"/>
      <c r="C7" s="79"/>
      <c r="D7" s="80"/>
      <c r="E7" s="20"/>
    </row>
    <row r="8" spans="1:5" ht="18.75" customHeight="1" thickBot="1">
      <c r="A8" s="14"/>
      <c r="B8" s="79"/>
      <c r="C8" s="79"/>
      <c r="D8" s="80"/>
      <c r="E8" s="20"/>
    </row>
    <row r="9" spans="1:5" ht="18.75" customHeight="1" thickBot="1">
      <c r="A9" s="16"/>
      <c r="B9" s="85"/>
      <c r="C9" s="153"/>
      <c r="D9" s="78"/>
      <c r="E9" s="20"/>
    </row>
    <row r="10" spans="1:5" ht="18.75" customHeight="1" thickTop="1" thickBot="1">
      <c r="A10" s="25" t="s">
        <v>261</v>
      </c>
      <c r="B10" s="85"/>
      <c r="C10" s="154"/>
      <c r="D10" s="78"/>
      <c r="E10" s="20"/>
    </row>
    <row r="11" spans="1:5" ht="18.75" customHeight="1" thickTop="1" thickBot="1">
      <c r="A11" s="14"/>
      <c r="B11" s="79"/>
      <c r="C11" s="79"/>
      <c r="D11" s="80"/>
      <c r="E11" s="20"/>
    </row>
    <row r="12" spans="1:5" ht="18.75" customHeight="1" thickBot="1">
      <c r="A12" s="14"/>
      <c r="B12" s="79"/>
      <c r="C12" s="79"/>
      <c r="D12" s="80"/>
      <c r="E12" s="20"/>
    </row>
    <row r="13" spans="1:5" ht="18.75" customHeight="1" thickBot="1">
      <c r="A13" s="14"/>
      <c r="B13" s="79"/>
      <c r="C13" s="79"/>
      <c r="D13" s="80"/>
      <c r="E13" s="20"/>
    </row>
    <row r="14" spans="1:5" ht="18.75" customHeight="1" thickBot="1">
      <c r="A14" s="25"/>
      <c r="B14" s="85"/>
      <c r="C14" s="85"/>
      <c r="D14" s="78"/>
      <c r="E14" s="20"/>
    </row>
    <row r="15" spans="1:5" ht="15.75" thickTop="1">
      <c r="A15" s="20"/>
      <c r="B15" s="20"/>
      <c r="C15" s="20"/>
      <c r="D15" s="20"/>
      <c r="E15" s="20"/>
    </row>
  </sheetData>
  <mergeCells count="3">
    <mergeCell ref="A3:A4"/>
    <mergeCell ref="B3:C3"/>
    <mergeCell ref="D3:D4"/>
  </mergeCells>
  <pageMargins left="0.7" right="0.7" top="0.75" bottom="0.75" header="0.3" footer="0.3"/>
  <pageSetup paperSize="9" orientation="portrait" horizontalDpi="300" verticalDpi="30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dimension ref="A1:E17"/>
  <sheetViews>
    <sheetView showGridLines="0" zoomScaleNormal="100" workbookViewId="0">
      <selection activeCell="A13" sqref="A13"/>
    </sheetView>
  </sheetViews>
  <sheetFormatPr defaultRowHeight="15"/>
  <cols>
    <col min="1" max="1" width="18.5703125" customWidth="1"/>
    <col min="2" max="5" width="17" customWidth="1"/>
  </cols>
  <sheetData>
    <row r="1" spans="1:5" ht="16.5">
      <c r="A1" s="1" t="s">
        <v>255</v>
      </c>
    </row>
    <row r="2" spans="1:5">
      <c r="A2" s="20"/>
      <c r="B2" s="20"/>
      <c r="C2" s="20"/>
      <c r="D2" s="20"/>
      <c r="E2" s="20"/>
    </row>
    <row r="3" spans="1:5" ht="15.75" thickBot="1">
      <c r="A3" s="20" t="s">
        <v>15</v>
      </c>
      <c r="B3" s="20"/>
      <c r="C3" s="20"/>
      <c r="D3" s="20"/>
      <c r="E3" s="20"/>
    </row>
    <row r="4" spans="1:5" ht="28.5" customHeight="1" thickTop="1" thickBot="1">
      <c r="A4" s="1579" t="s">
        <v>131</v>
      </c>
      <c r="B4" s="1558" t="s">
        <v>2</v>
      </c>
      <c r="C4" s="1559"/>
      <c r="D4" s="1558" t="s">
        <v>3</v>
      </c>
      <c r="E4" s="1559"/>
    </row>
    <row r="5" spans="1:5" ht="17.25" customHeight="1" thickTop="1" thickBot="1">
      <c r="A5" s="1580"/>
      <c r="B5" s="1558" t="s">
        <v>262</v>
      </c>
      <c r="C5" s="1559"/>
      <c r="D5" s="1558" t="s">
        <v>262</v>
      </c>
      <c r="E5" s="1559"/>
    </row>
    <row r="6" spans="1:5" ht="24" thickTop="1" thickBot="1">
      <c r="A6" s="1581"/>
      <c r="B6" s="21" t="s">
        <v>263</v>
      </c>
      <c r="C6" s="21" t="s">
        <v>264</v>
      </c>
      <c r="D6" s="21" t="s">
        <v>263</v>
      </c>
      <c r="E6" s="21" t="s">
        <v>264</v>
      </c>
    </row>
    <row r="7" spans="1:5" ht="35.25" thickTop="1" thickBot="1">
      <c r="A7" s="25" t="s">
        <v>260</v>
      </c>
      <c r="B7" s="58"/>
      <c r="C7" s="58"/>
      <c r="D7" s="60"/>
      <c r="E7" s="60"/>
    </row>
    <row r="8" spans="1:5" ht="18.75" customHeight="1" thickTop="1" thickBot="1">
      <c r="A8" s="14"/>
      <c r="B8" s="79"/>
      <c r="C8" s="79"/>
      <c r="D8" s="80"/>
      <c r="E8" s="80"/>
    </row>
    <row r="9" spans="1:5" ht="18.75" customHeight="1" thickBot="1">
      <c r="A9" s="14"/>
      <c r="B9" s="79"/>
      <c r="C9" s="79"/>
      <c r="D9" s="80"/>
      <c r="E9" s="80"/>
    </row>
    <row r="10" spans="1:5" ht="18.75" customHeight="1" thickBot="1">
      <c r="A10" s="14"/>
      <c r="B10" s="79"/>
      <c r="C10" s="79"/>
      <c r="D10" s="80"/>
      <c r="E10" s="80"/>
    </row>
    <row r="11" spans="1:5" ht="18.75" customHeight="1" thickBot="1">
      <c r="A11" s="16"/>
      <c r="B11" s="85"/>
      <c r="C11" s="153"/>
      <c r="D11" s="78"/>
      <c r="E11" s="78"/>
    </row>
    <row r="12" spans="1:5" ht="24" thickTop="1" thickBot="1">
      <c r="A12" s="25" t="s">
        <v>261</v>
      </c>
      <c r="B12" s="85"/>
      <c r="C12" s="154"/>
      <c r="D12" s="78"/>
      <c r="E12" s="78"/>
    </row>
    <row r="13" spans="1:5" ht="18.75" customHeight="1" thickTop="1" thickBot="1">
      <c r="A13" s="14"/>
      <c r="B13" s="79"/>
      <c r="C13" s="79"/>
      <c r="D13" s="80"/>
      <c r="E13" s="80"/>
    </row>
    <row r="14" spans="1:5" ht="18.75" customHeight="1" thickBot="1">
      <c r="A14" s="14"/>
      <c r="B14" s="79"/>
      <c r="C14" s="79"/>
      <c r="D14" s="80"/>
      <c r="E14" s="80"/>
    </row>
    <row r="15" spans="1:5" ht="18.75" customHeight="1" thickBot="1">
      <c r="A15" s="14"/>
      <c r="B15" s="79"/>
      <c r="C15" s="79"/>
      <c r="D15" s="80"/>
      <c r="E15" s="80"/>
    </row>
    <row r="16" spans="1:5" ht="18.75" customHeight="1" thickBot="1">
      <c r="A16" s="25"/>
      <c r="B16" s="85"/>
      <c r="C16" s="85"/>
      <c r="D16" s="78"/>
      <c r="E16" s="78"/>
    </row>
    <row r="17" spans="1:5" ht="15.75" thickTop="1">
      <c r="A17" s="20"/>
      <c r="B17" s="20"/>
      <c r="C17" s="20"/>
      <c r="D17" s="20"/>
      <c r="E17" s="20"/>
    </row>
  </sheetData>
  <mergeCells count="5">
    <mergeCell ref="A4:A6"/>
    <mergeCell ref="B4:C4"/>
    <mergeCell ref="D4:E4"/>
    <mergeCell ref="B5:C5"/>
    <mergeCell ref="D5:E5"/>
  </mergeCells>
  <pageMargins left="0.7" right="0.7" top="0.75" bottom="0.75" header="0.3" footer="0.3"/>
  <pageSetup paperSize="9" orientation="portrait" horizontalDpi="300" verticalDpi="30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dimension ref="A1:C9"/>
  <sheetViews>
    <sheetView showGridLines="0" zoomScaleNormal="100" workbookViewId="0">
      <selection activeCell="B2" sqref="B2:C2"/>
    </sheetView>
  </sheetViews>
  <sheetFormatPr defaultRowHeight="15"/>
  <cols>
    <col min="1" max="1" width="31.7109375" customWidth="1"/>
    <col min="2" max="3" width="27.28515625" customWidth="1"/>
    <col min="4" max="4" width="21.85546875" customWidth="1"/>
    <col min="5" max="5" width="19.5703125" customWidth="1"/>
  </cols>
  <sheetData>
    <row r="1" spans="1:3" ht="17.25" thickBot="1">
      <c r="A1" s="1" t="s">
        <v>265</v>
      </c>
    </row>
    <row r="2" spans="1:3" ht="16.5" thickTop="1" thickBot="1">
      <c r="A2" s="1579" t="s">
        <v>266</v>
      </c>
      <c r="B2" s="1558" t="s">
        <v>267</v>
      </c>
      <c r="C2" s="1559"/>
    </row>
    <row r="3" spans="1:3" ht="24" thickTop="1" thickBot="1">
      <c r="A3" s="1581"/>
      <c r="B3" s="70" t="s">
        <v>2</v>
      </c>
      <c r="C3" s="70" t="s">
        <v>3</v>
      </c>
    </row>
    <row r="4" spans="1:3" ht="20.25" customHeight="1" thickTop="1" thickBot="1">
      <c r="A4" s="14" t="s">
        <v>268</v>
      </c>
      <c r="B4" s="79"/>
      <c r="C4" s="80"/>
    </row>
    <row r="5" spans="1:3" ht="20.25" customHeight="1" thickBot="1">
      <c r="A5" s="14" t="s">
        <v>269</v>
      </c>
      <c r="B5" s="79"/>
      <c r="C5" s="80"/>
    </row>
    <row r="6" spans="1:3" ht="20.25" customHeight="1" thickBot="1">
      <c r="A6" s="14" t="s">
        <v>270</v>
      </c>
      <c r="B6" s="79"/>
      <c r="C6" s="80"/>
    </row>
    <row r="7" spans="1:3" ht="20.25" customHeight="1" thickBot="1">
      <c r="A7" s="14" t="s">
        <v>271</v>
      </c>
      <c r="B7" s="79"/>
      <c r="C7" s="80"/>
    </row>
    <row r="8" spans="1:3" ht="20.25" customHeight="1" thickBot="1">
      <c r="A8" s="25" t="s">
        <v>14</v>
      </c>
      <c r="B8" s="85">
        <f>SUM(B4:B7)</f>
        <v>0</v>
      </c>
      <c r="C8" s="78">
        <f>SUM(C4:C7)</f>
        <v>0</v>
      </c>
    </row>
    <row r="9" spans="1:3" ht="17.25" thickTop="1">
      <c r="A9" s="1"/>
    </row>
  </sheetData>
  <mergeCells count="2">
    <mergeCell ref="B2:C2"/>
    <mergeCell ref="A2:A3"/>
  </mergeCells>
  <pageMargins left="0.7" right="0.7" top="0.75" bottom="0.75" header="0.3" footer="0.3"/>
  <pageSetup paperSize="9" orientation="portrait" horizontalDpi="300" verticalDpi="30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3"/>
  <dimension ref="A1:O8"/>
  <sheetViews>
    <sheetView showGridLines="0" zoomScaleNormal="100" workbookViewId="0">
      <selection activeCell="H11" sqref="H11"/>
    </sheetView>
  </sheetViews>
  <sheetFormatPr defaultRowHeight="15"/>
  <cols>
    <col min="1" max="1" width="18.85546875" customWidth="1"/>
    <col min="2" max="7" width="11.28515625" customWidth="1"/>
    <col min="10" max="10" width="9.140625" style="335"/>
    <col min="11" max="14" width="9.140625" style="336"/>
    <col min="15" max="15" width="9.140625" style="340"/>
  </cols>
  <sheetData>
    <row r="1" spans="1:15" ht="17.25" thickBot="1">
      <c r="A1" s="1" t="s">
        <v>272</v>
      </c>
      <c r="J1" s="1574" t="s">
        <v>1056</v>
      </c>
      <c r="K1" s="1575"/>
      <c r="L1" s="1575"/>
      <c r="M1" s="1575"/>
      <c r="N1" s="1575"/>
      <c r="O1" s="1576"/>
    </row>
    <row r="2" spans="1:15" ht="24.75" customHeight="1" thickTop="1" thickBot="1">
      <c r="A2" s="1579" t="s">
        <v>1</v>
      </c>
      <c r="B2" s="1565" t="s">
        <v>2</v>
      </c>
      <c r="C2" s="1566"/>
      <c r="D2" s="1567"/>
      <c r="E2" s="1558" t="s">
        <v>3</v>
      </c>
      <c r="F2" s="1564"/>
      <c r="G2" s="1559"/>
      <c r="J2" s="1565" t="s">
        <v>2</v>
      </c>
      <c r="K2" s="1566"/>
      <c r="L2" s="1567"/>
      <c r="M2" s="1558" t="s">
        <v>492</v>
      </c>
      <c r="N2" s="1564"/>
      <c r="O2" s="1559"/>
    </row>
    <row r="3" spans="1:15" ht="16.5" customHeight="1" thickTop="1" thickBot="1">
      <c r="A3" s="1580"/>
      <c r="B3" s="1565" t="s">
        <v>184</v>
      </c>
      <c r="C3" s="1566"/>
      <c r="D3" s="1567"/>
      <c r="E3" s="1565" t="s">
        <v>184</v>
      </c>
      <c r="F3" s="1566"/>
      <c r="G3" s="1567"/>
      <c r="J3" s="1565" t="s">
        <v>184</v>
      </c>
      <c r="K3" s="1566"/>
      <c r="L3" s="1567"/>
      <c r="M3" s="1565" t="s">
        <v>184</v>
      </c>
      <c r="N3" s="1566"/>
      <c r="O3" s="1567"/>
    </row>
    <row r="4" spans="1:15" s="4" customFormat="1" ht="45" customHeight="1" thickTop="1" thickBot="1">
      <c r="A4" s="1581"/>
      <c r="B4" s="21" t="s">
        <v>185</v>
      </c>
      <c r="C4" s="21" t="s">
        <v>186</v>
      </c>
      <c r="D4" s="21" t="s">
        <v>187</v>
      </c>
      <c r="E4" s="21" t="s">
        <v>185</v>
      </c>
      <c r="F4" s="21" t="s">
        <v>186</v>
      </c>
      <c r="G4" s="21" t="s">
        <v>187</v>
      </c>
      <c r="J4" s="59" t="s">
        <v>185</v>
      </c>
      <c r="K4" s="21" t="s">
        <v>186</v>
      </c>
      <c r="L4" s="21" t="s">
        <v>187</v>
      </c>
      <c r="M4" s="21" t="s">
        <v>185</v>
      </c>
      <c r="N4" s="21" t="s">
        <v>186</v>
      </c>
      <c r="O4" s="21" t="s">
        <v>187</v>
      </c>
    </row>
    <row r="5" spans="1:15" ht="18.75" customHeight="1" thickTop="1" thickBot="1">
      <c r="A5" s="74" t="s">
        <v>188</v>
      </c>
      <c r="B5" s="144"/>
      <c r="C5" s="144"/>
      <c r="D5" s="144"/>
      <c r="E5" s="144"/>
      <c r="F5" s="144"/>
      <c r="G5" s="77"/>
    </row>
    <row r="6" spans="1:15" ht="18.75" customHeight="1" thickBot="1">
      <c r="A6" s="71" t="s">
        <v>273</v>
      </c>
      <c r="B6" s="79"/>
      <c r="C6" s="79"/>
      <c r="D6" s="79"/>
      <c r="E6" s="79"/>
      <c r="F6" s="79"/>
      <c r="G6" s="80"/>
    </row>
    <row r="7" spans="1:15" ht="18.75" customHeight="1" thickBot="1">
      <c r="A7" s="72" t="s">
        <v>14</v>
      </c>
      <c r="B7" s="85">
        <f>B5+B6</f>
        <v>0</v>
      </c>
      <c r="C7" s="85">
        <f t="shared" ref="C7:G7" si="0">C5+C6</f>
        <v>0</v>
      </c>
      <c r="D7" s="85">
        <f t="shared" si="0"/>
        <v>0</v>
      </c>
      <c r="E7" s="85">
        <f t="shared" si="0"/>
        <v>0</v>
      </c>
      <c r="F7" s="85">
        <f t="shared" si="0"/>
        <v>0</v>
      </c>
      <c r="G7" s="78">
        <f t="shared" si="0"/>
        <v>0</v>
      </c>
      <c r="J7" s="338">
        <f>SUM(B5:B6)-B7</f>
        <v>0</v>
      </c>
      <c r="K7" s="337">
        <f t="shared" ref="K7:O7" si="1">SUM(C5:C6)-C7</f>
        <v>0</v>
      </c>
      <c r="L7" s="337">
        <f t="shared" si="1"/>
        <v>0</v>
      </c>
      <c r="M7" s="337">
        <f t="shared" si="1"/>
        <v>0</v>
      </c>
      <c r="N7" s="337">
        <f t="shared" si="1"/>
        <v>0</v>
      </c>
      <c r="O7" s="341">
        <f t="shared" si="1"/>
        <v>0</v>
      </c>
    </row>
    <row r="8" spans="1:15" ht="15.75" thickTop="1"/>
  </sheetData>
  <mergeCells count="10">
    <mergeCell ref="B2:D2"/>
    <mergeCell ref="E2:G2"/>
    <mergeCell ref="B3:D3"/>
    <mergeCell ref="E3:G3"/>
    <mergeCell ref="A2:A4"/>
    <mergeCell ref="J1:O1"/>
    <mergeCell ref="J2:L2"/>
    <mergeCell ref="M2:O2"/>
    <mergeCell ref="J3:L3"/>
    <mergeCell ref="M3:O3"/>
  </mergeCells>
  <conditionalFormatting sqref="J5:O7">
    <cfRule type="cellIs" dxfId="90" priority="3" operator="lessThan">
      <formula>0</formula>
    </cfRule>
    <cfRule type="cellIs" dxfId="89" priority="4" operator="greaterThan">
      <formula>0</formula>
    </cfRule>
  </conditionalFormatting>
  <conditionalFormatting sqref="J7:O7">
    <cfRule type="cellIs" dxfId="88" priority="1" operator="lessThan">
      <formula>0</formula>
    </cfRule>
    <cfRule type="cellIs" dxfId="87" priority="2" operator="greaterThan">
      <formula>0</formula>
    </cfRule>
  </conditionalFormatting>
  <pageMargins left="0.7" right="0.7" top="0.75" bottom="0.75" header="0.3" footer="0.3"/>
  <pageSetup paperSize="9" orientation="portrait" horizontalDpi="300" verticalDpi="30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4"/>
  <dimension ref="A1:C12"/>
  <sheetViews>
    <sheetView showGridLines="0" zoomScaleNormal="100" workbookViewId="0">
      <selection activeCell="B14" sqref="B14"/>
    </sheetView>
  </sheetViews>
  <sheetFormatPr defaultRowHeight="15"/>
  <cols>
    <col min="1" max="3" width="28.85546875" customWidth="1"/>
    <col min="4" max="4" width="17.42578125" customWidth="1"/>
    <col min="5" max="5" width="19.5703125" customWidth="1"/>
    <col min="6" max="6" width="19.28515625" customWidth="1"/>
    <col min="7" max="7" width="13" customWidth="1"/>
  </cols>
  <sheetData>
    <row r="1" spans="1:3" ht="17.25" thickBot="1">
      <c r="A1" s="1" t="s">
        <v>338</v>
      </c>
    </row>
    <row r="2" spans="1:3" ht="33" customHeight="1" thickTop="1" thickBot="1">
      <c r="A2" s="84" t="s">
        <v>131</v>
      </c>
      <c r="B2" s="70" t="s">
        <v>2</v>
      </c>
      <c r="C2" s="70" t="s">
        <v>3</v>
      </c>
    </row>
    <row r="3" spans="1:3" ht="18.75" customHeight="1" thickTop="1" thickBot="1">
      <c r="A3" s="155" t="s">
        <v>339</v>
      </c>
      <c r="B3" s="80"/>
      <c r="C3" s="80"/>
    </row>
    <row r="4" spans="1:3" ht="18.75" customHeight="1" thickBot="1">
      <c r="A4" s="156" t="s">
        <v>340</v>
      </c>
      <c r="B4" s="80"/>
      <c r="C4" s="80"/>
    </row>
    <row r="5" spans="1:3" ht="18.75" customHeight="1" thickBot="1">
      <c r="A5" s="71" t="s">
        <v>341</v>
      </c>
      <c r="B5" s="80"/>
      <c r="C5" s="80"/>
    </row>
    <row r="6" spans="1:3" ht="18.75" customHeight="1" thickBot="1">
      <c r="A6" s="155" t="s">
        <v>342</v>
      </c>
      <c r="B6" s="80"/>
      <c r="C6" s="80"/>
    </row>
    <row r="7" spans="1:3" ht="18.75" customHeight="1" thickBot="1">
      <c r="A7" s="157" t="s">
        <v>343</v>
      </c>
      <c r="B7" s="80"/>
      <c r="C7" s="80"/>
    </row>
    <row r="8" spans="1:3" ht="18.75" customHeight="1" thickBot="1">
      <c r="A8" s="129" t="s">
        <v>344</v>
      </c>
      <c r="B8" s="80"/>
      <c r="C8" s="80"/>
    </row>
    <row r="9" spans="1:3" ht="18.75" customHeight="1" thickBot="1">
      <c r="A9" s="156" t="s">
        <v>345</v>
      </c>
      <c r="B9" s="80"/>
      <c r="C9" s="80"/>
    </row>
    <row r="10" spans="1:3" ht="18.75" customHeight="1" thickBot="1">
      <c r="A10" s="155" t="s">
        <v>346</v>
      </c>
      <c r="B10" s="126"/>
      <c r="C10" s="126"/>
    </row>
    <row r="11" spans="1:3" ht="18.75" customHeight="1" thickBot="1">
      <c r="A11" s="158" t="s">
        <v>347</v>
      </c>
      <c r="B11" s="127"/>
      <c r="C11" s="127"/>
    </row>
    <row r="12" spans="1:3" ht="17.25" thickTop="1">
      <c r="A12" s="1"/>
    </row>
  </sheetData>
  <pageMargins left="0.7" right="0.7" top="0.75" bottom="0.75" header="0.3" footer="0.3"/>
  <pageSetup paperSize="9" orientation="portrait" horizontalDpi="300" verticalDpi="30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dimension ref="A1:D20"/>
  <sheetViews>
    <sheetView showGridLines="0" zoomScaleNormal="100" workbookViewId="0">
      <selection activeCell="A5" sqref="A5:A10"/>
    </sheetView>
  </sheetViews>
  <sheetFormatPr defaultRowHeight="15"/>
  <cols>
    <col min="1" max="1" width="27.28515625" customWidth="1"/>
    <col min="2" max="3" width="29.5703125" customWidth="1"/>
    <col min="4" max="4" width="17.42578125" customWidth="1"/>
    <col min="5" max="5" width="19.5703125" customWidth="1"/>
    <col min="6" max="6" width="19.28515625" customWidth="1"/>
    <col min="7" max="7" width="13" customWidth="1"/>
  </cols>
  <sheetData>
    <row r="1" spans="1:4" ht="16.5">
      <c r="A1" s="1" t="s">
        <v>348</v>
      </c>
    </row>
    <row r="2" spans="1:4" ht="15.75" thickBot="1">
      <c r="A2" s="49" t="s">
        <v>8</v>
      </c>
      <c r="B2" s="20"/>
      <c r="C2" s="20"/>
      <c r="D2" s="20"/>
    </row>
    <row r="3" spans="1:4" ht="16.5" thickTop="1" thickBot="1">
      <c r="A3" s="1579" t="s">
        <v>349</v>
      </c>
      <c r="B3" s="1558" t="s">
        <v>350</v>
      </c>
      <c r="C3" s="1559"/>
      <c r="D3" s="20"/>
    </row>
    <row r="4" spans="1:4" ht="16.5" thickTop="1" thickBot="1">
      <c r="A4" s="1581"/>
      <c r="B4" s="21" t="s">
        <v>351</v>
      </c>
      <c r="C4" s="159" t="s">
        <v>352</v>
      </c>
      <c r="D4" s="20"/>
    </row>
    <row r="5" spans="1:4" ht="20.25" customHeight="1" thickTop="1" thickBot="1">
      <c r="A5" s="14" t="s">
        <v>353</v>
      </c>
      <c r="B5" s="80"/>
      <c r="C5" s="80"/>
      <c r="D5" s="20"/>
    </row>
    <row r="6" spans="1:4" ht="20.25" customHeight="1" thickBot="1">
      <c r="A6" s="14" t="s">
        <v>354</v>
      </c>
      <c r="B6" s="80"/>
      <c r="C6" s="80"/>
      <c r="D6" s="20"/>
    </row>
    <row r="7" spans="1:4" ht="20.25" customHeight="1" thickBot="1">
      <c r="A7" s="14" t="s">
        <v>355</v>
      </c>
      <c r="B7" s="80"/>
      <c r="C7" s="80"/>
      <c r="D7" s="20"/>
    </row>
    <row r="8" spans="1:4" ht="20.25" customHeight="1" thickBot="1">
      <c r="A8" s="14" t="s">
        <v>356</v>
      </c>
      <c r="B8" s="80"/>
      <c r="C8" s="80"/>
      <c r="D8" s="20"/>
    </row>
    <row r="9" spans="1:4" ht="20.25" customHeight="1" thickBot="1">
      <c r="A9" s="14" t="s">
        <v>357</v>
      </c>
      <c r="B9" s="80"/>
      <c r="C9" s="80"/>
      <c r="D9" s="20"/>
    </row>
    <row r="10" spans="1:4" ht="20.25" customHeight="1" thickBot="1">
      <c r="A10" s="16" t="s">
        <v>358</v>
      </c>
      <c r="B10" s="78"/>
      <c r="C10" s="78"/>
      <c r="D10" s="20"/>
    </row>
    <row r="11" spans="1:4" ht="16.5" thickTop="1" thickBot="1">
      <c r="A11" s="160" t="s">
        <v>15</v>
      </c>
      <c r="B11" s="20"/>
      <c r="C11" s="20"/>
      <c r="D11" s="20"/>
    </row>
    <row r="12" spans="1:4" ht="16.5" thickTop="1" thickBot="1">
      <c r="A12" s="1556" t="s">
        <v>349</v>
      </c>
      <c r="B12" s="1558" t="s">
        <v>359</v>
      </c>
      <c r="C12" s="1559"/>
      <c r="D12" s="20"/>
    </row>
    <row r="13" spans="1:4" ht="16.5" thickTop="1" thickBot="1">
      <c r="A13" s="1557"/>
      <c r="B13" s="21" t="s">
        <v>351</v>
      </c>
      <c r="C13" s="159" t="s">
        <v>352</v>
      </c>
      <c r="D13" s="20"/>
    </row>
    <row r="14" spans="1:4" ht="20.25" customHeight="1" thickTop="1" thickBot="1">
      <c r="A14" s="14" t="s">
        <v>353</v>
      </c>
      <c r="B14" s="80"/>
      <c r="C14" s="80"/>
      <c r="D14" s="20"/>
    </row>
    <row r="15" spans="1:4" ht="20.25" customHeight="1" thickBot="1">
      <c r="A15" s="14" t="s">
        <v>354</v>
      </c>
      <c r="B15" s="80"/>
      <c r="C15" s="80"/>
      <c r="D15" s="20"/>
    </row>
    <row r="16" spans="1:4" ht="20.25" customHeight="1" thickBot="1">
      <c r="A16" s="14" t="s">
        <v>355</v>
      </c>
      <c r="B16" s="80"/>
      <c r="C16" s="80"/>
      <c r="D16" s="20"/>
    </row>
    <row r="17" spans="1:4" ht="20.25" customHeight="1" thickBot="1">
      <c r="A17" s="14" t="s">
        <v>356</v>
      </c>
      <c r="B17" s="80"/>
      <c r="C17" s="80"/>
      <c r="D17" s="20"/>
    </row>
    <row r="18" spans="1:4" ht="20.25" customHeight="1" thickBot="1">
      <c r="A18" s="14" t="s">
        <v>357</v>
      </c>
      <c r="B18" s="80"/>
      <c r="C18" s="80"/>
      <c r="D18" s="20"/>
    </row>
    <row r="19" spans="1:4" ht="20.25" customHeight="1" thickBot="1">
      <c r="A19" s="142" t="s">
        <v>358</v>
      </c>
      <c r="B19" s="78"/>
      <c r="C19" s="78"/>
      <c r="D19" s="20"/>
    </row>
    <row r="20" spans="1:4" ht="15.75" thickTop="1">
      <c r="A20" s="20"/>
      <c r="B20" s="20"/>
      <c r="C20" s="20"/>
      <c r="D20" s="20"/>
    </row>
  </sheetData>
  <mergeCells count="4">
    <mergeCell ref="A3:A4"/>
    <mergeCell ref="B3:C3"/>
    <mergeCell ref="A12:A13"/>
    <mergeCell ref="B12:C12"/>
  </mergeCells>
  <pageMargins left="0.7" right="0.7" top="0.75" bottom="0.75" header="0.3" footer="0.3"/>
  <pageSetup paperSize="9" orientation="portrait" horizontalDpi="300" verticalDpi="300"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6"/>
  <dimension ref="A1:C11"/>
  <sheetViews>
    <sheetView showGridLines="0" zoomScaleNormal="100" workbookViewId="0">
      <selection activeCell="A2" sqref="A2:A10"/>
    </sheetView>
  </sheetViews>
  <sheetFormatPr defaultRowHeight="15"/>
  <cols>
    <col min="1" max="1" width="27.28515625" customWidth="1"/>
    <col min="2" max="3" width="29.5703125" customWidth="1"/>
    <col min="4" max="4" width="17.42578125" customWidth="1"/>
    <col min="5" max="5" width="19.5703125" customWidth="1"/>
    <col min="6" max="6" width="19.28515625" customWidth="1"/>
    <col min="7" max="7" width="13" customWidth="1"/>
  </cols>
  <sheetData>
    <row r="1" spans="1:3" ht="17.25" thickBot="1">
      <c r="A1" s="1" t="s">
        <v>360</v>
      </c>
    </row>
    <row r="2" spans="1:3" ht="24" thickTop="1" thickBot="1">
      <c r="A2" s="84" t="s">
        <v>361</v>
      </c>
      <c r="B2" s="70" t="s">
        <v>362</v>
      </c>
      <c r="C2" s="70" t="s">
        <v>363</v>
      </c>
    </row>
    <row r="3" spans="1:3" ht="20.25" customHeight="1" thickTop="1" thickBot="1">
      <c r="A3" s="122" t="s">
        <v>364</v>
      </c>
      <c r="B3" s="80"/>
      <c r="C3" s="80"/>
    </row>
    <row r="4" spans="1:3" ht="20.25" customHeight="1" thickBot="1">
      <c r="A4" s="129" t="s">
        <v>365</v>
      </c>
      <c r="B4" s="80"/>
      <c r="C4" s="80"/>
    </row>
    <row r="5" spans="1:3" ht="20.25" customHeight="1" thickBot="1">
      <c r="A5" s="129" t="s">
        <v>366</v>
      </c>
      <c r="B5" s="80"/>
      <c r="C5" s="80"/>
    </row>
    <row r="6" spans="1:3" ht="20.25" customHeight="1" thickBot="1">
      <c r="A6" s="129" t="s">
        <v>367</v>
      </c>
      <c r="B6" s="80"/>
      <c r="C6" s="80"/>
    </row>
    <row r="7" spans="1:3" ht="21" customHeight="1" thickBot="1">
      <c r="A7" s="129" t="s">
        <v>493</v>
      </c>
      <c r="B7" s="80"/>
      <c r="C7" s="80"/>
    </row>
    <row r="8" spans="1:3" ht="20.25" customHeight="1" thickBot="1">
      <c r="A8" s="119" t="s">
        <v>368</v>
      </c>
      <c r="B8" s="80"/>
      <c r="C8" s="80"/>
    </row>
    <row r="9" spans="1:3" ht="20.25" customHeight="1" thickBot="1">
      <c r="A9" s="122" t="s">
        <v>369</v>
      </c>
      <c r="B9" s="80"/>
      <c r="C9" s="126"/>
    </row>
    <row r="10" spans="1:3" ht="20.25" customHeight="1" thickBot="1">
      <c r="A10" s="130" t="s">
        <v>370</v>
      </c>
      <c r="B10" s="78"/>
      <c r="C10" s="127"/>
    </row>
    <row r="11" spans="1:3" ht="15.75" thickTop="1"/>
  </sheetData>
  <pageMargins left="0.7" right="0.7" top="0.75" bottom="0.75" header="0.3" footer="0.3"/>
  <pageSetup paperSize="9" orientation="portrait" horizontalDpi="300" verticalDpi="300"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7"/>
  <dimension ref="A1:G9"/>
  <sheetViews>
    <sheetView showGridLines="0" zoomScaleNormal="100" workbookViewId="0">
      <selection activeCell="D14" sqref="D14"/>
    </sheetView>
  </sheetViews>
  <sheetFormatPr defaultRowHeight="15"/>
  <cols>
    <col min="1" max="1" width="16.7109375" customWidth="1"/>
    <col min="2" max="7" width="11.5703125" customWidth="1"/>
  </cols>
  <sheetData>
    <row r="1" spans="1:7" ht="17.25" thickBot="1">
      <c r="A1" s="1" t="s">
        <v>274</v>
      </c>
    </row>
    <row r="2" spans="1:7" ht="44.25" customHeight="1" thickTop="1" thickBot="1">
      <c r="A2" s="1579" t="s">
        <v>275</v>
      </c>
      <c r="B2" s="1558" t="s">
        <v>276</v>
      </c>
      <c r="C2" s="1559"/>
      <c r="D2" s="1558" t="s">
        <v>277</v>
      </c>
      <c r="E2" s="1559"/>
      <c r="F2" s="1558" t="s">
        <v>278</v>
      </c>
      <c r="G2" s="1559"/>
    </row>
    <row r="3" spans="1:7" s="336" customFormat="1" ht="57.75" thickTop="1" thickBot="1">
      <c r="A3" s="1581"/>
      <c r="B3" s="59" t="s">
        <v>2</v>
      </c>
      <c r="C3" s="177" t="s">
        <v>484</v>
      </c>
      <c r="D3" s="177" t="s">
        <v>2</v>
      </c>
      <c r="E3" s="177" t="s">
        <v>484</v>
      </c>
      <c r="F3" s="177" t="s">
        <v>2</v>
      </c>
      <c r="G3" s="177" t="s">
        <v>484</v>
      </c>
    </row>
    <row r="4" spans="1:7" ht="18.75" customHeight="1" thickTop="1" thickBot="1">
      <c r="A4" s="108"/>
      <c r="B4" s="80"/>
      <c r="C4" s="80"/>
      <c r="D4" s="80"/>
      <c r="E4" s="80"/>
      <c r="F4" s="80"/>
      <c r="G4" s="80"/>
    </row>
    <row r="5" spans="1:7" ht="18.75" customHeight="1" thickBot="1">
      <c r="A5" s="108"/>
      <c r="B5" s="80"/>
      <c r="C5" s="80"/>
      <c r="D5" s="80"/>
      <c r="E5" s="80"/>
      <c r="F5" s="80"/>
      <c r="G5" s="80"/>
    </row>
    <row r="6" spans="1:7" ht="18.75" customHeight="1" thickBot="1">
      <c r="A6" s="108"/>
      <c r="B6" s="80"/>
      <c r="C6" s="80"/>
      <c r="D6" s="80"/>
      <c r="E6" s="80"/>
      <c r="F6" s="80"/>
      <c r="G6" s="80"/>
    </row>
    <row r="7" spans="1:7" ht="18.75" customHeight="1" thickBot="1">
      <c r="A7" s="108"/>
      <c r="B7" s="80"/>
      <c r="C7" s="80"/>
      <c r="D7" s="80"/>
      <c r="E7" s="80"/>
      <c r="F7" s="80"/>
      <c r="G7" s="80"/>
    </row>
    <row r="8" spans="1:7" ht="18.75" customHeight="1" thickBot="1">
      <c r="A8" s="72" t="s">
        <v>14</v>
      </c>
      <c r="B8" s="78">
        <f t="shared" ref="B8:G8" si="0">SUM(B4:B7)</f>
        <v>0</v>
      </c>
      <c r="C8" s="78">
        <f t="shared" si="0"/>
        <v>0</v>
      </c>
      <c r="D8" s="78">
        <f t="shared" si="0"/>
        <v>0</v>
      </c>
      <c r="E8" s="78">
        <f t="shared" si="0"/>
        <v>0</v>
      </c>
      <c r="F8" s="78">
        <f t="shared" si="0"/>
        <v>0</v>
      </c>
      <c r="G8" s="78">
        <f t="shared" si="0"/>
        <v>0</v>
      </c>
    </row>
    <row r="9" spans="1:7" ht="15.75" thickTop="1"/>
  </sheetData>
  <mergeCells count="4">
    <mergeCell ref="A2:A3"/>
    <mergeCell ref="B2:C2"/>
    <mergeCell ref="D2:E2"/>
    <mergeCell ref="F2:G2"/>
  </mergeCells>
  <pageMargins left="0.7" right="0.7" top="0.75" bottom="0.75" header="0.3" footer="0.3"/>
  <pageSetup paperSize="9" orientation="portrait" horizontalDpi="300" verticalDpi="300" r:id="rId1"/>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8"/>
  <dimension ref="A1:R13"/>
  <sheetViews>
    <sheetView showGridLines="0" zoomScaleNormal="100" workbookViewId="0">
      <selection activeCell="N4" sqref="N4:R12"/>
    </sheetView>
  </sheetViews>
  <sheetFormatPr defaultRowHeight="15"/>
  <cols>
    <col min="1" max="1" width="24.5703125" customWidth="1"/>
    <col min="2" max="6" width="12.28515625" customWidth="1"/>
    <col min="7" max="7" width="13" customWidth="1"/>
    <col min="8" max="8" width="15.7109375" style="335" customWidth="1"/>
    <col min="9" max="10" width="15.7109375" style="336" customWidth="1"/>
    <col min="11" max="11" width="14.85546875" style="336" customWidth="1"/>
    <col min="12" max="12" width="14.85546875" style="340" customWidth="1"/>
    <col min="13" max="13" width="6.5703125" customWidth="1"/>
    <col min="14" max="14" width="15.5703125" style="335" customWidth="1"/>
    <col min="15" max="17" width="15.5703125" style="336" customWidth="1"/>
    <col min="18" max="18" width="15.5703125" style="340" customWidth="1"/>
    <col min="19" max="19" width="19.85546875" customWidth="1"/>
  </cols>
  <sheetData>
    <row r="1" spans="1:18" ht="17.25" thickBot="1">
      <c r="A1" s="1" t="s">
        <v>279</v>
      </c>
      <c r="H1" s="1574" t="s">
        <v>1056</v>
      </c>
      <c r="I1" s="1575"/>
      <c r="J1" s="1575"/>
      <c r="K1" s="1575"/>
      <c r="L1" s="1576"/>
      <c r="N1" s="1574" t="s">
        <v>1058</v>
      </c>
      <c r="O1" s="1575"/>
      <c r="P1" s="1575"/>
      <c r="Q1" s="1575"/>
      <c r="R1" s="1576"/>
    </row>
    <row r="2" spans="1:18" ht="33" customHeight="1" thickTop="1" thickBot="1">
      <c r="A2" s="1579" t="s">
        <v>131</v>
      </c>
      <c r="B2" s="38" t="s">
        <v>2</v>
      </c>
      <c r="C2" s="1558" t="s">
        <v>3</v>
      </c>
      <c r="D2" s="1559"/>
      <c r="E2" s="1558" t="s">
        <v>280</v>
      </c>
      <c r="F2" s="1559"/>
      <c r="H2" s="59" t="s">
        <v>2</v>
      </c>
      <c r="I2" s="1558" t="s">
        <v>3</v>
      </c>
      <c r="J2" s="1559"/>
      <c r="K2" s="1558" t="s">
        <v>280</v>
      </c>
      <c r="L2" s="1559"/>
      <c r="N2" s="59" t="s">
        <v>2</v>
      </c>
      <c r="O2" s="1558" t="s">
        <v>3</v>
      </c>
      <c r="P2" s="1559"/>
      <c r="Q2" s="1558" t="s">
        <v>280</v>
      </c>
      <c r="R2" s="1559"/>
    </row>
    <row r="3" spans="1:18" ht="45" customHeight="1" thickTop="1" thickBot="1">
      <c r="A3" s="1581"/>
      <c r="B3" s="21" t="s">
        <v>281</v>
      </c>
      <c r="C3" s="21" t="s">
        <v>281</v>
      </c>
      <c r="D3" s="21" t="s">
        <v>282</v>
      </c>
      <c r="E3" s="21" t="s">
        <v>2</v>
      </c>
      <c r="F3" s="21" t="s">
        <v>486</v>
      </c>
      <c r="H3" s="175" t="s">
        <v>281</v>
      </c>
      <c r="I3" s="21" t="s">
        <v>281</v>
      </c>
      <c r="J3" s="21" t="s">
        <v>282</v>
      </c>
      <c r="K3" s="21" t="s">
        <v>2</v>
      </c>
      <c r="L3" s="21" t="s">
        <v>486</v>
      </c>
      <c r="N3" s="175" t="s">
        <v>281</v>
      </c>
      <c r="O3" s="21" t="s">
        <v>281</v>
      </c>
      <c r="P3" s="21" t="s">
        <v>282</v>
      </c>
      <c r="Q3" s="21" t="s">
        <v>2</v>
      </c>
      <c r="R3" s="21" t="s">
        <v>486</v>
      </c>
    </row>
    <row r="4" spans="1:18" ht="19.5" customHeight="1" thickTop="1" thickBot="1">
      <c r="A4" s="122" t="s">
        <v>485</v>
      </c>
      <c r="B4" s="161"/>
      <c r="C4" s="162"/>
      <c r="D4" s="163"/>
      <c r="E4" s="164"/>
      <c r="F4" s="164"/>
      <c r="K4" s="337">
        <f>B4-C4-E4</f>
        <v>0</v>
      </c>
      <c r="L4" s="341">
        <f>C4-D4-F4</f>
        <v>0</v>
      </c>
      <c r="N4" s="338">
        <f>B4-'BS old'!$D$42</f>
        <v>0</v>
      </c>
      <c r="O4" s="337">
        <f>C4-'BS old'!$G$42</f>
        <v>0</v>
      </c>
    </row>
    <row r="5" spans="1:18" ht="19.5" customHeight="1" thickBot="1">
      <c r="A5" s="119" t="s">
        <v>91</v>
      </c>
      <c r="B5" s="165"/>
      <c r="C5" s="165"/>
      <c r="D5" s="166"/>
      <c r="E5" s="121"/>
      <c r="F5" s="121"/>
      <c r="K5" s="337">
        <f>B5-C5-E5</f>
        <v>0</v>
      </c>
      <c r="L5" s="341">
        <f t="shared" ref="L5:L7" si="0">C5-D5-F5</f>
        <v>0</v>
      </c>
      <c r="N5" s="338">
        <f>B5-'BS old'!$D$43</f>
        <v>0</v>
      </c>
      <c r="O5" s="337">
        <f>C5-'BS old'!$G$43</f>
        <v>0</v>
      </c>
    </row>
    <row r="6" spans="1:18" ht="19.5" customHeight="1" thickBot="1">
      <c r="A6" s="14" t="s">
        <v>283</v>
      </c>
      <c r="B6" s="93"/>
      <c r="C6" s="93"/>
      <c r="D6" s="94"/>
      <c r="E6" s="80"/>
      <c r="F6" s="80"/>
      <c r="K6" s="337">
        <f>B6-C6-E6</f>
        <v>0</v>
      </c>
      <c r="L6" s="341">
        <f t="shared" si="0"/>
        <v>0</v>
      </c>
      <c r="N6" s="338">
        <f>B6-'BS old'!$D$44</f>
        <v>0</v>
      </c>
      <c r="O6" s="337">
        <f>C6-'BS old'!$G$44</f>
        <v>0</v>
      </c>
    </row>
    <row r="7" spans="1:18" ht="19.5" customHeight="1" thickBot="1">
      <c r="A7" s="14" t="s">
        <v>14</v>
      </c>
      <c r="B7" s="79">
        <f>SUM(B4:B6)</f>
        <v>0</v>
      </c>
      <c r="C7" s="93">
        <f t="shared" ref="C7:F7" si="1">SUM(C4:C6)</f>
        <v>0</v>
      </c>
      <c r="D7" s="94">
        <f t="shared" si="1"/>
        <v>0</v>
      </c>
      <c r="E7" s="80">
        <f t="shared" si="1"/>
        <v>0</v>
      </c>
      <c r="F7" s="80">
        <f t="shared" si="1"/>
        <v>0</v>
      </c>
      <c r="H7" s="338">
        <f>SUM(B4:B6)-B7</f>
        <v>0</v>
      </c>
      <c r="I7" s="337">
        <f t="shared" ref="I7:J7" si="2">SUM(C4:C6)-C7</f>
        <v>0</v>
      </c>
      <c r="J7" s="337">
        <f t="shared" si="2"/>
        <v>0</v>
      </c>
      <c r="K7" s="337">
        <f>B7-C7-E7</f>
        <v>0</v>
      </c>
      <c r="L7" s="341">
        <f t="shared" si="0"/>
        <v>0</v>
      </c>
    </row>
    <row r="8" spans="1:18" ht="19.5" customHeight="1" thickBot="1">
      <c r="A8" s="14" t="s">
        <v>284</v>
      </c>
      <c r="B8" s="110" t="s">
        <v>18</v>
      </c>
      <c r="C8" s="110" t="s">
        <v>18</v>
      </c>
      <c r="D8" s="123" t="s">
        <v>18</v>
      </c>
      <c r="E8" s="80"/>
      <c r="F8" s="80"/>
    </row>
    <row r="9" spans="1:18" ht="19.5" customHeight="1" thickBot="1">
      <c r="A9" s="14" t="s">
        <v>285</v>
      </c>
      <c r="B9" s="110" t="s">
        <v>18</v>
      </c>
      <c r="C9" s="110" t="s">
        <v>18</v>
      </c>
      <c r="D9" s="123" t="s">
        <v>18</v>
      </c>
      <c r="E9" s="80"/>
      <c r="F9" s="80"/>
    </row>
    <row r="10" spans="1:18" ht="19.5" customHeight="1" thickBot="1">
      <c r="A10" s="14" t="s">
        <v>286</v>
      </c>
      <c r="B10" s="110" t="s">
        <v>18</v>
      </c>
      <c r="C10" s="110" t="s">
        <v>18</v>
      </c>
      <c r="D10" s="123" t="s">
        <v>18</v>
      </c>
      <c r="E10" s="80"/>
      <c r="F10" s="80"/>
    </row>
    <row r="11" spans="1:18" ht="19.5" customHeight="1" thickBot="1">
      <c r="A11" s="16" t="s">
        <v>287</v>
      </c>
      <c r="B11" s="112" t="s">
        <v>18</v>
      </c>
      <c r="C11" s="112" t="s">
        <v>18</v>
      </c>
      <c r="D11" s="124" t="s">
        <v>18</v>
      </c>
      <c r="E11" s="78"/>
      <c r="F11" s="78"/>
    </row>
    <row r="12" spans="1:18" ht="19.5" customHeight="1" thickTop="1" thickBot="1">
      <c r="A12" s="25" t="s">
        <v>288</v>
      </c>
      <c r="B12" s="112" t="s">
        <v>18</v>
      </c>
      <c r="C12" s="112" t="s">
        <v>18</v>
      </c>
      <c r="D12" s="124" t="s">
        <v>18</v>
      </c>
      <c r="E12" s="78"/>
      <c r="F12" s="78"/>
      <c r="K12" s="337">
        <f>SUM(E7:E11)-E12</f>
        <v>0</v>
      </c>
      <c r="L12" s="341">
        <f>SUM(F7:F11)-F12</f>
        <v>0</v>
      </c>
      <c r="Q12" s="337">
        <f>E12-'P&amp;L old'!$D$14</f>
        <v>0</v>
      </c>
      <c r="R12" s="341">
        <f>F12-'P&amp;L old'!$E$14</f>
        <v>0</v>
      </c>
    </row>
    <row r="13" spans="1:18" ht="15.75" thickTop="1"/>
  </sheetData>
  <mergeCells count="9">
    <mergeCell ref="A2:A3"/>
    <mergeCell ref="C2:D2"/>
    <mergeCell ref="E2:F2"/>
    <mergeCell ref="Q2:R2"/>
    <mergeCell ref="N1:R1"/>
    <mergeCell ref="K2:L2"/>
    <mergeCell ref="I2:J2"/>
    <mergeCell ref="H1:L1"/>
    <mergeCell ref="O2:P2"/>
  </mergeCells>
  <conditionalFormatting sqref="H4:L12">
    <cfRule type="cellIs" dxfId="86" priority="4" operator="lessThan">
      <formula>0</formula>
    </cfRule>
    <cfRule type="cellIs" dxfId="85" priority="5" operator="greaterThan">
      <formula>0</formula>
    </cfRule>
  </conditionalFormatting>
  <conditionalFormatting sqref="N1">
    <cfRule type="cellIs" priority="3" stopIfTrue="1" operator="greaterThan">
      <formula>0</formula>
    </cfRule>
  </conditionalFormatting>
  <conditionalFormatting sqref="N4:R12">
    <cfRule type="cellIs" dxfId="84" priority="1" operator="lessThan">
      <formula>0</formula>
    </cfRule>
    <cfRule type="cellIs" dxfId="83" priority="2" operator="greaterThan">
      <formula>0</formula>
    </cfRule>
  </conditionalFormatting>
  <pageMargins left="0.7" right="0.7" top="0.75" bottom="0.75" header="0.3" footer="0.3"/>
  <pageSetup paperSize="9" orientation="portrait" horizontalDpi="300" verticalDpi="300" r:id="rId1"/>
  <legacy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9"/>
  <dimension ref="A1:F20"/>
  <sheetViews>
    <sheetView showGridLines="0" topLeftCell="A2" zoomScaleNormal="100" workbookViewId="0">
      <selection activeCell="E2" sqref="E2:F19"/>
    </sheetView>
  </sheetViews>
  <sheetFormatPr defaultRowHeight="15"/>
  <cols>
    <col min="1" max="1" width="27.85546875" customWidth="1"/>
    <col min="2" max="3" width="29.42578125" customWidth="1"/>
    <col min="4" max="4" width="17.42578125" customWidth="1"/>
    <col min="5" max="5" width="26.5703125" style="335" customWidth="1"/>
    <col min="6" max="6" width="30.28515625" style="340" customWidth="1"/>
  </cols>
  <sheetData>
    <row r="1" spans="1:6" ht="116.25" thickBot="1">
      <c r="A1" s="377" t="s">
        <v>289</v>
      </c>
      <c r="E1" s="1574" t="s">
        <v>1058</v>
      </c>
      <c r="F1" s="1576"/>
    </row>
    <row r="2" spans="1:6" ht="21" customHeight="1" thickTop="1" thickBot="1">
      <c r="A2" s="59" t="s">
        <v>131</v>
      </c>
      <c r="B2" s="655" t="s">
        <v>2</v>
      </c>
      <c r="C2" s="655" t="s">
        <v>3</v>
      </c>
      <c r="E2" s="346" t="s">
        <v>2</v>
      </c>
      <c r="F2" s="347" t="s">
        <v>3</v>
      </c>
    </row>
    <row r="3" spans="1:6" ht="18.75" customHeight="1" thickTop="1" thickBot="1">
      <c r="A3" s="44" t="s">
        <v>487</v>
      </c>
      <c r="B3" s="80"/>
      <c r="C3" s="80"/>
      <c r="E3" s="378"/>
      <c r="F3" s="379"/>
    </row>
    <row r="4" spans="1:6" ht="18.75" customHeight="1" thickBot="1">
      <c r="A4" s="14"/>
      <c r="B4" s="80"/>
      <c r="C4" s="80"/>
      <c r="E4" s="378"/>
      <c r="F4" s="379"/>
    </row>
    <row r="5" spans="1:6" ht="18.75" customHeight="1" thickBot="1">
      <c r="A5" s="14"/>
      <c r="B5" s="80"/>
      <c r="C5" s="80"/>
      <c r="E5" s="378"/>
      <c r="F5" s="379"/>
    </row>
    <row r="6" spans="1:6" ht="18.75" customHeight="1" thickBot="1">
      <c r="A6" s="44" t="s">
        <v>290</v>
      </c>
      <c r="B6" s="80"/>
      <c r="C6" s="80"/>
      <c r="E6" s="378"/>
      <c r="F6" s="379"/>
    </row>
    <row r="7" spans="1:6" ht="18.75" customHeight="1" thickBot="1">
      <c r="A7" s="14"/>
      <c r="B7" s="80"/>
      <c r="C7" s="80"/>
      <c r="E7" s="378"/>
      <c r="F7" s="379"/>
    </row>
    <row r="8" spans="1:6" ht="18.75" customHeight="1" thickBot="1">
      <c r="A8" s="14"/>
      <c r="B8" s="80"/>
      <c r="C8" s="80"/>
      <c r="E8" s="378"/>
      <c r="F8" s="379"/>
    </row>
    <row r="9" spans="1:6" ht="18.75" customHeight="1" thickBot="1">
      <c r="A9" s="14"/>
      <c r="B9" s="80"/>
      <c r="C9" s="80"/>
      <c r="E9" s="378"/>
      <c r="F9" s="379"/>
    </row>
    <row r="10" spans="1:6" ht="18.75" customHeight="1" thickBot="1">
      <c r="A10" s="44" t="s">
        <v>291</v>
      </c>
      <c r="B10" s="80"/>
      <c r="C10" s="80"/>
      <c r="E10" s="338">
        <f>B10-SUM('P&amp;L old'!$D$35,'P&amp;L old'!$D$37,'P&amp;L old'!$D$41,'P&amp;L old'!$D$43,'P&amp;L old'!$D$46,'P&amp;L old'!$D$48,'P&amp;L old'!$D$50,'P&amp;L old'!$D$52)</f>
        <v>0</v>
      </c>
      <c r="F10" s="341">
        <f>C10-SUM('P&amp;L old'!$E$35,'P&amp;L old'!$E$37,'P&amp;L old'!$E$41,'P&amp;L old'!$E$43,'P&amp;L old'!$E$46,'P&amp;L old'!$E$48,'P&amp;L old'!$E$50,'P&amp;L old'!$E$52)</f>
        <v>0</v>
      </c>
    </row>
    <row r="11" spans="1:6" ht="18.75" customHeight="1" thickBot="1">
      <c r="A11" s="128" t="s">
        <v>292</v>
      </c>
      <c r="B11" s="125"/>
      <c r="C11" s="125"/>
      <c r="E11" s="338">
        <f>B11-'P&amp;L old'!$D$48</f>
        <v>0</v>
      </c>
      <c r="F11" s="341">
        <f>C11-'P&amp;L old'!$E$48</f>
        <v>0</v>
      </c>
    </row>
    <row r="12" spans="1:6" ht="18.75" customHeight="1" thickBot="1">
      <c r="A12" s="14" t="s">
        <v>293</v>
      </c>
      <c r="B12" s="80"/>
      <c r="C12" s="80"/>
    </row>
    <row r="13" spans="1:6" ht="18.75" customHeight="1" thickBot="1">
      <c r="A13" s="128" t="s">
        <v>294</v>
      </c>
      <c r="B13" s="125"/>
      <c r="C13" s="125"/>
    </row>
    <row r="14" spans="1:6" ht="18.75" customHeight="1" thickBot="1">
      <c r="A14" s="14"/>
      <c r="B14" s="80"/>
      <c r="C14" s="80"/>
    </row>
    <row r="15" spans="1:6" ht="18.75" customHeight="1" thickBot="1">
      <c r="A15" s="14"/>
      <c r="B15" s="80"/>
      <c r="C15" s="80"/>
    </row>
    <row r="16" spans="1:6" ht="18.75" customHeight="1" thickBot="1">
      <c r="A16" s="14"/>
      <c r="B16" s="80"/>
      <c r="C16" s="80"/>
    </row>
    <row r="17" spans="1:6" ht="18.75" customHeight="1" thickBot="1">
      <c r="A17" s="44" t="s">
        <v>295</v>
      </c>
      <c r="B17" s="80"/>
      <c r="C17" s="80"/>
      <c r="E17" s="338">
        <f>B17-'P&amp;L old'!$D$60</f>
        <v>0</v>
      </c>
      <c r="F17" s="341">
        <f>C17-'P&amp;L old'!$E$60</f>
        <v>0</v>
      </c>
    </row>
    <row r="18" spans="1:6" ht="18.75" customHeight="1" thickBot="1">
      <c r="A18" s="122"/>
      <c r="B18" s="126"/>
      <c r="C18" s="126"/>
    </row>
    <row r="19" spans="1:6" ht="18.75" customHeight="1" thickBot="1">
      <c r="A19" s="101"/>
      <c r="B19" s="127"/>
      <c r="C19" s="127"/>
    </row>
    <row r="20" spans="1:6" ht="15.75" thickTop="1">
      <c r="A20" s="99"/>
      <c r="B20" s="20"/>
      <c r="C20" s="20"/>
    </row>
  </sheetData>
  <mergeCells count="1">
    <mergeCell ref="E1:F1"/>
  </mergeCells>
  <conditionalFormatting sqref="E1">
    <cfRule type="cellIs" priority="3" stopIfTrue="1" operator="greaterThan">
      <formula>0</formula>
    </cfRule>
  </conditionalFormatting>
  <conditionalFormatting sqref="E10:F17">
    <cfRule type="cellIs" dxfId="82" priority="1" operator="lessThan">
      <formula>0</formula>
    </cfRule>
    <cfRule type="cellIs" dxfId="81" priority="2" operator="greaterThan">
      <formula>0</formula>
    </cfRule>
  </conditionalFormatting>
  <pageMargins left="0.7" right="0.7" top="0.75" bottom="0.75" header="0.3" footer="0.3"/>
  <pageSetup paperSize="9"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G10"/>
  <sheetViews>
    <sheetView showGridLines="0" zoomScaleNormal="100" workbookViewId="0">
      <selection activeCell="B15" sqref="B15"/>
    </sheetView>
  </sheetViews>
  <sheetFormatPr defaultRowHeight="15"/>
  <cols>
    <col min="1" max="1" width="24.85546875" customWidth="1"/>
    <col min="2" max="2" width="10.42578125" customWidth="1"/>
    <col min="3" max="4" width="13.42578125" customWidth="1"/>
    <col min="5" max="6" width="11.85546875" customWidth="1"/>
  </cols>
  <sheetData>
    <row r="1" spans="1:7" s="39" customFormat="1" ht="16.5">
      <c r="A1" s="1" t="s">
        <v>7</v>
      </c>
    </row>
    <row r="2" spans="1:7">
      <c r="A2" s="20"/>
      <c r="B2" s="20"/>
      <c r="C2" s="20"/>
      <c r="D2" s="20"/>
      <c r="E2" s="20"/>
      <c r="F2" s="20"/>
      <c r="G2" s="20"/>
    </row>
    <row r="3" spans="1:7" ht="15.75" thickBot="1">
      <c r="A3" s="20" t="s">
        <v>15</v>
      </c>
      <c r="B3" s="20"/>
      <c r="C3" s="20"/>
      <c r="D3" s="20"/>
      <c r="E3" s="20"/>
      <c r="F3" s="20"/>
      <c r="G3" s="20"/>
    </row>
    <row r="4" spans="1:7" ht="44.25" customHeight="1" thickTop="1" thickBot="1">
      <c r="A4" s="1558" t="s">
        <v>16</v>
      </c>
      <c r="B4" s="1559"/>
      <c r="C4" s="1558" t="s">
        <v>10</v>
      </c>
      <c r="D4" s="1559"/>
      <c r="E4" s="1556" t="s">
        <v>11</v>
      </c>
      <c r="F4" s="1556" t="s">
        <v>454</v>
      </c>
      <c r="G4" s="20"/>
    </row>
    <row r="5" spans="1:7" ht="27" customHeight="1" thickTop="1" thickBot="1">
      <c r="A5" s="389" t="s">
        <v>9</v>
      </c>
      <c r="B5" s="21" t="s">
        <v>17</v>
      </c>
      <c r="C5" s="21" t="s">
        <v>13</v>
      </c>
      <c r="D5" s="21" t="s">
        <v>12</v>
      </c>
      <c r="E5" s="1557"/>
      <c r="F5" s="1557"/>
      <c r="G5" s="20"/>
    </row>
    <row r="6" spans="1:7" ht="16.5" thickTop="1" thickBot="1">
      <c r="A6" s="14"/>
      <c r="B6" s="31"/>
      <c r="C6" s="22"/>
      <c r="D6" s="32"/>
      <c r="E6" s="32"/>
      <c r="F6" s="33"/>
      <c r="G6" s="20"/>
    </row>
    <row r="7" spans="1:7" ht="15.75" thickBot="1">
      <c r="A7" s="14"/>
      <c r="B7" s="31"/>
      <c r="C7" s="22"/>
      <c r="D7" s="32"/>
      <c r="E7" s="32"/>
      <c r="F7" s="33"/>
      <c r="G7" s="20"/>
    </row>
    <row r="8" spans="1:7" ht="15.75" thickBot="1">
      <c r="A8" s="14"/>
      <c r="B8" s="31"/>
      <c r="C8" s="22"/>
      <c r="D8" s="32"/>
      <c r="E8" s="32"/>
      <c r="F8" s="33"/>
      <c r="G8" s="20"/>
    </row>
    <row r="9" spans="1:7" ht="15.75" thickBot="1">
      <c r="A9" s="25" t="s">
        <v>14</v>
      </c>
      <c r="B9" s="34" t="s">
        <v>18</v>
      </c>
      <c r="C9" s="26">
        <f>SUM(C6:C8)</f>
        <v>0</v>
      </c>
      <c r="D9" s="35">
        <f>SUM(D6:D8)</f>
        <v>0</v>
      </c>
      <c r="E9" s="35">
        <f t="shared" ref="E9:F9" si="0">SUM(E6:E8)</f>
        <v>0</v>
      </c>
      <c r="F9" s="36">
        <f t="shared" si="0"/>
        <v>0</v>
      </c>
      <c r="G9" s="20"/>
    </row>
    <row r="10" spans="1:7" ht="15.75" thickTop="1">
      <c r="A10" s="37"/>
      <c r="B10" s="37"/>
      <c r="C10" s="37"/>
      <c r="D10" s="37"/>
      <c r="E10" s="37"/>
      <c r="F10" s="37"/>
      <c r="G10" s="37"/>
    </row>
  </sheetData>
  <mergeCells count="4">
    <mergeCell ref="F4:F5"/>
    <mergeCell ref="A4:B4"/>
    <mergeCell ref="C4:D4"/>
    <mergeCell ref="E4:E5"/>
  </mergeCells>
  <pageMargins left="0.7" right="0.7" top="0.75" bottom="0.75" header="0.3" footer="0.3"/>
  <pageSetup paperSize="9" orientation="portrait" horizontalDpi="300" verticalDpi="300"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0"/>
  <dimension ref="A1:I10"/>
  <sheetViews>
    <sheetView showGridLines="0" topLeftCell="B1" zoomScaleNormal="100" workbookViewId="0">
      <selection activeCell="H2" sqref="H2:I9"/>
    </sheetView>
  </sheetViews>
  <sheetFormatPr defaultRowHeight="15"/>
  <cols>
    <col min="1" max="1" width="27.85546875" customWidth="1"/>
    <col min="2" max="3" width="29.42578125" customWidth="1"/>
    <col min="4" max="4" width="17.42578125" customWidth="1"/>
    <col min="5" max="5" width="29.7109375" style="335" customWidth="1"/>
    <col min="6" max="6" width="29.7109375" style="340" customWidth="1"/>
    <col min="7" max="7" width="4.7109375" customWidth="1"/>
    <col min="8" max="8" width="26.5703125" style="335" customWidth="1"/>
    <col min="9" max="9" width="30.28515625" style="340" customWidth="1"/>
    <col min="10" max="10" width="13" customWidth="1"/>
  </cols>
  <sheetData>
    <row r="1" spans="1:9" ht="17.25" thickBot="1">
      <c r="A1" s="1" t="s">
        <v>296</v>
      </c>
      <c r="E1" s="1589" t="s">
        <v>1056</v>
      </c>
      <c r="F1" s="1590"/>
      <c r="G1" s="339"/>
      <c r="H1" s="1574" t="s">
        <v>1058</v>
      </c>
      <c r="I1" s="1576"/>
    </row>
    <row r="2" spans="1:9" ht="26.25" customHeight="1" thickTop="1" thickBot="1">
      <c r="A2" s="59" t="s">
        <v>131</v>
      </c>
      <c r="B2" s="38" t="s">
        <v>2</v>
      </c>
      <c r="C2" s="38" t="s">
        <v>3</v>
      </c>
      <c r="E2" s="59" t="s">
        <v>2</v>
      </c>
      <c r="F2" s="177" t="s">
        <v>3</v>
      </c>
      <c r="H2" s="59" t="s">
        <v>2</v>
      </c>
      <c r="I2" s="177" t="s">
        <v>3</v>
      </c>
    </row>
    <row r="3" spans="1:9" ht="18.75" customHeight="1" thickTop="1" thickBot="1">
      <c r="A3" s="71" t="s">
        <v>297</v>
      </c>
      <c r="B3" s="80"/>
      <c r="C3" s="80"/>
      <c r="H3" s="338">
        <f>B3+B4-'P&amp;L old'!$D$13</f>
        <v>0</v>
      </c>
      <c r="I3" s="355">
        <f>C3+C4-'P&amp;L old'!$E$13</f>
        <v>0</v>
      </c>
    </row>
    <row r="4" spans="1:9" ht="18.75" customHeight="1" thickBot="1">
      <c r="A4" s="71" t="s">
        <v>298</v>
      </c>
      <c r="B4" s="80"/>
      <c r="C4" s="80"/>
      <c r="H4" s="338">
        <f>H3</f>
        <v>0</v>
      </c>
      <c r="I4" s="341">
        <f>I3</f>
        <v>0</v>
      </c>
    </row>
    <row r="5" spans="1:9" ht="18.75" customHeight="1" thickBot="1">
      <c r="A5" s="71" t="s">
        <v>299</v>
      </c>
      <c r="B5" s="80"/>
      <c r="C5" s="80"/>
      <c r="H5" s="338">
        <f>B5-'P&amp;L old'!$D$9</f>
        <v>0</v>
      </c>
      <c r="I5" s="341">
        <f>C5-'P&amp;L old'!$E$9</f>
        <v>0</v>
      </c>
    </row>
    <row r="6" spans="1:9" ht="18.75" customHeight="1" thickBot="1">
      <c r="A6" s="71" t="s">
        <v>300</v>
      </c>
      <c r="B6" s="80"/>
      <c r="C6" s="80"/>
      <c r="H6" s="378"/>
      <c r="I6" s="379"/>
    </row>
    <row r="7" spans="1:9" ht="18.75" customHeight="1" thickBot="1">
      <c r="A7" s="71" t="s">
        <v>301</v>
      </c>
      <c r="B7" s="80"/>
      <c r="C7" s="80"/>
      <c r="H7" s="338">
        <f>B7-'P&amp;L old'!$D$27</f>
        <v>0</v>
      </c>
      <c r="I7" s="341">
        <f>C7-'P&amp;L old'!$E$27</f>
        <v>0</v>
      </c>
    </row>
    <row r="8" spans="1:9" ht="18.75" customHeight="1" thickBot="1">
      <c r="A8" s="14" t="s">
        <v>302</v>
      </c>
      <c r="B8" s="80"/>
      <c r="C8" s="80"/>
      <c r="H8" s="378"/>
      <c r="I8" s="379"/>
    </row>
    <row r="9" spans="1:9" ht="18.75" customHeight="1" thickBot="1">
      <c r="A9" s="72" t="s">
        <v>303</v>
      </c>
      <c r="B9" s="78">
        <f>SUM(B3:B8)</f>
        <v>0</v>
      </c>
      <c r="C9" s="78">
        <f>SUM(C3:C8)</f>
        <v>0</v>
      </c>
      <c r="E9" s="338">
        <f>SUM(B3:B8)-B9</f>
        <v>0</v>
      </c>
      <c r="F9" s="340">
        <f>SUM(C3:C8)-C9</f>
        <v>0</v>
      </c>
      <c r="H9" s="378"/>
      <c r="I9" s="379"/>
    </row>
    <row r="10" spans="1:9" ht="15.75" thickTop="1">
      <c r="H10" s="338"/>
      <c r="I10" s="341"/>
    </row>
  </sheetData>
  <mergeCells count="2">
    <mergeCell ref="H1:I1"/>
    <mergeCell ref="E1:F1"/>
  </mergeCells>
  <conditionalFormatting sqref="H1">
    <cfRule type="cellIs" priority="5" stopIfTrue="1" operator="greaterThan">
      <formula>0</formula>
    </cfRule>
  </conditionalFormatting>
  <conditionalFormatting sqref="H3:I10">
    <cfRule type="cellIs" dxfId="80" priority="3" operator="lessThan">
      <formula>0</formula>
    </cfRule>
    <cfRule type="cellIs" dxfId="79" priority="4" operator="greaterThan">
      <formula>0</formula>
    </cfRule>
  </conditionalFormatting>
  <conditionalFormatting sqref="E9:F9">
    <cfRule type="cellIs" dxfId="78" priority="1" operator="lessThan">
      <formula>0</formula>
    </cfRule>
    <cfRule type="cellIs" dxfId="77" priority="2" operator="greaterThan">
      <formula>0</formula>
    </cfRule>
  </conditionalFormatting>
  <pageMargins left="0.7" right="0.7" top="0.75" bottom="0.75" header="0.3" footer="0.3"/>
  <pageSetup paperSize="9" orientation="portrait" horizontalDpi="300" verticalDpi="300"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1"/>
  <dimension ref="A1:I28"/>
  <sheetViews>
    <sheetView showGridLines="0" topLeftCell="B1" zoomScaleNormal="100" workbookViewId="0">
      <selection activeCell="E2" sqref="E2:F27"/>
    </sheetView>
  </sheetViews>
  <sheetFormatPr defaultRowHeight="15"/>
  <cols>
    <col min="1" max="1" width="27.85546875" customWidth="1"/>
    <col min="2" max="3" width="29.42578125" customWidth="1"/>
    <col min="4" max="4" width="17.42578125" customWidth="1"/>
    <col min="5" max="5" width="29.7109375" style="335" customWidth="1"/>
    <col min="6" max="6" width="29.7109375" style="340" customWidth="1"/>
    <col min="7" max="7" width="4.7109375" customWidth="1"/>
    <col min="8" max="8" width="26.5703125" style="335" customWidth="1"/>
    <col min="9" max="9" width="30.28515625" style="340" customWidth="1"/>
  </cols>
  <sheetData>
    <row r="1" spans="1:9" ht="17.25" thickBot="1">
      <c r="A1" s="1" t="s">
        <v>304</v>
      </c>
      <c r="E1" s="1589" t="s">
        <v>1056</v>
      </c>
      <c r="F1" s="1590"/>
      <c r="G1" s="339"/>
      <c r="H1" s="1574" t="s">
        <v>1058</v>
      </c>
      <c r="I1" s="1576"/>
    </row>
    <row r="2" spans="1:9" ht="26.25" customHeight="1" thickTop="1" thickBot="1">
      <c r="A2" s="59" t="s">
        <v>131</v>
      </c>
      <c r="B2" s="38" t="s">
        <v>2</v>
      </c>
      <c r="C2" s="38" t="s">
        <v>3</v>
      </c>
      <c r="E2" s="59" t="s">
        <v>2</v>
      </c>
      <c r="F2" s="177" t="s">
        <v>3</v>
      </c>
      <c r="H2" s="59" t="s">
        <v>2</v>
      </c>
      <c r="I2" s="177" t="s">
        <v>3</v>
      </c>
    </row>
    <row r="3" spans="1:9" ht="20.25" customHeight="1" thickTop="1" thickBot="1">
      <c r="A3" s="44" t="s">
        <v>305</v>
      </c>
      <c r="B3" s="80"/>
      <c r="C3" s="80"/>
      <c r="E3" s="338">
        <f>SUM(B4,B10)-B3</f>
        <v>0</v>
      </c>
      <c r="F3" s="341">
        <f>SUM(C4,C10)-C3</f>
        <v>0</v>
      </c>
      <c r="H3" s="338">
        <f>B3-'P&amp;L old'!$D$18</f>
        <v>0</v>
      </c>
      <c r="I3" s="341">
        <f>C3-'P&amp;L old'!$E$18</f>
        <v>0</v>
      </c>
    </row>
    <row r="4" spans="1:9" ht="20.25" customHeight="1" thickBot="1">
      <c r="A4" s="128" t="s">
        <v>306</v>
      </c>
      <c r="B4" s="125"/>
      <c r="C4" s="125"/>
      <c r="E4" s="338">
        <f>SUM(B5:B9)-B4</f>
        <v>0</v>
      </c>
      <c r="F4" s="341">
        <f>SUM(C5:C9)-C4</f>
        <v>0</v>
      </c>
      <c r="H4" s="338"/>
      <c r="I4" s="341"/>
    </row>
    <row r="5" spans="1:9" ht="20.25" customHeight="1" thickBot="1">
      <c r="A5" s="14" t="s">
        <v>307</v>
      </c>
      <c r="B5" s="80"/>
      <c r="C5" s="80"/>
      <c r="F5" s="341"/>
      <c r="H5" s="380"/>
      <c r="I5" s="381"/>
    </row>
    <row r="6" spans="1:9" ht="20.25" customHeight="1" thickBot="1">
      <c r="A6" s="14" t="s">
        <v>308</v>
      </c>
      <c r="B6" s="80"/>
      <c r="C6" s="80"/>
      <c r="F6" s="341"/>
      <c r="H6" s="382"/>
      <c r="I6" s="383"/>
    </row>
    <row r="7" spans="1:9" ht="20.25" customHeight="1" thickBot="1">
      <c r="A7" s="14" t="s">
        <v>309</v>
      </c>
      <c r="B7" s="80"/>
      <c r="C7" s="80"/>
      <c r="F7" s="341"/>
      <c r="H7" s="380"/>
      <c r="I7" s="381"/>
    </row>
    <row r="8" spans="1:9" ht="20.25" customHeight="1" thickBot="1">
      <c r="A8" s="14" t="s">
        <v>310</v>
      </c>
      <c r="B8" s="80"/>
      <c r="C8" s="80"/>
      <c r="F8" s="341"/>
      <c r="H8" s="382"/>
      <c r="I8" s="383"/>
    </row>
    <row r="9" spans="1:9" ht="20.25" customHeight="1" thickBot="1">
      <c r="A9" s="14" t="s">
        <v>311</v>
      </c>
      <c r="B9" s="80"/>
      <c r="C9" s="80"/>
      <c r="E9" s="338"/>
      <c r="F9" s="341"/>
      <c r="H9" s="382"/>
      <c r="I9" s="383"/>
    </row>
    <row r="10" spans="1:9" ht="20.25" customHeight="1" thickBot="1">
      <c r="A10" s="128" t="s">
        <v>312</v>
      </c>
      <c r="B10" s="125"/>
      <c r="C10" s="125"/>
      <c r="E10" s="338">
        <f>SUM(B11:B13)-B10</f>
        <v>0</v>
      </c>
      <c r="F10" s="341">
        <f>SUM(C11:C13)-C10</f>
        <v>0</v>
      </c>
      <c r="H10" s="380"/>
      <c r="I10" s="381"/>
    </row>
    <row r="11" spans="1:9" ht="20.25" customHeight="1" thickBot="1">
      <c r="A11" s="14"/>
      <c r="B11" s="80"/>
      <c r="C11" s="80"/>
      <c r="F11" s="341"/>
    </row>
    <row r="12" spans="1:9" ht="20.25" customHeight="1" thickBot="1">
      <c r="A12" s="14"/>
      <c r="B12" s="80"/>
      <c r="C12" s="80"/>
      <c r="F12" s="341"/>
    </row>
    <row r="13" spans="1:9" ht="20.25" customHeight="1" thickBot="1">
      <c r="A13" s="14"/>
      <c r="B13" s="80"/>
      <c r="C13" s="80"/>
      <c r="F13" s="341"/>
    </row>
    <row r="14" spans="1:9" ht="20.25" customHeight="1" thickBot="1">
      <c r="A14" s="44" t="s">
        <v>313</v>
      </c>
      <c r="B14" s="80"/>
      <c r="C14" s="80"/>
      <c r="E14" s="338">
        <f>SUM(B15:B18)-B14</f>
        <v>0</v>
      </c>
      <c r="F14" s="341">
        <f>SUM(C15:C18)-C14</f>
        <v>0</v>
      </c>
    </row>
    <row r="15" spans="1:9" ht="20.25" customHeight="1" thickBot="1">
      <c r="A15" s="14"/>
      <c r="B15" s="80"/>
      <c r="C15" s="80"/>
      <c r="F15" s="341"/>
    </row>
    <row r="16" spans="1:9" ht="20.25" customHeight="1" thickBot="1">
      <c r="A16" s="14"/>
      <c r="B16" s="80"/>
      <c r="C16" s="80"/>
      <c r="F16" s="341"/>
    </row>
    <row r="17" spans="1:9" ht="20.25" customHeight="1" thickBot="1">
      <c r="A17" s="14"/>
      <c r="B17" s="80"/>
      <c r="C17" s="80"/>
      <c r="F17" s="341"/>
    </row>
    <row r="18" spans="1:9" ht="20.25" customHeight="1" thickBot="1">
      <c r="A18" s="14"/>
      <c r="B18" s="80"/>
      <c r="C18" s="80"/>
      <c r="F18" s="341"/>
    </row>
    <row r="19" spans="1:9" ht="20.25" customHeight="1" thickBot="1">
      <c r="A19" s="44" t="s">
        <v>314</v>
      </c>
      <c r="B19" s="80"/>
      <c r="C19" s="80"/>
      <c r="E19" s="338">
        <f>SUM(B20,B22)-B19</f>
        <v>0</v>
      </c>
      <c r="F19" s="341">
        <f>SUM(C20,C22)-C19</f>
        <v>0</v>
      </c>
      <c r="H19" s="338">
        <f>B19-SUM('P&amp;L old'!$D$36,'P&amp;L old'!$D$42,'P&amp;L old'!$D$44,'P&amp;L old'!$D$45,'P&amp;L old'!$D$47,'P&amp;L old'!$D$49,'P&amp;L old'!$D$51,'P&amp;L old'!$D$53)</f>
        <v>0</v>
      </c>
      <c r="I19" s="341">
        <f>C19-SUM('P&amp;L old'!$E$36,'P&amp;L old'!$E$42,'P&amp;L old'!$E$44,'P&amp;L old'!$E$45,'P&amp;L old'!$E$47,'P&amp;L old'!$E$49,'P&amp;L old'!$E$51,'P&amp;L old'!$E$53)</f>
        <v>0</v>
      </c>
    </row>
    <row r="20" spans="1:9" ht="20.25" customHeight="1" thickBot="1">
      <c r="A20" s="128" t="s">
        <v>315</v>
      </c>
      <c r="B20" s="125"/>
      <c r="C20" s="125"/>
      <c r="E20" s="338"/>
      <c r="F20" s="341"/>
      <c r="H20" s="338">
        <f>B20-'P&amp;L old'!$D$49</f>
        <v>0</v>
      </c>
      <c r="I20" s="341">
        <f>C20-'P&amp;L old'!$E$49</f>
        <v>0</v>
      </c>
    </row>
    <row r="21" spans="1:9" ht="20.25" customHeight="1" thickBot="1">
      <c r="A21" s="14" t="s">
        <v>316</v>
      </c>
      <c r="B21" s="80"/>
      <c r="C21" s="80"/>
      <c r="F21" s="341"/>
    </row>
    <row r="22" spans="1:9" ht="20.25" customHeight="1" thickBot="1">
      <c r="A22" s="128" t="s">
        <v>317</v>
      </c>
      <c r="B22" s="125"/>
      <c r="C22" s="125"/>
      <c r="E22" s="338">
        <f>SUM(B23:B24)-B22</f>
        <v>0</v>
      </c>
      <c r="F22" s="341">
        <f>SUM(C23:C24)-C22</f>
        <v>0</v>
      </c>
    </row>
    <row r="23" spans="1:9" ht="20.25" customHeight="1" thickBot="1">
      <c r="A23" s="14"/>
      <c r="B23" s="80"/>
      <c r="C23" s="80"/>
      <c r="F23" s="341"/>
    </row>
    <row r="24" spans="1:9" ht="20.25" customHeight="1" thickBot="1">
      <c r="A24" s="14"/>
      <c r="B24" s="80"/>
      <c r="C24" s="80"/>
      <c r="F24" s="341"/>
    </row>
    <row r="25" spans="1:9" ht="20.25" customHeight="1" thickBot="1">
      <c r="A25" s="104" t="s">
        <v>318</v>
      </c>
      <c r="B25" s="126"/>
      <c r="C25" s="126"/>
      <c r="E25" s="338">
        <f>SUM(B26:B27)-B25</f>
        <v>0</v>
      </c>
      <c r="F25" s="341">
        <f>SUM(C26:C27)-C25</f>
        <v>0</v>
      </c>
      <c r="H25" s="338">
        <f>B25-'P&amp;L old'!$D$61</f>
        <v>0</v>
      </c>
      <c r="I25" s="341">
        <f>C25-'P&amp;L old'!$E$61</f>
        <v>0</v>
      </c>
    </row>
    <row r="26" spans="1:9" ht="20.25" customHeight="1" thickBot="1">
      <c r="A26" s="105"/>
      <c r="B26" s="121"/>
      <c r="C26" s="121"/>
      <c r="F26" s="341"/>
    </row>
    <row r="27" spans="1:9" ht="20.25" customHeight="1" thickBot="1">
      <c r="A27" s="25"/>
      <c r="B27" s="78"/>
      <c r="C27" s="78"/>
      <c r="F27" s="341"/>
    </row>
    <row r="28" spans="1:9" ht="17.25" thickTop="1">
      <c r="A28" s="1"/>
      <c r="F28" s="341"/>
    </row>
  </sheetData>
  <mergeCells count="2">
    <mergeCell ref="E1:F1"/>
    <mergeCell ref="H1:I1"/>
  </mergeCells>
  <conditionalFormatting sqref="H1">
    <cfRule type="cellIs" priority="17" stopIfTrue="1" operator="greaterThan">
      <formula>0</formula>
    </cfRule>
  </conditionalFormatting>
  <conditionalFormatting sqref="H3:I10">
    <cfRule type="cellIs" dxfId="76" priority="15" operator="lessThan">
      <formula>0</formula>
    </cfRule>
    <cfRule type="cellIs" dxfId="75" priority="16" operator="greaterThan">
      <formula>0</formula>
    </cfRule>
  </conditionalFormatting>
  <conditionalFormatting sqref="E9:F9">
    <cfRule type="cellIs" dxfId="74" priority="13" operator="lessThan">
      <formula>0</formula>
    </cfRule>
    <cfRule type="cellIs" dxfId="73" priority="14" operator="greaterThan">
      <formula>0</formula>
    </cfRule>
  </conditionalFormatting>
  <conditionalFormatting sqref="F3">
    <cfRule type="cellIs" dxfId="72" priority="11" operator="lessThan">
      <formula>0</formula>
    </cfRule>
    <cfRule type="cellIs" dxfId="71" priority="12" operator="greaterThan">
      <formula>0</formula>
    </cfRule>
  </conditionalFormatting>
  <conditionalFormatting sqref="F4:F28">
    <cfRule type="cellIs" dxfId="70" priority="9" operator="lessThan">
      <formula>0</formula>
    </cfRule>
    <cfRule type="cellIs" dxfId="69" priority="10" operator="greaterThan">
      <formula>0</formula>
    </cfRule>
  </conditionalFormatting>
  <conditionalFormatting sqref="E3:F26">
    <cfRule type="cellIs" priority="8" stopIfTrue="1" operator="greaterThan">
      <formula>0</formula>
    </cfRule>
  </conditionalFormatting>
  <conditionalFormatting sqref="E3:F29">
    <cfRule type="cellIs" dxfId="68" priority="6" operator="lessThan">
      <formula>0</formula>
    </cfRule>
    <cfRule type="cellIs" dxfId="67" priority="7" operator="greaterThan">
      <formula>0</formula>
    </cfRule>
  </conditionalFormatting>
  <conditionalFormatting sqref="F3">
    <cfRule type="cellIs" dxfId="66" priority="4" operator="lessThan">
      <formula>0</formula>
    </cfRule>
    <cfRule type="cellIs" dxfId="65" priority="5" operator="greaterThan">
      <formula>0</formula>
    </cfRule>
  </conditionalFormatting>
  <conditionalFormatting sqref="H3:I29">
    <cfRule type="cellIs" dxfId="64" priority="1" operator="lessThan">
      <formula>0</formula>
    </cfRule>
    <cfRule type="cellIs" dxfId="63" priority="2" operator="greaterThan">
      <formula>0</formula>
    </cfRule>
    <cfRule type="cellIs" priority="3" stopIfTrue="1" operator="greaterThan">
      <formula>0</formula>
    </cfRule>
  </conditionalFormatting>
  <pageMargins left="0.7" right="0.7" top="0.75" bottom="0.75" header="0.3" footer="0.3"/>
  <pageSetup paperSize="9" orientation="portrait" horizontalDpi="300" verticalDpi="300"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2"/>
  <dimension ref="A1:C9"/>
  <sheetViews>
    <sheetView showGridLines="0" zoomScaleNormal="100" workbookViewId="0">
      <selection activeCell="A3" sqref="A3:A8"/>
    </sheetView>
  </sheetViews>
  <sheetFormatPr defaultRowHeight="15"/>
  <cols>
    <col min="1" max="1" width="36.7109375" customWidth="1"/>
    <col min="2" max="2" width="26.42578125" customWidth="1"/>
    <col min="3" max="3" width="23.28515625" customWidth="1"/>
    <col min="4" max="4" width="17.42578125" customWidth="1"/>
    <col min="5" max="5" width="19.5703125" customWidth="1"/>
    <col min="6" max="6" width="19.28515625" customWidth="1"/>
    <col min="7" max="7" width="13" customWidth="1"/>
  </cols>
  <sheetData>
    <row r="1" spans="1:3" ht="17.25" thickBot="1">
      <c r="A1" s="1" t="s">
        <v>319</v>
      </c>
    </row>
    <row r="2" spans="1:3" ht="35.25" thickTop="1" thickBot="1">
      <c r="A2" s="59" t="s">
        <v>131</v>
      </c>
      <c r="B2" s="38" t="s">
        <v>2</v>
      </c>
      <c r="C2" s="38" t="s">
        <v>3</v>
      </c>
    </row>
    <row r="3" spans="1:3" ht="29.25" customHeight="1" thickTop="1" thickBot="1">
      <c r="A3" s="122" t="s">
        <v>320</v>
      </c>
      <c r="B3" s="15"/>
      <c r="C3" s="15"/>
    </row>
    <row r="4" spans="1:3" ht="29.25" customHeight="1" thickBot="1">
      <c r="A4" s="129" t="s">
        <v>321</v>
      </c>
      <c r="B4" s="15"/>
      <c r="C4" s="15"/>
    </row>
    <row r="5" spans="1:3" ht="52.5" customHeight="1" thickBot="1">
      <c r="A5" s="119" t="s">
        <v>322</v>
      </c>
      <c r="B5" s="15"/>
      <c r="C5" s="15"/>
    </row>
    <row r="6" spans="1:3" ht="52.5" customHeight="1" thickBot="1">
      <c r="A6" s="14" t="s">
        <v>323</v>
      </c>
      <c r="B6" s="15"/>
      <c r="C6" s="15"/>
    </row>
    <row r="7" spans="1:3" ht="51" customHeight="1" thickBot="1">
      <c r="A7" s="122" t="s">
        <v>324</v>
      </c>
      <c r="B7" s="15"/>
      <c r="C7" s="15"/>
    </row>
    <row r="8" spans="1:3" ht="30.75" customHeight="1" thickBot="1">
      <c r="A8" s="130" t="s">
        <v>325</v>
      </c>
      <c r="B8" s="17"/>
      <c r="C8" s="17"/>
    </row>
    <row r="9" spans="1:3" ht="17.25" thickTop="1">
      <c r="A9" s="1"/>
    </row>
  </sheetData>
  <pageMargins left="0.7" right="0.7" top="0.75" bottom="0.75" header="0.3" footer="0.3"/>
  <pageSetup paperSize="9" orientation="portrait" horizontalDpi="300" verticalDpi="300"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3"/>
  <dimension ref="A1:K13"/>
  <sheetViews>
    <sheetView showGridLines="0" zoomScaleNormal="100" workbookViewId="0">
      <selection activeCell="J13" sqref="J13"/>
    </sheetView>
  </sheetViews>
  <sheetFormatPr defaultRowHeight="15"/>
  <cols>
    <col min="1" max="1" width="22.28515625" customWidth="1"/>
    <col min="2" max="7" width="10.7109375" customWidth="1"/>
    <col min="10" max="10" width="24.28515625" style="335" customWidth="1"/>
    <col min="11" max="11" width="31.140625" style="340" customWidth="1"/>
  </cols>
  <sheetData>
    <row r="1" spans="1:11" ht="17.25" thickBot="1">
      <c r="A1" s="1" t="s">
        <v>326</v>
      </c>
      <c r="J1" s="1574" t="s">
        <v>1058</v>
      </c>
      <c r="K1" s="1576"/>
    </row>
    <row r="2" spans="1:11" ht="35.25" customHeight="1" thickTop="1" thickBot="1">
      <c r="A2" s="1556" t="s">
        <v>131</v>
      </c>
      <c r="B2" s="1558" t="s">
        <v>2</v>
      </c>
      <c r="C2" s="1564"/>
      <c r="D2" s="1559"/>
      <c r="E2" s="1558" t="s">
        <v>3</v>
      </c>
      <c r="F2" s="1564"/>
      <c r="G2" s="1559"/>
      <c r="J2" s="176" t="s">
        <v>2</v>
      </c>
      <c r="K2" s="59" t="s">
        <v>3</v>
      </c>
    </row>
    <row r="3" spans="1:11" s="131" customFormat="1" ht="16.5" thickTop="1" thickBot="1">
      <c r="A3" s="1557"/>
      <c r="B3" s="21" t="s">
        <v>327</v>
      </c>
      <c r="C3" s="21" t="s">
        <v>328</v>
      </c>
      <c r="D3" s="21" t="s">
        <v>329</v>
      </c>
      <c r="E3" s="21" t="s">
        <v>327</v>
      </c>
      <c r="F3" s="21" t="s">
        <v>328</v>
      </c>
      <c r="G3" s="21" t="s">
        <v>329</v>
      </c>
      <c r="J3" s="384"/>
      <c r="K3" s="364"/>
    </row>
    <row r="4" spans="1:11" ht="20.25" customHeight="1" thickTop="1" thickBot="1">
      <c r="A4" s="14" t="s">
        <v>330</v>
      </c>
      <c r="B4" s="79"/>
      <c r="C4" s="106" t="s">
        <v>18</v>
      </c>
      <c r="D4" s="168" t="s">
        <v>18</v>
      </c>
      <c r="E4" s="79"/>
      <c r="F4" s="106" t="s">
        <v>18</v>
      </c>
      <c r="G4" s="168" t="s">
        <v>18</v>
      </c>
      <c r="J4" s="338">
        <f>B4-'P&amp;L old'!$D$55</f>
        <v>0</v>
      </c>
      <c r="K4" s="341">
        <f>E4-'P&amp;L old'!$E$55</f>
        <v>0</v>
      </c>
    </row>
    <row r="5" spans="1:11" ht="20.25" customHeight="1" thickBot="1">
      <c r="A5" s="14" t="s">
        <v>331</v>
      </c>
      <c r="B5" s="106" t="s">
        <v>18</v>
      </c>
      <c r="C5" s="79"/>
      <c r="D5" s="118"/>
      <c r="E5" s="106" t="s">
        <v>18</v>
      </c>
      <c r="F5" s="79"/>
      <c r="G5" s="118"/>
    </row>
    <row r="6" spans="1:11" ht="20.25" customHeight="1" thickBot="1">
      <c r="A6" s="14" t="s">
        <v>332</v>
      </c>
      <c r="B6" s="79"/>
      <c r="C6" s="79"/>
      <c r="D6" s="118"/>
      <c r="E6" s="79"/>
      <c r="F6" s="79"/>
      <c r="G6" s="118"/>
    </row>
    <row r="7" spans="1:11" ht="20.25" customHeight="1" thickBot="1">
      <c r="A7" s="14" t="s">
        <v>333</v>
      </c>
      <c r="B7" s="79"/>
      <c r="C7" s="79"/>
      <c r="D7" s="118"/>
      <c r="E7" s="79"/>
      <c r="F7" s="79"/>
      <c r="G7" s="118"/>
    </row>
    <row r="8" spans="1:11" ht="20.25" customHeight="1" thickBot="1">
      <c r="A8" s="14" t="s">
        <v>334</v>
      </c>
      <c r="B8" s="79"/>
      <c r="C8" s="79"/>
      <c r="D8" s="118"/>
      <c r="E8" s="79"/>
      <c r="F8" s="79"/>
      <c r="G8" s="118"/>
    </row>
    <row r="9" spans="1:11" ht="20.25" customHeight="1" thickBot="1">
      <c r="A9" s="14" t="s">
        <v>14</v>
      </c>
      <c r="B9" s="79"/>
      <c r="C9" s="79"/>
      <c r="D9" s="118"/>
      <c r="E9" s="79"/>
      <c r="F9" s="79"/>
      <c r="G9" s="118"/>
    </row>
    <row r="10" spans="1:11" ht="20.25" customHeight="1" thickBot="1">
      <c r="A10" s="14" t="s">
        <v>335</v>
      </c>
      <c r="B10" s="106" t="s">
        <v>18</v>
      </c>
      <c r="C10" s="79"/>
      <c r="D10" s="118"/>
      <c r="E10" s="106" t="s">
        <v>18</v>
      </c>
      <c r="F10" s="79"/>
      <c r="G10" s="118"/>
      <c r="J10" s="338">
        <f>C10-'P&amp;L old'!$D$57-'P&amp;L old'!$D$64</f>
        <v>0</v>
      </c>
      <c r="K10" s="341">
        <f>F10-'P&amp;L old'!$E$57-'P&amp;L old'!$E$64</f>
        <v>0</v>
      </c>
    </row>
    <row r="11" spans="1:11" ht="20.25" customHeight="1" thickBot="1">
      <c r="A11" s="14" t="s">
        <v>336</v>
      </c>
      <c r="B11" s="106" t="s">
        <v>18</v>
      </c>
      <c r="C11" s="79"/>
      <c r="D11" s="118"/>
      <c r="E11" s="106" t="s">
        <v>18</v>
      </c>
      <c r="F11" s="79"/>
      <c r="G11" s="118"/>
      <c r="J11" s="338">
        <f>C11-'P&amp;L old'!$D$58-'P&amp;L old'!$D$65</f>
        <v>0</v>
      </c>
      <c r="K11" s="341">
        <f>F11-'P&amp;L old'!$E$58-'P&amp;L old'!$E$65</f>
        <v>0</v>
      </c>
    </row>
    <row r="12" spans="1:11" ht="20.25" customHeight="1" thickBot="1">
      <c r="A12" s="16" t="s">
        <v>337</v>
      </c>
      <c r="B12" s="107" t="s">
        <v>18</v>
      </c>
      <c r="C12" s="85">
        <f>C10+C11</f>
        <v>0</v>
      </c>
      <c r="D12" s="167"/>
      <c r="E12" s="107" t="s">
        <v>18</v>
      </c>
      <c r="F12" s="85">
        <f>F10+F11</f>
        <v>0</v>
      </c>
      <c r="G12" s="167"/>
      <c r="J12" s="338">
        <f>C12-'P&amp;L old'!$D$56-'P&amp;L old'!$D$63</f>
        <v>0</v>
      </c>
      <c r="K12" s="341">
        <f>F12-'P&amp;L old'!$E$56-'P&amp;L old'!$E$63</f>
        <v>0</v>
      </c>
    </row>
    <row r="13" spans="1:11" ht="15.75" thickTop="1"/>
  </sheetData>
  <mergeCells count="4">
    <mergeCell ref="J1:K1"/>
    <mergeCell ref="A2:A3"/>
    <mergeCell ref="B2:D2"/>
    <mergeCell ref="E2:G2"/>
  </mergeCells>
  <conditionalFormatting sqref="J1">
    <cfRule type="cellIs" priority="3" stopIfTrue="1" operator="greaterThan">
      <formula>0</formula>
    </cfRule>
  </conditionalFormatting>
  <conditionalFormatting sqref="J4:K13">
    <cfRule type="cellIs" dxfId="62" priority="1" operator="lessThan">
      <formula>0</formula>
    </cfRule>
    <cfRule type="cellIs" dxfId="61" priority="2" operator="greaterThan">
      <formula>0</formula>
    </cfRule>
  </conditionalFormatting>
  <pageMargins left="0.7" right="0.7" top="0.75" bottom="0.75" header="0.3" footer="0.3"/>
  <pageSetup paperSize="9" orientation="portrait" horizontalDpi="300" verticalDpi="300"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4"/>
  <dimension ref="A1:I21"/>
  <sheetViews>
    <sheetView showGridLines="0" zoomScaleNormal="100" workbookViewId="0">
      <selection activeCell="A6" sqref="A6:A19"/>
    </sheetView>
  </sheetViews>
  <sheetFormatPr defaultRowHeight="15"/>
  <cols>
    <col min="1" max="1" width="17.7109375" customWidth="1"/>
    <col min="2" max="7" width="11.42578125" customWidth="1"/>
  </cols>
  <sheetData>
    <row r="1" spans="1:9" ht="17.25" thickBot="1">
      <c r="A1" s="1" t="s">
        <v>371</v>
      </c>
    </row>
    <row r="2" spans="1:9" ht="25.5" customHeight="1" thickTop="1" thickBot="1">
      <c r="A2" s="1579" t="s">
        <v>372</v>
      </c>
      <c r="B2" s="1577" t="s">
        <v>373</v>
      </c>
      <c r="C2" s="1591"/>
      <c r="D2" s="1591"/>
      <c r="E2" s="1577" t="s">
        <v>374</v>
      </c>
      <c r="F2" s="1591"/>
      <c r="G2" s="1578"/>
      <c r="H2" s="20"/>
      <c r="I2" s="20"/>
    </row>
    <row r="3" spans="1:9" ht="20.25" customHeight="1" thickTop="1" thickBot="1">
      <c r="A3" s="1580"/>
      <c r="B3" s="59" t="s">
        <v>375</v>
      </c>
      <c r="C3" s="59" t="s">
        <v>376</v>
      </c>
      <c r="D3" s="659" t="s">
        <v>377</v>
      </c>
      <c r="E3" s="59" t="s">
        <v>375</v>
      </c>
      <c r="F3" s="59" t="s">
        <v>376</v>
      </c>
      <c r="G3" s="59" t="s">
        <v>377</v>
      </c>
      <c r="H3" s="20"/>
      <c r="I3" s="20"/>
    </row>
    <row r="4" spans="1:9" ht="20.25" customHeight="1" thickTop="1" thickBot="1">
      <c r="A4" s="1580"/>
      <c r="B4" s="1592" t="s">
        <v>378</v>
      </c>
      <c r="C4" s="1593"/>
      <c r="D4" s="1593"/>
      <c r="E4" s="1592" t="s">
        <v>378</v>
      </c>
      <c r="F4" s="1593"/>
      <c r="G4" s="1596"/>
      <c r="H4" s="20"/>
      <c r="I4" s="20"/>
    </row>
    <row r="5" spans="1:9" ht="24.75" customHeight="1" thickBot="1">
      <c r="A5" s="1581"/>
      <c r="B5" s="1597" t="s">
        <v>379</v>
      </c>
      <c r="C5" s="1598"/>
      <c r="D5" s="1598"/>
      <c r="E5" s="1597" t="s">
        <v>379</v>
      </c>
      <c r="F5" s="1598"/>
      <c r="G5" s="1599"/>
      <c r="H5" s="20"/>
      <c r="I5" s="20"/>
    </row>
    <row r="6" spans="1:9" ht="20.25" customHeight="1" thickTop="1" thickBot="1">
      <c r="A6" s="1600" t="s">
        <v>380</v>
      </c>
      <c r="B6" s="79"/>
      <c r="C6" s="169"/>
      <c r="D6" s="144"/>
      <c r="E6" s="79"/>
      <c r="F6" s="144"/>
      <c r="G6" s="77"/>
      <c r="H6" s="20"/>
      <c r="I6" s="20"/>
    </row>
    <row r="7" spans="1:9" ht="20.25" customHeight="1" thickBot="1">
      <c r="A7" s="1601"/>
      <c r="B7" s="79"/>
      <c r="C7" s="170"/>
      <c r="D7" s="120"/>
      <c r="E7" s="79"/>
      <c r="F7" s="120"/>
      <c r="G7" s="121"/>
      <c r="H7" s="20"/>
      <c r="I7" s="20"/>
    </row>
    <row r="8" spans="1:9" ht="20.25" customHeight="1" thickBot="1">
      <c r="A8" s="1594" t="s">
        <v>381</v>
      </c>
      <c r="B8" s="79"/>
      <c r="C8" s="170"/>
      <c r="D8" s="120"/>
      <c r="E8" s="79"/>
      <c r="F8" s="120"/>
      <c r="G8" s="121"/>
      <c r="H8" s="20"/>
      <c r="I8" s="20"/>
    </row>
    <row r="9" spans="1:9" ht="20.25" customHeight="1" thickBot="1">
      <c r="A9" s="1595"/>
      <c r="B9" s="79"/>
      <c r="C9" s="170"/>
      <c r="D9" s="120"/>
      <c r="E9" s="79"/>
      <c r="F9" s="120"/>
      <c r="G9" s="121"/>
      <c r="H9" s="20"/>
      <c r="I9" s="20"/>
    </row>
    <row r="10" spans="1:9" ht="20.25" customHeight="1" thickTop="1" thickBot="1">
      <c r="A10" s="1600" t="s">
        <v>382</v>
      </c>
      <c r="B10" s="79"/>
      <c r="C10" s="170"/>
      <c r="D10" s="120"/>
      <c r="E10" s="79"/>
      <c r="F10" s="120"/>
      <c r="G10" s="121"/>
      <c r="H10" s="20"/>
      <c r="I10" s="20"/>
    </row>
    <row r="11" spans="1:9" ht="20.25" customHeight="1" thickBot="1">
      <c r="A11" s="1601"/>
      <c r="B11" s="79"/>
      <c r="C11" s="170"/>
      <c r="D11" s="120"/>
      <c r="E11" s="79"/>
      <c r="F11" s="120"/>
      <c r="G11" s="121"/>
      <c r="H11" s="20"/>
      <c r="I11" s="20"/>
    </row>
    <row r="12" spans="1:9" ht="20.25" customHeight="1" thickBot="1">
      <c r="A12" s="1594" t="s">
        <v>383</v>
      </c>
      <c r="B12" s="79"/>
      <c r="C12" s="170"/>
      <c r="D12" s="120"/>
      <c r="E12" s="79"/>
      <c r="F12" s="120"/>
      <c r="G12" s="121"/>
      <c r="H12" s="20"/>
      <c r="I12" s="20"/>
    </row>
    <row r="13" spans="1:9" ht="20.25" customHeight="1" thickBot="1">
      <c r="A13" s="1601"/>
      <c r="B13" s="79"/>
      <c r="C13" s="170"/>
      <c r="D13" s="120"/>
      <c r="E13" s="79"/>
      <c r="F13" s="120"/>
      <c r="G13" s="121"/>
      <c r="H13" s="20"/>
      <c r="I13" s="20"/>
    </row>
    <row r="14" spans="1:9" ht="20.25" customHeight="1" thickBot="1">
      <c r="A14" s="1594" t="s">
        <v>384</v>
      </c>
      <c r="B14" s="79"/>
      <c r="C14" s="170"/>
      <c r="D14" s="120"/>
      <c r="E14" s="79"/>
      <c r="F14" s="120"/>
      <c r="G14" s="121"/>
      <c r="H14" s="20"/>
      <c r="I14" s="20"/>
    </row>
    <row r="15" spans="1:9" ht="20.25" customHeight="1" thickBot="1">
      <c r="A15" s="1595"/>
      <c r="B15" s="79"/>
      <c r="C15" s="170"/>
      <c r="D15" s="120"/>
      <c r="E15" s="79"/>
      <c r="F15" s="120"/>
      <c r="G15" s="121"/>
      <c r="H15" s="20"/>
      <c r="I15" s="20"/>
    </row>
    <row r="16" spans="1:9" ht="20.25" customHeight="1" thickTop="1" thickBot="1">
      <c r="A16" s="1600" t="s">
        <v>385</v>
      </c>
      <c r="B16" s="79"/>
      <c r="C16" s="170"/>
      <c r="D16" s="120"/>
      <c r="E16" s="79"/>
      <c r="F16" s="120"/>
      <c r="G16" s="121"/>
      <c r="H16" s="20"/>
      <c r="I16" s="20"/>
    </row>
    <row r="17" spans="1:9" ht="20.25" customHeight="1" thickBot="1">
      <c r="A17" s="1595"/>
      <c r="B17" s="79"/>
      <c r="C17" s="170"/>
      <c r="D17" s="120"/>
      <c r="E17" s="79"/>
      <c r="F17" s="120"/>
      <c r="G17" s="121"/>
      <c r="H17" s="20"/>
      <c r="I17" s="20"/>
    </row>
    <row r="18" spans="1:9" ht="20.25" customHeight="1" thickTop="1" thickBot="1">
      <c r="A18" s="1600" t="s">
        <v>287</v>
      </c>
      <c r="B18" s="79"/>
      <c r="C18" s="170"/>
      <c r="D18" s="120"/>
      <c r="E18" s="79"/>
      <c r="F18" s="120"/>
      <c r="G18" s="121"/>
      <c r="H18" s="20"/>
      <c r="I18" s="20"/>
    </row>
    <row r="19" spans="1:9" ht="20.25" customHeight="1" thickBot="1">
      <c r="A19" s="1595"/>
      <c r="B19" s="85"/>
      <c r="C19" s="171"/>
      <c r="D19" s="146"/>
      <c r="E19" s="85"/>
      <c r="F19" s="146"/>
      <c r="G19" s="127"/>
      <c r="H19" s="20"/>
      <c r="I19" s="20"/>
    </row>
    <row r="20" spans="1:9" ht="15.75" thickTop="1">
      <c r="A20" s="48"/>
      <c r="B20" s="48"/>
      <c r="C20" s="48"/>
      <c r="D20" s="48"/>
      <c r="E20" s="48"/>
      <c r="F20" s="48"/>
      <c r="G20" s="48"/>
      <c r="H20" s="20"/>
      <c r="I20" s="20"/>
    </row>
    <row r="21" spans="1:9">
      <c r="A21" s="172"/>
      <c r="B21" s="20"/>
      <c r="C21" s="20"/>
      <c r="D21" s="20"/>
      <c r="E21" s="20"/>
      <c r="F21" s="20"/>
      <c r="G21" s="20"/>
      <c r="H21" s="20"/>
      <c r="I21" s="20"/>
    </row>
  </sheetData>
  <mergeCells count="14">
    <mergeCell ref="A18:A19"/>
    <mergeCell ref="A16:A17"/>
    <mergeCell ref="A14:A15"/>
    <mergeCell ref="A12:A13"/>
    <mergeCell ref="A10:A11"/>
    <mergeCell ref="B2:D2"/>
    <mergeCell ref="E2:G2"/>
    <mergeCell ref="B4:D4"/>
    <mergeCell ref="A2:A5"/>
    <mergeCell ref="A8:A9"/>
    <mergeCell ref="E4:G4"/>
    <mergeCell ref="B5:D5"/>
    <mergeCell ref="E5:G5"/>
    <mergeCell ref="A6:A7"/>
  </mergeCells>
  <pageMargins left="0.7" right="0.7" top="0.75" bottom="0.75" header="0.3" footer="0.3"/>
  <pageSetup paperSize="9" orientation="portrait" horizontalDpi="300" verticalDpi="300"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5"/>
  <dimension ref="A1:D29"/>
  <sheetViews>
    <sheetView showGridLines="0" zoomScaleNormal="100" workbookViewId="0">
      <selection activeCell="A19" sqref="A19"/>
    </sheetView>
  </sheetViews>
  <sheetFormatPr defaultRowHeight="15"/>
  <cols>
    <col min="1" max="1" width="25.7109375" customWidth="1"/>
    <col min="2" max="2" width="13.42578125" customWidth="1"/>
    <col min="3" max="4" width="23.5703125" customWidth="1"/>
    <col min="5" max="5" width="18.5703125" customWidth="1"/>
    <col min="6" max="6" width="18.42578125" customWidth="1"/>
    <col min="7" max="7" width="21.140625" customWidth="1"/>
  </cols>
  <sheetData>
    <row r="1" spans="1:4" ht="16.5">
      <c r="A1" s="1" t="s">
        <v>386</v>
      </c>
    </row>
    <row r="2" spans="1:4" ht="17.25" thickBot="1">
      <c r="A2" s="5" t="s">
        <v>8</v>
      </c>
    </row>
    <row r="3" spans="1:4" ht="19.5" customHeight="1" thickTop="1" thickBot="1">
      <c r="A3" s="1556" t="s">
        <v>387</v>
      </c>
      <c r="B3" s="1556" t="s">
        <v>388</v>
      </c>
      <c r="C3" s="1558" t="s">
        <v>389</v>
      </c>
      <c r="D3" s="1559"/>
    </row>
    <row r="4" spans="1:4" ht="33" customHeight="1" thickTop="1" thickBot="1">
      <c r="A4" s="1557"/>
      <c r="B4" s="1557"/>
      <c r="C4" s="38" t="s">
        <v>2</v>
      </c>
      <c r="D4" s="38" t="s">
        <v>390</v>
      </c>
    </row>
    <row r="5" spans="1:4" ht="18.75" customHeight="1" thickTop="1" thickBot="1">
      <c r="A5" s="132"/>
      <c r="B5" s="135"/>
      <c r="C5" s="80"/>
      <c r="D5" s="80"/>
    </row>
    <row r="6" spans="1:4" ht="18.75" customHeight="1" thickBot="1">
      <c r="A6" s="132"/>
      <c r="B6" s="135"/>
      <c r="C6" s="80"/>
      <c r="D6" s="80"/>
    </row>
    <row r="7" spans="1:4" ht="18.75" customHeight="1" thickBot="1">
      <c r="A7" s="133"/>
      <c r="B7" s="123"/>
      <c r="C7" s="80"/>
      <c r="D7" s="80"/>
    </row>
    <row r="8" spans="1:4" ht="18.75" customHeight="1" thickBot="1">
      <c r="A8" s="133"/>
      <c r="B8" s="123"/>
      <c r="C8" s="80"/>
      <c r="D8" s="80"/>
    </row>
    <row r="9" spans="1:4" ht="18.75" customHeight="1" thickBot="1">
      <c r="A9" s="133"/>
      <c r="B9" s="123"/>
      <c r="C9" s="80"/>
      <c r="D9" s="80"/>
    </row>
    <row r="10" spans="1:4" ht="18.75" customHeight="1" thickBot="1">
      <c r="A10" s="133"/>
      <c r="B10" s="123"/>
      <c r="C10" s="80"/>
      <c r="D10" s="80"/>
    </row>
    <row r="11" spans="1:4" ht="18.75" customHeight="1" thickBot="1">
      <c r="A11" s="133"/>
      <c r="B11" s="123"/>
      <c r="C11" s="80"/>
      <c r="D11" s="80"/>
    </row>
    <row r="12" spans="1:4" ht="18.75" customHeight="1" thickBot="1">
      <c r="A12" s="133"/>
      <c r="B12" s="123"/>
      <c r="C12" s="80"/>
      <c r="D12" s="80"/>
    </row>
    <row r="13" spans="1:4" ht="18.75" customHeight="1" thickBot="1">
      <c r="A13" s="132"/>
      <c r="B13" s="135"/>
      <c r="C13" s="80"/>
      <c r="D13" s="80"/>
    </row>
    <row r="14" spans="1:4" ht="18.75" customHeight="1" thickBot="1">
      <c r="A14" s="134"/>
      <c r="B14" s="124"/>
      <c r="C14" s="78"/>
      <c r="D14" s="78"/>
    </row>
    <row r="15" spans="1:4" ht="15.75" thickTop="1">
      <c r="A15" s="20"/>
      <c r="B15" s="20"/>
      <c r="C15" s="20"/>
      <c r="D15" s="20"/>
    </row>
    <row r="16" spans="1:4" ht="15.75" thickBot="1">
      <c r="A16" s="20" t="s">
        <v>391</v>
      </c>
      <c r="B16" s="20"/>
      <c r="C16" s="20"/>
      <c r="D16" s="20"/>
    </row>
    <row r="17" spans="1:4" ht="19.5" customHeight="1" thickTop="1" thickBot="1">
      <c r="A17" s="1556" t="s">
        <v>488</v>
      </c>
      <c r="B17" s="1556" t="s">
        <v>388</v>
      </c>
      <c r="C17" s="1558" t="s">
        <v>389</v>
      </c>
      <c r="D17" s="1559"/>
    </row>
    <row r="18" spans="1:4" ht="33" customHeight="1" thickTop="1" thickBot="1">
      <c r="A18" s="1557"/>
      <c r="B18" s="1557"/>
      <c r="C18" s="38" t="s">
        <v>2</v>
      </c>
      <c r="D18" s="38" t="s">
        <v>390</v>
      </c>
    </row>
    <row r="19" spans="1:4" ht="18.75" customHeight="1" thickTop="1" thickBot="1">
      <c r="A19" s="108"/>
      <c r="B19" s="123"/>
      <c r="C19" s="80"/>
      <c r="D19" s="80"/>
    </row>
    <row r="20" spans="1:4" ht="18.75" customHeight="1" thickBot="1">
      <c r="A20" s="108"/>
      <c r="B20" s="123"/>
      <c r="C20" s="80"/>
      <c r="D20" s="80"/>
    </row>
    <row r="21" spans="1:4" ht="18.75" customHeight="1" thickBot="1">
      <c r="A21" s="108"/>
      <c r="B21" s="123"/>
      <c r="C21" s="80"/>
      <c r="D21" s="80"/>
    </row>
    <row r="22" spans="1:4" ht="18.75" customHeight="1" thickBot="1">
      <c r="A22" s="108"/>
      <c r="B22" s="123"/>
      <c r="C22" s="80"/>
      <c r="D22" s="80"/>
    </row>
    <row r="23" spans="1:4" ht="18.75" customHeight="1" thickBot="1">
      <c r="A23" s="108"/>
      <c r="B23" s="123"/>
      <c r="C23" s="80"/>
      <c r="D23" s="80"/>
    </row>
    <row r="24" spans="1:4" ht="18.75" customHeight="1" thickBot="1">
      <c r="A24" s="108"/>
      <c r="B24" s="123"/>
      <c r="C24" s="80"/>
      <c r="D24" s="80"/>
    </row>
    <row r="25" spans="1:4" ht="18.75" customHeight="1" thickBot="1">
      <c r="A25" s="108"/>
      <c r="B25" s="123"/>
      <c r="C25" s="80"/>
      <c r="D25" s="80"/>
    </row>
    <row r="26" spans="1:4" ht="18.75" customHeight="1" thickBot="1">
      <c r="A26" s="108"/>
      <c r="B26" s="123"/>
      <c r="C26" s="80"/>
      <c r="D26" s="80"/>
    </row>
    <row r="27" spans="1:4" ht="18.75" customHeight="1" thickBot="1">
      <c r="A27" s="109"/>
      <c r="B27" s="124"/>
      <c r="C27" s="78"/>
      <c r="D27" s="78"/>
    </row>
    <row r="28" spans="1:4" ht="17.25" thickTop="1">
      <c r="A28" s="2"/>
    </row>
    <row r="29" spans="1:4" ht="16.5">
      <c r="A29" s="2"/>
    </row>
  </sheetData>
  <mergeCells count="6">
    <mergeCell ref="A3:A4"/>
    <mergeCell ref="B3:B4"/>
    <mergeCell ref="C3:D3"/>
    <mergeCell ref="A17:A18"/>
    <mergeCell ref="B17:B18"/>
    <mergeCell ref="C17:D17"/>
  </mergeCells>
  <pageMargins left="0.7" right="0.7" top="0.75" bottom="0.75" header="0.3" footer="0.3"/>
  <pageSetup paperSize="9" orientation="portrait" horizontalDpi="300" verticalDpi="300"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9">
    <tabColor rgb="FFFFFF99"/>
  </sheetPr>
  <dimension ref="A1:Y174"/>
  <sheetViews>
    <sheetView showGridLines="0" showZeros="0" topLeftCell="A129" zoomScaleNormal="100" workbookViewId="0">
      <selection activeCell="B150" sqref="B150"/>
    </sheetView>
  </sheetViews>
  <sheetFormatPr defaultColWidth="9.140625" defaultRowHeight="11.25"/>
  <cols>
    <col min="1" max="1" width="6.85546875" style="178" customWidth="1"/>
    <col min="2" max="2" width="53.5703125" style="230" customWidth="1"/>
    <col min="3" max="3" width="5.85546875" style="178" customWidth="1"/>
    <col min="4" max="4" width="13.42578125" style="178" bestFit="1" customWidth="1"/>
    <col min="5" max="5" width="14.28515625" style="178" bestFit="1" customWidth="1"/>
    <col min="6" max="6" width="13.42578125" style="178" customWidth="1"/>
    <col min="7" max="7" width="15.140625" style="178" customWidth="1"/>
    <col min="8" max="8" width="9.140625" style="178"/>
    <col min="9" max="9" width="15.42578125" style="178" customWidth="1"/>
    <col min="10" max="10" width="1.7109375" style="178" customWidth="1"/>
    <col min="11" max="11" width="26.28515625" style="178" customWidth="1"/>
    <col min="12" max="12" width="9.5703125" style="178" bestFit="1" customWidth="1"/>
    <col min="13" max="13" width="10" style="178" bestFit="1" customWidth="1"/>
    <col min="14" max="15" width="9.140625" style="178"/>
    <col min="16" max="16" width="11" style="178" hidden="1" customWidth="1"/>
    <col min="17" max="17" width="15.140625" style="178" hidden="1" customWidth="1"/>
    <col min="18" max="18" width="5" style="178" hidden="1" customWidth="1"/>
    <col min="19" max="19" width="7.5703125" style="178" hidden="1" customWidth="1"/>
    <col min="20" max="20" width="12.140625" style="178" hidden="1" customWidth="1"/>
    <col min="21" max="21" width="12.5703125" style="178" hidden="1" customWidth="1"/>
    <col min="22" max="22" width="6" style="178" hidden="1" customWidth="1"/>
    <col min="23" max="23" width="6.28515625" style="178" hidden="1" customWidth="1"/>
    <col min="24" max="24" width="11.140625" style="178" hidden="1" customWidth="1"/>
    <col min="25" max="25" width="9.140625" style="178" hidden="1" customWidth="1"/>
    <col min="26" max="16384" width="9.140625" style="178"/>
  </cols>
  <sheetData>
    <row r="1" spans="1:25" ht="23.25" customHeight="1">
      <c r="A1" s="1060" t="s">
        <v>497</v>
      </c>
      <c r="B1" s="936">
        <v>0</v>
      </c>
      <c r="I1" s="1102"/>
      <c r="J1" s="1103"/>
      <c r="K1" s="1104"/>
      <c r="L1" s="1105"/>
      <c r="Q1" s="1061" t="s">
        <v>496</v>
      </c>
      <c r="R1" s="1061"/>
      <c r="S1" s="1061"/>
      <c r="T1" s="1061"/>
      <c r="Y1" s="1062"/>
    </row>
    <row r="2" spans="1:25" s="185" customFormat="1" ht="12" customHeight="1">
      <c r="A2" s="180" t="s">
        <v>500</v>
      </c>
      <c r="B2" s="936" t="s">
        <v>501</v>
      </c>
      <c r="C2" s="181"/>
      <c r="D2" s="182"/>
      <c r="E2" s="183"/>
      <c r="F2" s="183"/>
      <c r="G2" s="184"/>
      <c r="I2" s="1101"/>
      <c r="J2" s="1101"/>
      <c r="K2" s="1106"/>
      <c r="L2" s="1105"/>
      <c r="P2" s="1061"/>
      <c r="Q2" s="1061" t="s">
        <v>499</v>
      </c>
      <c r="R2" s="1061"/>
      <c r="S2" s="1061"/>
      <c r="T2" s="1061"/>
      <c r="U2" s="1061"/>
      <c r="V2" s="1061"/>
      <c r="W2" s="1061"/>
      <c r="X2" s="1061"/>
      <c r="Y2" s="1063"/>
    </row>
    <row r="3" spans="1:25" ht="12" customHeight="1">
      <c r="D3" s="182"/>
      <c r="E3" s="183"/>
      <c r="F3" s="183"/>
      <c r="H3" s="1064"/>
      <c r="I3" s="1101"/>
      <c r="J3" s="1101"/>
      <c r="K3" s="1107"/>
      <c r="L3" s="1105"/>
      <c r="P3" s="1065" t="s">
        <v>502</v>
      </c>
      <c r="Q3" s="1066" t="str">
        <f>IF($K$1=$Y$4,$Y$4,"Pre-tax income")</f>
        <v>Pre-tax income</v>
      </c>
      <c r="R3" s="1067" t="str">
        <f>IF($K$1=$Y$4,$Y$4,"EBIT")</f>
        <v>EBIT</v>
      </c>
      <c r="S3" s="1067" t="str">
        <f>IF($K$1=$Y$4,$Y$4,"EBITDA")</f>
        <v>EBITDA</v>
      </c>
      <c r="T3" s="1067" t="str">
        <f>IF($K$1=$Y$4,$Y$4,"Gross Margin")</f>
        <v>Gross Margin</v>
      </c>
      <c r="U3" s="1066" t="str">
        <f>IF($K$1=$Y$4,$Y$4,"Sales revenue")</f>
        <v>Sales revenue</v>
      </c>
      <c r="V3" s="1067" t="str">
        <f>IF($K$1=$Y$4,$Y$4,"OPEX")</f>
        <v>OPEX</v>
      </c>
      <c r="W3" s="1066" t="str">
        <f>IF($K$1=$Y$4,$Y$4,"Equity")</f>
        <v>Equity</v>
      </c>
      <c r="X3" s="1066" t="str">
        <f>IF($K$1=$Y$4,$Y$4,"Total assets")</f>
        <v>Total assets</v>
      </c>
      <c r="Y3" s="1063" t="s">
        <v>506</v>
      </c>
    </row>
    <row r="4" spans="1:25" ht="12" customHeight="1">
      <c r="D4" s="182"/>
      <c r="E4" s="183"/>
      <c r="F4" s="183"/>
      <c r="H4" s="1064"/>
      <c r="I4" s="1101"/>
      <c r="J4" s="1101"/>
      <c r="K4" s="1106"/>
      <c r="L4" s="1105"/>
      <c r="P4" s="1065"/>
      <c r="Q4" s="1067" t="s">
        <v>2253</v>
      </c>
      <c r="R4" s="1066"/>
      <c r="S4" s="1066"/>
      <c r="T4" s="1066"/>
      <c r="U4" s="1066"/>
      <c r="V4" s="1066"/>
      <c r="W4" s="1066"/>
      <c r="X4" s="1066"/>
      <c r="Y4" s="1068" t="s">
        <v>502</v>
      </c>
    </row>
    <row r="5" spans="1:25" ht="13.5" customHeight="1">
      <c r="A5" s="188"/>
      <c r="B5" s="937"/>
      <c r="C5" s="189"/>
      <c r="D5" s="189"/>
      <c r="E5" s="189"/>
      <c r="F5" s="189"/>
      <c r="G5" s="189"/>
      <c r="H5" s="1064"/>
      <c r="I5" s="1101"/>
      <c r="J5" s="1101"/>
      <c r="K5" s="1108"/>
      <c r="L5" s="1105"/>
      <c r="P5" s="1061"/>
      <c r="Q5" s="1069">
        <v>0.1</v>
      </c>
      <c r="R5" s="1069">
        <v>0.1</v>
      </c>
      <c r="S5" s="1069">
        <v>0.05</v>
      </c>
      <c r="T5" s="1069">
        <v>0.04</v>
      </c>
      <c r="U5" s="1070">
        <v>0.02</v>
      </c>
      <c r="V5" s="1070">
        <v>0.02</v>
      </c>
      <c r="W5" s="1069">
        <v>0.05</v>
      </c>
      <c r="X5" s="1070">
        <v>0.02</v>
      </c>
      <c r="Y5" s="1071" t="str">
        <f t="shared" ref="Y5:Y17" si="0">IF($K$1=$Y$4,$Y$4,IF($K$1=$Q$32,Y22,IF($K$2=$Q$3,Q5,IF($K$2=$U$3,U5,IF($K$2=$W$3,W5,IF($K$2=$X$3,X5,IF($K$2=$R$3,R5,IF($K$2=$S$3,S5,IF($K$2=$T$3,T5,IF($K$2=$V$3,V5,""))))))))))</f>
        <v/>
      </c>
    </row>
    <row r="6" spans="1:25" ht="12" customHeight="1">
      <c r="C6" s="194" t="s">
        <v>507</v>
      </c>
      <c r="D6" s="195"/>
      <c r="E6" s="181"/>
      <c r="H6" s="1072"/>
      <c r="I6" s="1101"/>
      <c r="J6" s="1101"/>
      <c r="K6" s="1109"/>
      <c r="L6" s="1105"/>
      <c r="P6" s="1061"/>
      <c r="Q6" s="1069">
        <v>0.09</v>
      </c>
      <c r="R6" s="1069">
        <v>0.09</v>
      </c>
      <c r="S6" s="1069">
        <v>0.04</v>
      </c>
      <c r="T6" s="1069">
        <v>0.03</v>
      </c>
      <c r="U6" s="1070">
        <v>1.9E-2</v>
      </c>
      <c r="V6" s="1070">
        <v>1.9E-2</v>
      </c>
      <c r="W6" s="1069">
        <v>0.04</v>
      </c>
      <c r="X6" s="1070">
        <v>1.9E-2</v>
      </c>
      <c r="Y6" s="1071" t="str">
        <f t="shared" si="0"/>
        <v/>
      </c>
    </row>
    <row r="7" spans="1:25" s="199" customFormat="1" ht="12" customHeight="1">
      <c r="A7" s="196" t="s">
        <v>508</v>
      </c>
      <c r="B7" s="938" t="s">
        <v>509</v>
      </c>
      <c r="C7" s="196" t="s">
        <v>510</v>
      </c>
      <c r="D7" s="197" t="s">
        <v>511</v>
      </c>
      <c r="E7" s="197"/>
      <c r="F7" s="197"/>
      <c r="G7" s="198" t="s">
        <v>512</v>
      </c>
      <c r="I7" s="1101"/>
      <c r="J7" s="1101"/>
      <c r="K7" s="1109"/>
      <c r="L7" s="1105"/>
      <c r="P7" s="1061"/>
      <c r="Q7" s="1069">
        <v>0.08</v>
      </c>
      <c r="R7" s="1069">
        <v>0.08</v>
      </c>
      <c r="S7" s="1069">
        <v>0.03</v>
      </c>
      <c r="T7" s="1069">
        <v>0.02</v>
      </c>
      <c r="U7" s="1070">
        <v>1.7999999999999999E-2</v>
      </c>
      <c r="V7" s="1070">
        <v>1.7999999999999999E-2</v>
      </c>
      <c r="W7" s="1069">
        <v>0.03</v>
      </c>
      <c r="X7" s="1070">
        <v>1.7999999999999999E-2</v>
      </c>
      <c r="Y7" s="1071" t="str">
        <f t="shared" si="0"/>
        <v/>
      </c>
    </row>
    <row r="8" spans="1:25" s="202" customFormat="1" ht="12" customHeight="1">
      <c r="A8" s="200" t="s">
        <v>513</v>
      </c>
      <c r="B8" s="201"/>
      <c r="C8" s="200" t="s">
        <v>514</v>
      </c>
      <c r="D8" s="196" t="s">
        <v>515</v>
      </c>
      <c r="E8" s="196" t="s">
        <v>516</v>
      </c>
      <c r="F8" s="196" t="s">
        <v>517</v>
      </c>
      <c r="G8" s="196" t="s">
        <v>517</v>
      </c>
      <c r="H8" s="1073"/>
      <c r="I8" s="1105"/>
      <c r="J8" s="1110"/>
      <c r="K8" s="1110"/>
      <c r="L8" s="1110"/>
      <c r="P8" s="1061"/>
      <c r="Q8" s="1069">
        <v>7.0000000000000007E-2</v>
      </c>
      <c r="R8" s="1069">
        <v>7.0000000000000007E-2</v>
      </c>
      <c r="S8" s="1069">
        <v>0.02</v>
      </c>
      <c r="T8" s="1069">
        <v>0.01</v>
      </c>
      <c r="U8" s="1070">
        <v>1.7000000000000001E-2</v>
      </c>
      <c r="V8" s="1070">
        <v>1.7000000000000001E-2</v>
      </c>
      <c r="W8" s="1069">
        <v>0.02</v>
      </c>
      <c r="X8" s="1070">
        <v>1.7000000000000001E-2</v>
      </c>
      <c r="Y8" s="1071" t="str">
        <f t="shared" si="0"/>
        <v/>
      </c>
    </row>
    <row r="9" spans="1:25" s="199" customFormat="1" ht="12" customHeight="1">
      <c r="A9" s="203" t="s">
        <v>518</v>
      </c>
      <c r="B9" s="939" t="s">
        <v>519</v>
      </c>
      <c r="C9" s="203" t="s">
        <v>520</v>
      </c>
      <c r="D9" s="203">
        <v>1</v>
      </c>
      <c r="E9" s="203">
        <v>2</v>
      </c>
      <c r="F9" s="203">
        <v>3</v>
      </c>
      <c r="G9" s="203">
        <v>4</v>
      </c>
      <c r="H9" s="1074"/>
      <c r="P9" s="1061"/>
      <c r="Q9" s="1069">
        <v>0.06</v>
      </c>
      <c r="R9" s="1069">
        <v>0.06</v>
      </c>
      <c r="S9" s="1069"/>
      <c r="T9" s="1069"/>
      <c r="U9" s="1070">
        <v>1.6E-2</v>
      </c>
      <c r="V9" s="1070">
        <v>1.6E-2</v>
      </c>
      <c r="W9" s="1069">
        <v>0.01</v>
      </c>
      <c r="X9" s="1070">
        <v>1.6E-2</v>
      </c>
      <c r="Y9" s="1071" t="str">
        <f t="shared" si="0"/>
        <v/>
      </c>
    </row>
    <row r="10" spans="1:25" s="207" customFormat="1" ht="12" customHeight="1">
      <c r="A10" s="204"/>
      <c r="B10" s="940" t="s">
        <v>521</v>
      </c>
      <c r="C10" s="205" t="s">
        <v>522</v>
      </c>
      <c r="D10" s="1475">
        <f>D11+D42+D83</f>
        <v>5888095</v>
      </c>
      <c r="E10" s="1475">
        <f>E11+E42+E83</f>
        <v>1082227</v>
      </c>
      <c r="F10" s="1475">
        <f>F11+F42+F83</f>
        <v>4805868</v>
      </c>
      <c r="G10" s="1475">
        <v>4632339</v>
      </c>
      <c r="H10" s="206"/>
      <c r="I10" s="206"/>
      <c r="K10" s="206"/>
      <c r="L10" s="206"/>
      <c r="P10" s="1061"/>
      <c r="Q10" s="1069">
        <v>0.05</v>
      </c>
      <c r="R10" s="1069">
        <v>0.05</v>
      </c>
      <c r="S10" s="1069"/>
      <c r="T10" s="1069"/>
      <c r="U10" s="1070">
        <v>1.4999999999999999E-2</v>
      </c>
      <c r="V10" s="1070">
        <v>1.4999999999999999E-2</v>
      </c>
      <c r="W10" s="1066"/>
      <c r="X10" s="1070">
        <v>1.4999999999999999E-2</v>
      </c>
      <c r="Y10" s="1071" t="str">
        <f t="shared" si="0"/>
        <v/>
      </c>
    </row>
    <row r="11" spans="1:25" s="207" customFormat="1" ht="12" customHeight="1">
      <c r="A11" s="208" t="s">
        <v>523</v>
      </c>
      <c r="B11" s="941" t="s">
        <v>524</v>
      </c>
      <c r="C11" s="205" t="s">
        <v>525</v>
      </c>
      <c r="D11" s="877">
        <f>D12+D20+D30</f>
        <v>3096481</v>
      </c>
      <c r="E11" s="877">
        <f>E12+E20+E30</f>
        <v>1066273</v>
      </c>
      <c r="F11" s="877">
        <f>F12+F20+F30</f>
        <v>2030208</v>
      </c>
      <c r="G11" s="877">
        <v>2030475</v>
      </c>
      <c r="I11" s="206"/>
      <c r="U11" s="1070">
        <v>1.4E-2</v>
      </c>
      <c r="V11" s="1070">
        <v>1.4E-2</v>
      </c>
      <c r="X11" s="1070">
        <v>1.4E-2</v>
      </c>
      <c r="Y11" s="1071" t="str">
        <f t="shared" si="0"/>
        <v/>
      </c>
    </row>
    <row r="12" spans="1:25" s="207" customFormat="1" ht="12" customHeight="1">
      <c r="A12" s="209" t="s">
        <v>526</v>
      </c>
      <c r="B12" s="942" t="s">
        <v>527</v>
      </c>
      <c r="C12" s="205" t="s">
        <v>528</v>
      </c>
      <c r="D12" s="1475">
        <f>SUM(D13:D19)</f>
        <v>2251280</v>
      </c>
      <c r="E12" s="1475">
        <f>SUM(E13:E19)</f>
        <v>726928</v>
      </c>
      <c r="F12" s="1475">
        <f>SUM(F13:F19)</f>
        <v>1524352</v>
      </c>
      <c r="G12" s="1475">
        <v>1848316</v>
      </c>
      <c r="H12" s="1087"/>
      <c r="I12" s="1603"/>
      <c r="J12" s="1603"/>
      <c r="K12" s="1091"/>
      <c r="L12" s="185"/>
      <c r="U12" s="1070">
        <v>1.2999999999999999E-2</v>
      </c>
      <c r="V12" s="1070">
        <v>1.2999999999999999E-2</v>
      </c>
      <c r="X12" s="1070">
        <v>1.2999999999999999E-2</v>
      </c>
      <c r="Y12" s="1071" t="str">
        <f t="shared" si="0"/>
        <v/>
      </c>
    </row>
    <row r="13" spans="1:25" s="185" customFormat="1" ht="12" customHeight="1">
      <c r="A13" s="210" t="s">
        <v>529</v>
      </c>
      <c r="B13" s="943" t="s">
        <v>530</v>
      </c>
      <c r="C13" s="211" t="s">
        <v>531</v>
      </c>
      <c r="D13" s="1470">
        <v>39396</v>
      </c>
      <c r="E13" s="1470">
        <v>15768</v>
      </c>
      <c r="F13" s="878">
        <f t="shared" ref="F13" si="1">D13-E13</f>
        <v>23628</v>
      </c>
      <c r="G13" s="1470">
        <v>31512</v>
      </c>
      <c r="H13" s="1089"/>
      <c r="I13" s="1089"/>
      <c r="J13" s="1089"/>
      <c r="K13" s="1089"/>
      <c r="M13" s="212"/>
      <c r="U13" s="1070">
        <v>1.2E-2</v>
      </c>
      <c r="V13" s="1070">
        <v>1.2E-2</v>
      </c>
      <c r="X13" s="1070">
        <v>1.2E-2</v>
      </c>
      <c r="Y13" s="1071" t="str">
        <f t="shared" si="0"/>
        <v/>
      </c>
    </row>
    <row r="14" spans="1:25" s="185" customFormat="1" ht="12" customHeight="1">
      <c r="A14" s="210" t="s">
        <v>532</v>
      </c>
      <c r="B14" s="943" t="s">
        <v>533</v>
      </c>
      <c r="C14" s="211" t="s">
        <v>534</v>
      </c>
      <c r="D14" s="1470">
        <v>0</v>
      </c>
      <c r="E14" s="1470">
        <v>0</v>
      </c>
      <c r="F14" s="1470">
        <v>0</v>
      </c>
      <c r="G14" s="1474">
        <v>0</v>
      </c>
      <c r="H14" s="1089"/>
      <c r="I14" s="1111"/>
      <c r="J14" s="1112"/>
      <c r="K14" s="1089"/>
      <c r="U14" s="1070">
        <v>1.0999999999999999E-2</v>
      </c>
      <c r="V14" s="1070">
        <v>1.0999999999999999E-2</v>
      </c>
      <c r="X14" s="1070">
        <v>1.0999999999999999E-2</v>
      </c>
      <c r="Y14" s="1071" t="str">
        <f t="shared" si="0"/>
        <v/>
      </c>
    </row>
    <row r="15" spans="1:25" s="185" customFormat="1" ht="12" customHeight="1">
      <c r="A15" s="210" t="s">
        <v>535</v>
      </c>
      <c r="B15" s="943" t="s">
        <v>536</v>
      </c>
      <c r="C15" s="211" t="s">
        <v>537</v>
      </c>
      <c r="D15" s="1470">
        <v>0</v>
      </c>
      <c r="E15" s="1470">
        <v>0</v>
      </c>
      <c r="F15" s="1470">
        <v>0</v>
      </c>
      <c r="G15" s="1470">
        <v>0</v>
      </c>
      <c r="H15" s="1089"/>
      <c r="I15" s="1113"/>
      <c r="J15" s="1114"/>
      <c r="K15" s="1089"/>
      <c r="U15" s="1070">
        <v>0.01</v>
      </c>
      <c r="V15" s="1070">
        <v>0.01</v>
      </c>
      <c r="X15" s="1070">
        <v>0.01</v>
      </c>
      <c r="Y15" s="1071" t="str">
        <f t="shared" si="0"/>
        <v/>
      </c>
    </row>
    <row r="16" spans="1:25" s="185" customFormat="1" ht="12" customHeight="1">
      <c r="A16" s="210" t="s">
        <v>538</v>
      </c>
      <c r="B16" s="943" t="s">
        <v>539</v>
      </c>
      <c r="C16" s="211" t="s">
        <v>540</v>
      </c>
      <c r="D16" s="1470">
        <v>2211884</v>
      </c>
      <c r="E16" s="1470">
        <v>711160</v>
      </c>
      <c r="F16" s="878">
        <f t="shared" ref="F16" si="2">D16-E16</f>
        <v>1500724</v>
      </c>
      <c r="G16" s="1470">
        <v>1816804</v>
      </c>
      <c r="H16" s="1089"/>
      <c r="I16" s="206"/>
      <c r="J16" s="1114"/>
      <c r="K16" s="1089"/>
      <c r="U16" s="1070">
        <v>8.9999999999999993E-3</v>
      </c>
      <c r="V16" s="1070">
        <v>8.9999999999999993E-3</v>
      </c>
      <c r="X16" s="1070">
        <v>8.9999999999999993E-3</v>
      </c>
      <c r="Y16" s="1071" t="str">
        <f t="shared" si="0"/>
        <v/>
      </c>
    </row>
    <row r="17" spans="1:25" s="185" customFormat="1" ht="12" customHeight="1">
      <c r="A17" s="210" t="s">
        <v>541</v>
      </c>
      <c r="B17" s="944" t="s">
        <v>2254</v>
      </c>
      <c r="C17" s="211" t="s">
        <v>543</v>
      </c>
      <c r="D17" s="1470">
        <v>0</v>
      </c>
      <c r="E17" s="1470">
        <v>0</v>
      </c>
      <c r="F17" s="1470">
        <v>0</v>
      </c>
      <c r="G17" s="1470">
        <v>0</v>
      </c>
      <c r="H17" s="1089"/>
      <c r="I17" s="1113"/>
      <c r="J17" s="1114"/>
      <c r="K17" s="1089"/>
      <c r="U17" s="1070">
        <v>8.0000000000000002E-3</v>
      </c>
      <c r="V17" s="1070">
        <v>8.0000000000000002E-3</v>
      </c>
      <c r="X17" s="1070">
        <v>8.0000000000000002E-3</v>
      </c>
      <c r="Y17" s="1071" t="str">
        <f t="shared" si="0"/>
        <v/>
      </c>
    </row>
    <row r="18" spans="1:25" s="185" customFormat="1" ht="12" customHeight="1">
      <c r="A18" s="210" t="s">
        <v>544</v>
      </c>
      <c r="B18" s="943" t="s">
        <v>545</v>
      </c>
      <c r="C18" s="211" t="s">
        <v>546</v>
      </c>
      <c r="D18" s="1470">
        <v>0</v>
      </c>
      <c r="E18" s="1470">
        <v>0</v>
      </c>
      <c r="F18" s="1470">
        <v>0</v>
      </c>
      <c r="G18" s="1470">
        <v>0</v>
      </c>
      <c r="H18" s="1089"/>
      <c r="I18" s="1113"/>
      <c r="J18" s="1114"/>
      <c r="K18" s="1089"/>
      <c r="U18" s="1070">
        <v>7.0000000000000001E-3</v>
      </c>
      <c r="V18" s="1070">
        <v>7.0000000000000001E-3</v>
      </c>
      <c r="X18" s="1070">
        <v>7.0000000000000001E-3</v>
      </c>
      <c r="Y18" s="1071" t="str">
        <f>IF($K$1=$Y$4,$Y$4,IF($K$1=$Q$32,Y37,IF($K$2=$Q$3,Q18,IF($K$2=$U$3,U18,IF($K$2=$W$3,W18,IF($K$2=$X$3,X18,IF($K$2=$R$3,R18,IF($K$2=$S$3,S18,IF($K$2=$T$3,T18,IF($K$2=$V$3,V18,""))))))))))</f>
        <v/>
      </c>
    </row>
    <row r="19" spans="1:25" s="185" customFormat="1" ht="12" customHeight="1">
      <c r="A19" s="210" t="s">
        <v>547</v>
      </c>
      <c r="B19" s="943" t="s">
        <v>548</v>
      </c>
      <c r="C19" s="211" t="s">
        <v>549</v>
      </c>
      <c r="D19" s="1470">
        <v>0</v>
      </c>
      <c r="E19" s="1470">
        <v>0</v>
      </c>
      <c r="F19" s="1470">
        <v>0</v>
      </c>
      <c r="G19" s="1470">
        <v>0</v>
      </c>
      <c r="H19" s="1089"/>
      <c r="I19" s="1113"/>
      <c r="J19" s="1114"/>
      <c r="K19" s="1089"/>
      <c r="U19" s="1070">
        <v>6.0000000000000001E-3</v>
      </c>
      <c r="V19" s="1070">
        <v>6.0000000000000001E-3</v>
      </c>
      <c r="X19" s="1070">
        <v>6.0000000000000001E-3</v>
      </c>
      <c r="Y19" s="1071" t="str">
        <f>IF($K$1=$Y$4,$Y$4,IF($K$1=$Q$32,Y38,IF($K$2=$Q$3,Q19,IF($K$2=$U$3,U19,IF($K$2=$W$3,W19,IF($K$2=$X$3,X19,IF($K$2=$R$3,R19,IF($K$2=$S$3,S19,IF($K$2=$T$3,T19,IF($K$2=$V$3,V19,""))))))))))</f>
        <v/>
      </c>
    </row>
    <row r="20" spans="1:25" s="207" customFormat="1" ht="12" customHeight="1">
      <c r="A20" s="1075" t="s">
        <v>550</v>
      </c>
      <c r="B20" s="942" t="s">
        <v>551</v>
      </c>
      <c r="C20" s="205" t="s">
        <v>552</v>
      </c>
      <c r="D20" s="1475">
        <f>SUM(D21:D29)</f>
        <v>845201</v>
      </c>
      <c r="E20" s="1475">
        <f t="shared" ref="E20:G20" si="3">SUM(E21:E29)</f>
        <v>339345</v>
      </c>
      <c r="F20" s="1475">
        <f t="shared" si="3"/>
        <v>505856</v>
      </c>
      <c r="G20" s="1475">
        <f t="shared" si="3"/>
        <v>182159</v>
      </c>
      <c r="H20" s="1087"/>
      <c r="I20" s="1606"/>
      <c r="J20" s="1606"/>
      <c r="K20" s="1606"/>
      <c r="U20" s="1070">
        <v>5.0000000000000001E-3</v>
      </c>
      <c r="V20" s="1070">
        <v>5.0000000000000001E-3</v>
      </c>
      <c r="X20" s="1070">
        <v>5.0000000000000001E-3</v>
      </c>
      <c r="Y20" s="1071" t="str">
        <f>IF($K$1=$Y$4,$Y$4,IF($K$1=$Q$32,Y40,IF($K$2=$Q$3,Q20,IF($K$2=$U$3,U20,IF($K$2=$W$3,W20,IF($K$2=$X$3,X20,IF($K$2=$R$3,R20,IF($K$2=$S$3,S20,IF($K$2=$T$3,T20,IF($K$2=$V$3,V20,""))))))))))</f>
        <v/>
      </c>
    </row>
    <row r="21" spans="1:25" s="185" customFormat="1" ht="12" customHeight="1">
      <c r="A21" s="1076" t="s">
        <v>553</v>
      </c>
      <c r="B21" s="943" t="s">
        <v>554</v>
      </c>
      <c r="C21" s="211" t="s">
        <v>555</v>
      </c>
      <c r="D21" s="1470">
        <v>0</v>
      </c>
      <c r="E21" s="1470">
        <v>0</v>
      </c>
      <c r="F21" s="1470">
        <v>0</v>
      </c>
      <c r="G21" s="1470">
        <v>0</v>
      </c>
      <c r="H21" s="1089"/>
      <c r="I21" s="1115"/>
      <c r="J21" s="1115"/>
      <c r="K21" s="1089"/>
      <c r="Q21" s="1067" t="s">
        <v>2255</v>
      </c>
      <c r="R21" s="207"/>
      <c r="S21" s="207"/>
      <c r="T21" s="207"/>
      <c r="V21" s="207"/>
      <c r="W21" s="207"/>
      <c r="X21" s="207"/>
      <c r="Y21" s="1077"/>
    </row>
    <row r="22" spans="1:25" s="185" customFormat="1" ht="12" customHeight="1">
      <c r="A22" s="210" t="s">
        <v>532</v>
      </c>
      <c r="B22" s="943" t="s">
        <v>556</v>
      </c>
      <c r="C22" s="211" t="s">
        <v>557</v>
      </c>
      <c r="D22" s="1470">
        <v>364187</v>
      </c>
      <c r="E22" s="1470">
        <v>5947</v>
      </c>
      <c r="F22" s="878">
        <f t="shared" ref="F22:F23" si="4">D22-E22</f>
        <v>358240</v>
      </c>
      <c r="G22" s="1470">
        <v>0</v>
      </c>
      <c r="H22" s="1089"/>
      <c r="I22" s="1115"/>
      <c r="J22" s="1115"/>
      <c r="K22" s="1089"/>
      <c r="Q22" s="1069">
        <v>0.08</v>
      </c>
      <c r="R22" s="1069">
        <v>0.08</v>
      </c>
      <c r="S22" s="1078">
        <v>0.03</v>
      </c>
      <c r="T22" s="1078">
        <v>0.02</v>
      </c>
      <c r="U22" s="1070">
        <v>0.01</v>
      </c>
      <c r="V22" s="1070">
        <v>0.01</v>
      </c>
      <c r="W22" s="1078">
        <v>0.02</v>
      </c>
      <c r="X22" s="1070">
        <v>0.01</v>
      </c>
      <c r="Y22" s="1071" t="str">
        <f t="shared" ref="Y22:Y28" si="5">IF($K$2=$Q$3,Q22,IF($K$2=$U$3,U22,IF($K$2=$W$3,W22,IF($K$2=$X$3,X22,IF($K$2=$R$3,R22,IF($K$2=$S$3,S22,IF($K$2=$T$3,T22,IF($K$2=$V$3,V22,""))))))))</f>
        <v/>
      </c>
    </row>
    <row r="23" spans="1:25" s="185" customFormat="1" ht="12" customHeight="1">
      <c r="A23" s="210" t="s">
        <v>535</v>
      </c>
      <c r="B23" s="943" t="s">
        <v>558</v>
      </c>
      <c r="C23" s="211" t="s">
        <v>559</v>
      </c>
      <c r="D23" s="1470">
        <v>481014</v>
      </c>
      <c r="E23" s="1473">
        <v>333398</v>
      </c>
      <c r="F23" s="878">
        <f t="shared" si="4"/>
        <v>147616</v>
      </c>
      <c r="G23" s="1470">
        <v>182159</v>
      </c>
      <c r="H23" s="1089"/>
      <c r="I23" s="206"/>
      <c r="J23" s="1089"/>
      <c r="K23" s="1089"/>
      <c r="Q23" s="1069">
        <v>7.0000000000000007E-2</v>
      </c>
      <c r="R23" s="1069">
        <v>7.0000000000000007E-2</v>
      </c>
      <c r="S23" s="1078">
        <v>2.75E-2</v>
      </c>
      <c r="T23" s="1078">
        <v>1.7500000000000002E-2</v>
      </c>
      <c r="U23" s="1070">
        <v>8.9999999999999993E-3</v>
      </c>
      <c r="V23" s="1070">
        <v>8.9999999999999993E-3</v>
      </c>
      <c r="W23" s="1078">
        <v>1.7500000000000002E-2</v>
      </c>
      <c r="X23" s="1070">
        <v>8.9999999999999993E-3</v>
      </c>
      <c r="Y23" s="1071" t="str">
        <f t="shared" si="5"/>
        <v/>
      </c>
    </row>
    <row r="24" spans="1:25" s="185" customFormat="1" ht="12" customHeight="1">
      <c r="A24" s="210" t="s">
        <v>538</v>
      </c>
      <c r="B24" s="943" t="s">
        <v>560</v>
      </c>
      <c r="C24" s="211" t="s">
        <v>561</v>
      </c>
      <c r="D24" s="1470">
        <v>0</v>
      </c>
      <c r="E24" s="1470">
        <v>0</v>
      </c>
      <c r="F24" s="1470">
        <v>0</v>
      </c>
      <c r="G24" s="1473">
        <v>0</v>
      </c>
      <c r="H24" s="1089"/>
      <c r="I24" s="1113"/>
      <c r="J24" s="1089"/>
      <c r="K24" s="1089"/>
      <c r="Q24" s="1069">
        <v>0.06</v>
      </c>
      <c r="R24" s="1069">
        <v>0.06</v>
      </c>
      <c r="S24" s="1078">
        <v>2.5000000000000001E-2</v>
      </c>
      <c r="T24" s="1078">
        <v>1.4999999999999999E-2</v>
      </c>
      <c r="U24" s="1070">
        <v>8.0000000000000002E-3</v>
      </c>
      <c r="V24" s="1070">
        <v>8.0000000000000002E-3</v>
      </c>
      <c r="W24" s="1078">
        <v>1.4999999999999999E-2</v>
      </c>
      <c r="X24" s="1070">
        <v>8.0000000000000002E-3</v>
      </c>
      <c r="Y24" s="1071" t="str">
        <f t="shared" si="5"/>
        <v/>
      </c>
    </row>
    <row r="25" spans="1:25" s="185" customFormat="1" ht="12" customHeight="1">
      <c r="A25" s="210" t="s">
        <v>541</v>
      </c>
      <c r="B25" s="943" t="s">
        <v>562</v>
      </c>
      <c r="C25" s="211" t="s">
        <v>563</v>
      </c>
      <c r="D25" s="1470">
        <v>0</v>
      </c>
      <c r="E25" s="1470">
        <v>0</v>
      </c>
      <c r="F25" s="1470">
        <v>0</v>
      </c>
      <c r="G25" s="1473">
        <v>0</v>
      </c>
      <c r="H25" s="1089"/>
      <c r="I25" s="1113"/>
      <c r="J25" s="1089"/>
      <c r="K25" s="1089"/>
      <c r="Q25" s="1069">
        <v>0.05</v>
      </c>
      <c r="R25" s="1069">
        <v>0.05</v>
      </c>
      <c r="S25" s="1078">
        <v>2.2499999999999999E-2</v>
      </c>
      <c r="T25" s="1078">
        <v>1.2500000000000001E-2</v>
      </c>
      <c r="U25" s="1070">
        <v>7.0000000000000001E-3</v>
      </c>
      <c r="V25" s="1070">
        <v>7.0000000000000001E-3</v>
      </c>
      <c r="W25" s="1078">
        <v>1.2500000000000001E-2</v>
      </c>
      <c r="X25" s="1070">
        <v>7.0000000000000001E-3</v>
      </c>
      <c r="Y25" s="1071" t="str">
        <f t="shared" si="5"/>
        <v/>
      </c>
    </row>
    <row r="26" spans="1:25" s="185" customFormat="1" ht="12" customHeight="1">
      <c r="A26" s="210" t="s">
        <v>544</v>
      </c>
      <c r="B26" s="944" t="s">
        <v>2641</v>
      </c>
      <c r="C26" s="211" t="s">
        <v>565</v>
      </c>
      <c r="D26" s="1473">
        <v>0</v>
      </c>
      <c r="E26" s="1473">
        <v>0</v>
      </c>
      <c r="F26" s="1470">
        <v>0</v>
      </c>
      <c r="G26" s="1473">
        <v>0</v>
      </c>
      <c r="H26" s="1089"/>
      <c r="I26" s="1113"/>
      <c r="J26" s="1089"/>
      <c r="K26" s="1089"/>
      <c r="Q26" s="1069"/>
      <c r="R26" s="1069"/>
      <c r="S26" s="1078">
        <v>0.02</v>
      </c>
      <c r="T26" s="1078">
        <v>0.01</v>
      </c>
      <c r="U26" s="1070">
        <v>6.0000000000000001E-3</v>
      </c>
      <c r="V26" s="1070">
        <v>6.0000000000000001E-3</v>
      </c>
      <c r="W26" s="1078">
        <v>0.01</v>
      </c>
      <c r="X26" s="1070">
        <v>6.0000000000000001E-3</v>
      </c>
      <c r="Y26" s="1071" t="str">
        <f t="shared" si="5"/>
        <v/>
      </c>
    </row>
    <row r="27" spans="1:25" s="185" customFormat="1" ht="12" customHeight="1">
      <c r="A27" s="210" t="s">
        <v>547</v>
      </c>
      <c r="B27" s="943" t="s">
        <v>566</v>
      </c>
      <c r="C27" s="211" t="s">
        <v>567</v>
      </c>
      <c r="D27" s="1470">
        <v>0</v>
      </c>
      <c r="E27" s="1470">
        <v>0</v>
      </c>
      <c r="F27" s="1470">
        <v>0</v>
      </c>
      <c r="G27" s="1470"/>
      <c r="H27" s="1089"/>
      <c r="I27" s="206"/>
      <c r="J27" s="1089"/>
      <c r="K27" s="1089"/>
      <c r="Q27" s="1069"/>
      <c r="R27" s="1069"/>
      <c r="S27" s="1078"/>
      <c r="T27" s="1069"/>
      <c r="U27" s="1070">
        <v>5.0000000000000001E-3</v>
      </c>
      <c r="V27" s="1070">
        <v>5.0000000000000001E-3</v>
      </c>
      <c r="W27" s="1066"/>
      <c r="X27" s="1070">
        <v>5.0000000000000001E-3</v>
      </c>
      <c r="Y27" s="1071" t="str">
        <f t="shared" si="5"/>
        <v/>
      </c>
    </row>
    <row r="28" spans="1:25" s="185" customFormat="1" ht="12" customHeight="1">
      <c r="A28" s="210" t="s">
        <v>568</v>
      </c>
      <c r="B28" s="943" t="s">
        <v>569</v>
      </c>
      <c r="C28" s="211" t="s">
        <v>570</v>
      </c>
      <c r="D28" s="1470">
        <v>0</v>
      </c>
      <c r="E28" s="1470">
        <v>0</v>
      </c>
      <c r="F28" s="1470">
        <v>0</v>
      </c>
      <c r="G28" s="1470">
        <v>0</v>
      </c>
      <c r="H28" s="1089"/>
      <c r="I28" s="1113"/>
      <c r="J28" s="1089"/>
      <c r="K28" s="1089"/>
      <c r="Y28" s="1071" t="str">
        <f t="shared" si="5"/>
        <v/>
      </c>
    </row>
    <row r="29" spans="1:25" s="185" customFormat="1" ht="12" customHeight="1">
      <c r="A29" s="210" t="s">
        <v>571</v>
      </c>
      <c r="B29" s="943" t="s">
        <v>572</v>
      </c>
      <c r="C29" s="211" t="s">
        <v>573</v>
      </c>
      <c r="D29" s="1470">
        <v>0</v>
      </c>
      <c r="E29" s="1470">
        <v>0</v>
      </c>
      <c r="F29" s="1470">
        <v>0</v>
      </c>
      <c r="G29" s="1470">
        <v>0</v>
      </c>
      <c r="H29" s="1089"/>
      <c r="I29" s="1113"/>
      <c r="J29" s="1089"/>
      <c r="K29" s="1089"/>
      <c r="Y29" s="1079"/>
    </row>
    <row r="30" spans="1:25" s="207" customFormat="1" ht="12" customHeight="1">
      <c r="A30" s="1075" t="s">
        <v>574</v>
      </c>
      <c r="B30" s="942" t="s">
        <v>2257</v>
      </c>
      <c r="C30" s="205" t="s">
        <v>576</v>
      </c>
      <c r="D30" s="1475">
        <v>0</v>
      </c>
      <c r="E30" s="1475">
        <v>0</v>
      </c>
      <c r="F30" s="1475">
        <v>0</v>
      </c>
      <c r="G30" s="1475">
        <v>0</v>
      </c>
      <c r="H30" s="1087"/>
      <c r="I30" s="1602"/>
      <c r="J30" s="1602"/>
      <c r="K30" s="1091"/>
      <c r="Q30" s="185" t="s">
        <v>2258</v>
      </c>
      <c r="R30" s="185"/>
      <c r="S30" s="185"/>
      <c r="Y30" s="1077"/>
    </row>
    <row r="31" spans="1:25" s="185" customFormat="1" ht="12" customHeight="1">
      <c r="A31" s="1076" t="s">
        <v>577</v>
      </c>
      <c r="B31" s="943" t="s">
        <v>2657</v>
      </c>
      <c r="C31" s="211" t="s">
        <v>579</v>
      </c>
      <c r="D31" s="1470">
        <v>0</v>
      </c>
      <c r="E31" s="1470">
        <v>0</v>
      </c>
      <c r="F31" s="1470">
        <v>0</v>
      </c>
      <c r="G31" s="1470">
        <v>0</v>
      </c>
      <c r="H31" s="1089"/>
      <c r="I31" s="1115"/>
      <c r="J31" s="1116"/>
      <c r="K31" s="1117"/>
      <c r="L31" s="1080"/>
      <c r="M31" s="1080"/>
      <c r="N31" s="1080"/>
      <c r="Q31" s="1065" t="s">
        <v>502</v>
      </c>
      <c r="Y31" s="1079"/>
    </row>
    <row r="32" spans="1:25" s="185" customFormat="1" ht="12" customHeight="1">
      <c r="A32" s="210" t="s">
        <v>532</v>
      </c>
      <c r="B32" s="943" t="s">
        <v>2658</v>
      </c>
      <c r="C32" s="211" t="s">
        <v>581</v>
      </c>
      <c r="D32" s="1470">
        <v>0</v>
      </c>
      <c r="E32" s="1470">
        <v>0</v>
      </c>
      <c r="F32" s="1470">
        <v>0</v>
      </c>
      <c r="G32" s="1470">
        <v>0</v>
      </c>
      <c r="H32" s="1089"/>
      <c r="I32" s="1115"/>
      <c r="J32" s="1118"/>
      <c r="K32" s="1117"/>
      <c r="L32" s="1080"/>
      <c r="M32" s="1080"/>
      <c r="N32" s="1080"/>
      <c r="Q32" s="185" t="s">
        <v>2259</v>
      </c>
      <c r="Y32" s="1079"/>
    </row>
    <row r="33" spans="1:25" s="185" customFormat="1" ht="12" customHeight="1">
      <c r="A33" s="210" t="s">
        <v>535</v>
      </c>
      <c r="B33" s="943" t="s">
        <v>2260</v>
      </c>
      <c r="C33" s="211" t="s">
        <v>583</v>
      </c>
      <c r="D33" s="1470">
        <v>0</v>
      </c>
      <c r="E33" s="1470">
        <v>0</v>
      </c>
      <c r="F33" s="1470">
        <v>0</v>
      </c>
      <c r="G33" s="1470">
        <v>0</v>
      </c>
      <c r="H33" s="1089"/>
      <c r="I33" s="1089"/>
      <c r="J33" s="1119"/>
      <c r="K33" s="1117"/>
      <c r="L33" s="1081"/>
      <c r="M33" s="1081"/>
      <c r="N33" s="1080"/>
      <c r="Q33" s="185" t="s">
        <v>2261</v>
      </c>
      <c r="Y33" s="1079"/>
    </row>
    <row r="34" spans="1:25" s="185" customFormat="1" ht="12" customHeight="1">
      <c r="A34" s="210" t="s">
        <v>538</v>
      </c>
      <c r="B34" s="1082" t="s">
        <v>2659</v>
      </c>
      <c r="C34" s="211" t="s">
        <v>585</v>
      </c>
      <c r="D34" s="1470">
        <v>0</v>
      </c>
      <c r="E34" s="1470">
        <v>0</v>
      </c>
      <c r="F34" s="1470">
        <v>0</v>
      </c>
      <c r="G34" s="1470">
        <v>0</v>
      </c>
      <c r="H34" s="1089"/>
      <c r="I34" s="1089"/>
      <c r="J34" s="1119"/>
      <c r="K34" s="1117"/>
      <c r="L34" s="1080"/>
      <c r="M34" s="1080"/>
      <c r="N34" s="1080"/>
    </row>
    <row r="35" spans="1:25" s="185" customFormat="1" ht="12" customHeight="1">
      <c r="A35" s="210" t="s">
        <v>541</v>
      </c>
      <c r="B35" s="1082" t="s">
        <v>2660</v>
      </c>
      <c r="C35" s="211" t="s">
        <v>587</v>
      </c>
      <c r="D35" s="1470">
        <v>0</v>
      </c>
      <c r="E35" s="1470">
        <v>0</v>
      </c>
      <c r="F35" s="1470">
        <v>0</v>
      </c>
      <c r="G35" s="1470">
        <v>0</v>
      </c>
      <c r="H35" s="1089"/>
      <c r="I35" s="1089"/>
      <c r="J35" s="1119"/>
      <c r="K35" s="1117"/>
      <c r="L35" s="1080"/>
      <c r="M35" s="1080"/>
      <c r="N35" s="1080"/>
    </row>
    <row r="36" spans="1:25" s="185" customFormat="1" ht="12" customHeight="1">
      <c r="A36" s="210">
        <v>6</v>
      </c>
      <c r="B36" s="1082" t="s">
        <v>2262</v>
      </c>
      <c r="C36" s="211" t="s">
        <v>589</v>
      </c>
      <c r="D36" s="1470">
        <v>0</v>
      </c>
      <c r="E36" s="1470">
        <v>0</v>
      </c>
      <c r="F36" s="1470">
        <v>0</v>
      </c>
      <c r="G36" s="1470">
        <v>0</v>
      </c>
      <c r="H36" s="1089"/>
      <c r="I36" s="1089"/>
      <c r="J36" s="1120"/>
      <c r="K36" s="1117"/>
      <c r="L36" s="1083"/>
      <c r="M36" s="1083"/>
      <c r="N36" s="1080"/>
    </row>
    <row r="37" spans="1:25" s="185" customFormat="1" ht="12" customHeight="1">
      <c r="A37" s="210" t="s">
        <v>547</v>
      </c>
      <c r="B37" s="1084" t="s">
        <v>2263</v>
      </c>
      <c r="C37" s="211" t="s">
        <v>591</v>
      </c>
      <c r="D37" s="1470">
        <v>0</v>
      </c>
      <c r="E37" s="1470">
        <v>0</v>
      </c>
      <c r="F37" s="1470">
        <v>0</v>
      </c>
      <c r="G37" s="1470">
        <v>0</v>
      </c>
      <c r="H37" s="1089"/>
      <c r="I37" s="1113"/>
      <c r="J37" s="1089"/>
      <c r="K37" s="1089"/>
    </row>
    <row r="38" spans="1:25" s="185" customFormat="1" ht="12" customHeight="1">
      <c r="A38" s="210" t="s">
        <v>568</v>
      </c>
      <c r="B38" s="1084" t="s">
        <v>2264</v>
      </c>
      <c r="C38" s="211" t="s">
        <v>593</v>
      </c>
      <c r="D38" s="1470">
        <v>0</v>
      </c>
      <c r="E38" s="1470">
        <v>0</v>
      </c>
      <c r="F38" s="1470">
        <v>0</v>
      </c>
      <c r="G38" s="1470">
        <v>0</v>
      </c>
      <c r="H38" s="1121"/>
      <c r="I38" s="1113"/>
      <c r="J38" s="1089"/>
      <c r="K38" s="1089"/>
    </row>
    <row r="39" spans="1:25" s="185" customFormat="1" ht="12" customHeight="1">
      <c r="A39" s="210" t="s">
        <v>571</v>
      </c>
      <c r="B39" s="1084" t="s">
        <v>657</v>
      </c>
      <c r="C39" s="211" t="s">
        <v>596</v>
      </c>
      <c r="D39" s="1470"/>
      <c r="E39" s="1470">
        <v>0</v>
      </c>
      <c r="F39" s="1470">
        <v>0</v>
      </c>
      <c r="G39" s="1470">
        <v>0</v>
      </c>
      <c r="H39" s="1121"/>
      <c r="I39" s="1113"/>
      <c r="J39" s="1089"/>
      <c r="K39" s="1089"/>
    </row>
    <row r="40" spans="1:25" s="185" customFormat="1" ht="12" customHeight="1">
      <c r="A40" s="210" t="s">
        <v>758</v>
      </c>
      <c r="B40" s="943" t="s">
        <v>590</v>
      </c>
      <c r="C40" s="211" t="s">
        <v>599</v>
      </c>
      <c r="D40" s="1470">
        <v>0</v>
      </c>
      <c r="E40" s="1470">
        <v>0</v>
      </c>
      <c r="F40" s="1470">
        <v>0</v>
      </c>
      <c r="G40" s="1470">
        <v>0</v>
      </c>
      <c r="H40" s="1089"/>
      <c r="I40" s="1113"/>
      <c r="J40" s="1089"/>
      <c r="K40" s="1089"/>
    </row>
    <row r="41" spans="1:25" s="185" customFormat="1" ht="12" customHeight="1">
      <c r="A41" s="210" t="s">
        <v>761</v>
      </c>
      <c r="B41" s="943" t="s">
        <v>592</v>
      </c>
      <c r="C41" s="211" t="s">
        <v>602</v>
      </c>
      <c r="D41" s="1470">
        <v>0</v>
      </c>
      <c r="E41" s="1470">
        <v>0</v>
      </c>
      <c r="F41" s="1470">
        <v>0</v>
      </c>
      <c r="G41" s="1470">
        <v>0</v>
      </c>
      <c r="H41" s="1089"/>
      <c r="I41" s="1113"/>
      <c r="J41" s="1089"/>
      <c r="K41" s="1089"/>
    </row>
    <row r="42" spans="1:25" s="207" customFormat="1" ht="12" customHeight="1">
      <c r="A42" s="1075" t="s">
        <v>594</v>
      </c>
      <c r="B42" s="941" t="s">
        <v>2265</v>
      </c>
      <c r="C42" s="205" t="s">
        <v>604</v>
      </c>
      <c r="D42" s="1475">
        <f>D43+D62+D80</f>
        <v>2785556</v>
      </c>
      <c r="E42" s="1475">
        <f t="shared" ref="E42:F42" si="6">E43+E62+E80</f>
        <v>15954</v>
      </c>
      <c r="F42" s="1475">
        <f t="shared" si="6"/>
        <v>2769602</v>
      </c>
      <c r="G42" s="1475">
        <v>2597227</v>
      </c>
      <c r="H42" s="1091"/>
      <c r="I42" s="206"/>
      <c r="J42" s="1091"/>
      <c r="K42" s="1091"/>
    </row>
    <row r="43" spans="1:25" s="207" customFormat="1" ht="12" customHeight="1">
      <c r="A43" s="209" t="s">
        <v>597</v>
      </c>
      <c r="B43" s="942" t="s">
        <v>2266</v>
      </c>
      <c r="C43" s="205" t="s">
        <v>606</v>
      </c>
      <c r="D43" s="1475">
        <f>SUM(D44:D49)</f>
        <v>1035190</v>
      </c>
      <c r="E43" s="1475">
        <f t="shared" ref="E43:G43" si="7">SUM(E44:E49)</f>
        <v>6224</v>
      </c>
      <c r="F43" s="1475">
        <f t="shared" si="7"/>
        <v>1028966</v>
      </c>
      <c r="G43" s="1475">
        <f t="shared" si="7"/>
        <v>756698</v>
      </c>
      <c r="H43" s="1087"/>
      <c r="I43" s="1603"/>
      <c r="J43" s="1603"/>
      <c r="K43" s="1091"/>
    </row>
    <row r="44" spans="1:25" s="185" customFormat="1" ht="12" customHeight="1">
      <c r="A44" s="1076" t="s">
        <v>600</v>
      </c>
      <c r="B44" s="943" t="s">
        <v>601</v>
      </c>
      <c r="C44" s="211" t="s">
        <v>608</v>
      </c>
      <c r="D44" s="1470">
        <v>493711</v>
      </c>
      <c r="E44" s="1470">
        <v>6224</v>
      </c>
      <c r="F44" s="1470">
        <f>D44-E44</f>
        <v>487487</v>
      </c>
      <c r="G44" s="1470">
        <v>286180</v>
      </c>
      <c r="H44" s="1089"/>
      <c r="I44" s="206"/>
      <c r="J44" s="1115"/>
      <c r="K44" s="1089"/>
    </row>
    <row r="45" spans="1:25" s="185" customFormat="1" ht="12" customHeight="1">
      <c r="A45" s="210" t="s">
        <v>532</v>
      </c>
      <c r="B45" s="944" t="s">
        <v>603</v>
      </c>
      <c r="C45" s="211" t="s">
        <v>610</v>
      </c>
      <c r="D45" s="1470">
        <v>3950</v>
      </c>
      <c r="E45" s="1470">
        <v>0</v>
      </c>
      <c r="F45" s="1470">
        <f t="shared" ref="F45:F48" si="8">D45-E45</f>
        <v>3950</v>
      </c>
      <c r="G45" s="1470">
        <v>3887</v>
      </c>
      <c r="H45" s="1089"/>
      <c r="I45" s="1113"/>
      <c r="J45" s="1089"/>
      <c r="K45" s="1089"/>
    </row>
    <row r="46" spans="1:25" s="185" customFormat="1" ht="12" customHeight="1">
      <c r="A46" s="210" t="s">
        <v>535</v>
      </c>
      <c r="B46" s="943" t="s">
        <v>605</v>
      </c>
      <c r="C46" s="211" t="s">
        <v>612</v>
      </c>
      <c r="D46" s="1470">
        <v>2326</v>
      </c>
      <c r="E46" s="1470">
        <v>0</v>
      </c>
      <c r="F46" s="1470">
        <f t="shared" si="8"/>
        <v>2326</v>
      </c>
      <c r="G46" s="1470">
        <v>2797</v>
      </c>
      <c r="H46" s="1089"/>
      <c r="I46" s="206"/>
      <c r="J46" s="1089"/>
      <c r="K46" s="1089"/>
    </row>
    <row r="47" spans="1:25" s="185" customFormat="1" ht="12" customHeight="1">
      <c r="A47" s="210" t="s">
        <v>538</v>
      </c>
      <c r="B47" s="943" t="s">
        <v>607</v>
      </c>
      <c r="C47" s="211" t="s">
        <v>615</v>
      </c>
      <c r="D47" s="1470">
        <v>0</v>
      </c>
      <c r="E47" s="1470">
        <v>0</v>
      </c>
      <c r="F47" s="1470">
        <v>0</v>
      </c>
      <c r="G47" s="1470">
        <v>0</v>
      </c>
      <c r="H47" s="1089"/>
      <c r="I47" s="1113"/>
      <c r="J47" s="1089"/>
      <c r="K47" s="1089"/>
    </row>
    <row r="48" spans="1:25" s="185" customFormat="1" ht="12" customHeight="1">
      <c r="A48" s="210" t="s">
        <v>541</v>
      </c>
      <c r="B48" s="944" t="s">
        <v>2267</v>
      </c>
      <c r="C48" s="211" t="s">
        <v>618</v>
      </c>
      <c r="D48" s="1470">
        <v>535203</v>
      </c>
      <c r="E48" s="1470">
        <v>0</v>
      </c>
      <c r="F48" s="1470">
        <f t="shared" si="8"/>
        <v>535203</v>
      </c>
      <c r="G48" s="1470">
        <v>463834</v>
      </c>
      <c r="H48" s="1089"/>
      <c r="I48" s="206"/>
      <c r="J48" s="1089"/>
      <c r="K48" s="1089"/>
    </row>
    <row r="49" spans="1:15" s="185" customFormat="1" ht="12" customHeight="1">
      <c r="A49" s="210" t="s">
        <v>544</v>
      </c>
      <c r="B49" s="943" t="s">
        <v>611</v>
      </c>
      <c r="C49" s="211" t="s">
        <v>620</v>
      </c>
      <c r="D49" s="1471">
        <v>0</v>
      </c>
      <c r="E49" s="1471">
        <v>0</v>
      </c>
      <c r="F49" s="1471">
        <v>0</v>
      </c>
      <c r="G49" s="1470">
        <v>0</v>
      </c>
      <c r="H49" s="1089"/>
      <c r="I49" s="1113"/>
      <c r="J49" s="1089"/>
      <c r="K49" s="1089"/>
    </row>
    <row r="50" spans="1:15" s="207" customFormat="1" ht="12" customHeight="1">
      <c r="A50" s="1075" t="s">
        <v>613</v>
      </c>
      <c r="B50" s="942" t="s">
        <v>2268</v>
      </c>
      <c r="C50" s="205" t="s">
        <v>622</v>
      </c>
      <c r="D50" s="1475">
        <v>0</v>
      </c>
      <c r="E50" s="1475">
        <v>0</v>
      </c>
      <c r="F50" s="1475">
        <v>0</v>
      </c>
      <c r="G50" s="1475"/>
      <c r="H50" s="1087"/>
      <c r="I50" s="1605"/>
      <c r="J50" s="1605"/>
      <c r="K50" s="1605"/>
    </row>
    <row r="51" spans="1:15" s="185" customFormat="1" ht="12" customHeight="1">
      <c r="A51" s="1076" t="s">
        <v>616</v>
      </c>
      <c r="B51" s="1084" t="s">
        <v>2269</v>
      </c>
      <c r="C51" s="211" t="s">
        <v>624</v>
      </c>
      <c r="D51" s="1476">
        <v>0</v>
      </c>
      <c r="E51" s="1476">
        <v>0</v>
      </c>
      <c r="F51" s="1476">
        <v>0</v>
      </c>
      <c r="G51" s="1476"/>
      <c r="H51" s="1088"/>
      <c r="I51" s="1113"/>
      <c r="J51" s="1089"/>
      <c r="K51" s="1122"/>
      <c r="L51" s="1604"/>
      <c r="M51" s="1604"/>
      <c r="N51" s="1604"/>
      <c r="O51" s="1604"/>
    </row>
    <row r="52" spans="1:15" s="185" customFormat="1" ht="12" customHeight="1">
      <c r="A52" s="1076" t="s">
        <v>2270</v>
      </c>
      <c r="B52" s="1417" t="s">
        <v>2646</v>
      </c>
      <c r="C52" s="211" t="s">
        <v>626</v>
      </c>
      <c r="D52" s="1476">
        <v>0</v>
      </c>
      <c r="E52" s="1476">
        <v>0</v>
      </c>
      <c r="F52" s="1476">
        <v>0</v>
      </c>
      <c r="G52" s="1476"/>
      <c r="H52" s="1088"/>
      <c r="I52" s="1113"/>
      <c r="J52" s="1089"/>
      <c r="K52" s="1123"/>
      <c r="L52" s="1081"/>
      <c r="M52" s="1081"/>
      <c r="N52" s="1081"/>
      <c r="O52" s="1081"/>
    </row>
    <row r="53" spans="1:15" s="185" customFormat="1" ht="12" customHeight="1">
      <c r="A53" s="1076" t="s">
        <v>2271</v>
      </c>
      <c r="B53" s="1417" t="s">
        <v>2647</v>
      </c>
      <c r="C53" s="211" t="s">
        <v>628</v>
      </c>
      <c r="D53" s="1476">
        <v>0</v>
      </c>
      <c r="E53" s="1476">
        <v>0</v>
      </c>
      <c r="F53" s="1476">
        <v>0</v>
      </c>
      <c r="G53" s="1476"/>
      <c r="H53" s="1088"/>
      <c r="I53" s="1113"/>
      <c r="J53" s="1089"/>
      <c r="K53" s="1123"/>
      <c r="L53" s="1080"/>
      <c r="M53" s="1080"/>
      <c r="N53" s="1080"/>
      <c r="O53" s="1080"/>
    </row>
    <row r="54" spans="1:15" s="185" customFormat="1" ht="12" customHeight="1">
      <c r="A54" s="1076" t="s">
        <v>2272</v>
      </c>
      <c r="B54" s="1417" t="s">
        <v>2273</v>
      </c>
      <c r="C54" s="211" t="s">
        <v>630</v>
      </c>
      <c r="D54" s="1476">
        <v>0</v>
      </c>
      <c r="E54" s="1476">
        <v>0</v>
      </c>
      <c r="F54" s="1476">
        <v>0</v>
      </c>
      <c r="G54" s="1476"/>
      <c r="H54" s="1088"/>
      <c r="I54" s="1113"/>
      <c r="J54" s="1089"/>
      <c r="K54" s="1123"/>
      <c r="L54" s="1080"/>
      <c r="M54" s="1080"/>
      <c r="N54" s="1080"/>
      <c r="O54" s="1080"/>
    </row>
    <row r="55" spans="1:15" s="185" customFormat="1" ht="12" customHeight="1">
      <c r="A55" s="217" t="s">
        <v>532</v>
      </c>
      <c r="B55" s="945" t="s">
        <v>619</v>
      </c>
      <c r="C55" s="218" t="s">
        <v>633</v>
      </c>
      <c r="D55" s="1476">
        <v>0</v>
      </c>
      <c r="E55" s="1476">
        <v>0</v>
      </c>
      <c r="F55" s="1476">
        <v>0</v>
      </c>
      <c r="G55" s="1476"/>
      <c r="H55" s="1088"/>
      <c r="I55" s="1113"/>
      <c r="J55" s="1089"/>
      <c r="K55" s="1123"/>
      <c r="L55" s="1080"/>
      <c r="M55" s="1080"/>
      <c r="N55" s="1080"/>
      <c r="O55" s="1080"/>
    </row>
    <row r="56" spans="1:15" s="185" customFormat="1" ht="12" customHeight="1">
      <c r="A56" s="210" t="s">
        <v>535</v>
      </c>
      <c r="B56" s="1082" t="s">
        <v>2661</v>
      </c>
      <c r="C56" s="211" t="s">
        <v>636</v>
      </c>
      <c r="D56" s="1476">
        <v>0</v>
      </c>
      <c r="E56" s="1476">
        <v>0</v>
      </c>
      <c r="F56" s="1476">
        <v>0</v>
      </c>
      <c r="G56" s="1476"/>
      <c r="H56" s="1121"/>
      <c r="I56" s="1113"/>
      <c r="J56" s="1089"/>
      <c r="K56" s="1124"/>
      <c r="L56" s="1086"/>
      <c r="M56" s="1086"/>
      <c r="N56" s="1086"/>
      <c r="O56" s="1086"/>
    </row>
    <row r="57" spans="1:15" s="185" customFormat="1" ht="12" customHeight="1">
      <c r="A57" s="210" t="s">
        <v>538</v>
      </c>
      <c r="B57" s="1082" t="s">
        <v>2662</v>
      </c>
      <c r="C57" s="211" t="s">
        <v>637</v>
      </c>
      <c r="D57" s="1476">
        <v>0</v>
      </c>
      <c r="E57" s="1476">
        <v>0</v>
      </c>
      <c r="F57" s="1476">
        <v>0</v>
      </c>
      <c r="G57" s="1476"/>
      <c r="H57" s="1121"/>
      <c r="I57" s="1113"/>
      <c r="J57" s="1089"/>
      <c r="K57" s="1117"/>
      <c r="L57" s="1080"/>
      <c r="M57" s="1080"/>
      <c r="N57" s="1080"/>
      <c r="O57" s="1080"/>
    </row>
    <row r="58" spans="1:15" s="185" customFormat="1" ht="12" customHeight="1">
      <c r="A58" s="210" t="s">
        <v>541</v>
      </c>
      <c r="B58" s="944" t="s">
        <v>625</v>
      </c>
      <c r="C58" s="211" t="s">
        <v>639</v>
      </c>
      <c r="D58" s="1476">
        <v>0</v>
      </c>
      <c r="E58" s="1476">
        <v>0</v>
      </c>
      <c r="F58" s="1476">
        <v>0</v>
      </c>
      <c r="G58" s="1476"/>
      <c r="H58" s="1088"/>
      <c r="I58" s="1113"/>
      <c r="J58" s="1089"/>
      <c r="K58" s="1117"/>
      <c r="L58" s="1080"/>
      <c r="M58" s="1080"/>
      <c r="N58" s="1080"/>
      <c r="O58" s="1080"/>
    </row>
    <row r="59" spans="1:15" s="185" customFormat="1" ht="12" customHeight="1">
      <c r="A59" s="210" t="s">
        <v>544</v>
      </c>
      <c r="B59" s="1084" t="s">
        <v>2274</v>
      </c>
      <c r="C59" s="211" t="s">
        <v>640</v>
      </c>
      <c r="D59" s="1476">
        <v>0</v>
      </c>
      <c r="E59" s="1476">
        <v>0</v>
      </c>
      <c r="F59" s="1476">
        <v>0</v>
      </c>
      <c r="G59" s="1476"/>
      <c r="H59" s="1088"/>
      <c r="I59" s="1113"/>
      <c r="J59" s="1089"/>
      <c r="K59" s="1089"/>
    </row>
    <row r="60" spans="1:15" s="185" customFormat="1" ht="12" customHeight="1">
      <c r="A60" s="210" t="s">
        <v>547</v>
      </c>
      <c r="B60" s="1084" t="s">
        <v>2275</v>
      </c>
      <c r="C60" s="211" t="s">
        <v>642</v>
      </c>
      <c r="D60" s="1476">
        <v>0</v>
      </c>
      <c r="E60" s="1476">
        <v>0</v>
      </c>
      <c r="F60" s="1476">
        <v>0</v>
      </c>
      <c r="G60" s="1476"/>
      <c r="H60" s="1088"/>
      <c r="I60" s="1113"/>
      <c r="J60" s="1089"/>
      <c r="K60" s="1089"/>
    </row>
    <row r="61" spans="1:15" s="185" customFormat="1" ht="12" customHeight="1">
      <c r="A61" s="210" t="s">
        <v>568</v>
      </c>
      <c r="B61" s="943" t="s">
        <v>629</v>
      </c>
      <c r="C61" s="211" t="s">
        <v>644</v>
      </c>
      <c r="D61" s="1476"/>
      <c r="E61" s="1476">
        <v>0</v>
      </c>
      <c r="F61" s="1476"/>
      <c r="G61" s="1476"/>
      <c r="H61" s="1089"/>
      <c r="I61" s="1089"/>
      <c r="J61" s="1089"/>
      <c r="K61" s="1089"/>
    </row>
    <row r="62" spans="1:15" s="207" customFormat="1" ht="12" customHeight="1">
      <c r="A62" s="1075" t="s">
        <v>631</v>
      </c>
      <c r="B62" s="942" t="s">
        <v>2276</v>
      </c>
      <c r="C62" s="205" t="s">
        <v>646</v>
      </c>
      <c r="D62" s="1475">
        <f>D63+D72+D74</f>
        <v>1450453</v>
      </c>
      <c r="E62" s="1475">
        <f>E63+E72+E74</f>
        <v>9730</v>
      </c>
      <c r="F62" s="1475">
        <f>F63+F72+F74</f>
        <v>1440723</v>
      </c>
      <c r="G62" s="1475">
        <f>G63+G72+G74</f>
        <v>1072219</v>
      </c>
      <c r="H62" s="1087"/>
      <c r="I62" s="1605"/>
      <c r="J62" s="1605"/>
      <c r="K62" s="1605"/>
    </row>
    <row r="63" spans="1:15" s="185" customFormat="1" ht="12" customHeight="1">
      <c r="A63" s="1076" t="s">
        <v>634</v>
      </c>
      <c r="B63" s="1084" t="s">
        <v>2277</v>
      </c>
      <c r="C63" s="211" t="s">
        <v>648</v>
      </c>
      <c r="D63" s="1476">
        <v>1395498</v>
      </c>
      <c r="E63" s="1476"/>
      <c r="F63" s="1476">
        <f>D63-E63</f>
        <v>1395498</v>
      </c>
      <c r="G63" s="1476">
        <v>1026423</v>
      </c>
      <c r="H63" s="1087"/>
      <c r="I63" s="206"/>
      <c r="J63" s="1089"/>
      <c r="K63" s="1089"/>
    </row>
    <row r="64" spans="1:15" s="185" customFormat="1" ht="12" customHeight="1">
      <c r="A64" s="1076" t="s">
        <v>2270</v>
      </c>
      <c r="B64" s="1417" t="s">
        <v>2646</v>
      </c>
      <c r="C64" s="211" t="s">
        <v>651</v>
      </c>
      <c r="D64" s="1476">
        <v>134342</v>
      </c>
      <c r="E64" s="1476">
        <v>0</v>
      </c>
      <c r="F64" s="1476">
        <f>D64-E64</f>
        <v>134342</v>
      </c>
      <c r="G64" s="1476">
        <v>83568</v>
      </c>
      <c r="H64" s="1087"/>
      <c r="I64" s="1089"/>
      <c r="J64" s="1089"/>
      <c r="K64" s="1089"/>
    </row>
    <row r="65" spans="1:15" s="185" customFormat="1" ht="12" customHeight="1">
      <c r="A65" s="1076" t="s">
        <v>2271</v>
      </c>
      <c r="B65" s="1417" t="s">
        <v>2647</v>
      </c>
      <c r="C65" s="211" t="s">
        <v>654</v>
      </c>
      <c r="D65" s="1476">
        <v>0</v>
      </c>
      <c r="E65" s="1476">
        <v>0</v>
      </c>
      <c r="F65" s="1476">
        <v>0</v>
      </c>
      <c r="G65" s="1476">
        <v>0</v>
      </c>
      <c r="H65" s="1087"/>
      <c r="I65" s="1089"/>
      <c r="J65" s="1089"/>
      <c r="K65" s="1089"/>
    </row>
    <row r="66" spans="1:15" s="185" customFormat="1" ht="12" customHeight="1">
      <c r="A66" s="1076" t="s">
        <v>2272</v>
      </c>
      <c r="B66" s="1417" t="s">
        <v>2273</v>
      </c>
      <c r="C66" s="211" t="s">
        <v>656</v>
      </c>
      <c r="D66" s="1476">
        <f>D63-D64</f>
        <v>1261156</v>
      </c>
      <c r="E66" s="1476"/>
      <c r="F66" s="1476">
        <f>D66-E66</f>
        <v>1261156</v>
      </c>
      <c r="G66" s="1476">
        <v>942855</v>
      </c>
      <c r="H66" s="1087"/>
      <c r="I66" s="206"/>
      <c r="J66" s="1089"/>
      <c r="K66" s="1117"/>
      <c r="L66" s="1080"/>
      <c r="M66" s="1080"/>
      <c r="N66" s="1080"/>
      <c r="O66" s="1080"/>
    </row>
    <row r="67" spans="1:15" s="185" customFormat="1" ht="12" customHeight="1">
      <c r="A67" s="217" t="s">
        <v>532</v>
      </c>
      <c r="B67" s="945" t="s">
        <v>619</v>
      </c>
      <c r="C67" s="218" t="s">
        <v>658</v>
      </c>
      <c r="D67" s="1476">
        <v>0</v>
      </c>
      <c r="E67" s="1476">
        <v>0</v>
      </c>
      <c r="F67" s="1476">
        <v>0</v>
      </c>
      <c r="G67" s="1476">
        <v>0</v>
      </c>
      <c r="H67" s="1087"/>
      <c r="I67" s="1115"/>
      <c r="J67" s="1115"/>
      <c r="K67" s="1122"/>
      <c r="L67" s="1604"/>
      <c r="M67" s="1604"/>
      <c r="N67" s="1604"/>
      <c r="O67" s="1604"/>
    </row>
    <row r="68" spans="1:15" s="185" customFormat="1" ht="12" customHeight="1">
      <c r="A68" s="210" t="s">
        <v>535</v>
      </c>
      <c r="B68" s="1082" t="s">
        <v>2661</v>
      </c>
      <c r="C68" s="211" t="s">
        <v>660</v>
      </c>
      <c r="D68" s="1476">
        <v>0</v>
      </c>
      <c r="E68" s="1476">
        <v>0</v>
      </c>
      <c r="F68" s="1476">
        <v>0</v>
      </c>
      <c r="G68" s="1476">
        <v>0</v>
      </c>
      <c r="H68" s="1121"/>
      <c r="I68" s="1603"/>
      <c r="J68" s="1603"/>
      <c r="K68" s="1123"/>
      <c r="L68" s="1081"/>
      <c r="M68" s="1081"/>
      <c r="N68" s="1081"/>
      <c r="O68" s="1081"/>
    </row>
    <row r="69" spans="1:15" s="185" customFormat="1" ht="12" customHeight="1">
      <c r="A69" s="210" t="s">
        <v>538</v>
      </c>
      <c r="B69" s="1082" t="s">
        <v>2662</v>
      </c>
      <c r="C69" s="211" t="s">
        <v>662</v>
      </c>
      <c r="D69" s="1476">
        <v>0</v>
      </c>
      <c r="E69" s="1476">
        <v>0</v>
      </c>
      <c r="F69" s="1476">
        <v>0</v>
      </c>
      <c r="G69" s="1476">
        <v>0</v>
      </c>
      <c r="H69" s="1121"/>
      <c r="I69" s="1603"/>
      <c r="J69" s="1603"/>
      <c r="K69" s="1123"/>
      <c r="L69" s="1080"/>
      <c r="M69" s="1080"/>
      <c r="N69" s="1080"/>
      <c r="O69" s="1080"/>
    </row>
    <row r="70" spans="1:15" s="185" customFormat="1" ht="12" customHeight="1">
      <c r="A70" s="210" t="s">
        <v>541</v>
      </c>
      <c r="B70" s="944" t="s">
        <v>641</v>
      </c>
      <c r="C70" s="211" t="s">
        <v>665</v>
      </c>
      <c r="D70" s="1476">
        <v>0</v>
      </c>
      <c r="E70" s="1476">
        <v>0</v>
      </c>
      <c r="F70" s="1476">
        <v>0</v>
      </c>
      <c r="G70" s="1476">
        <v>0</v>
      </c>
      <c r="H70" s="1088"/>
      <c r="I70" s="1603"/>
      <c r="J70" s="1603"/>
      <c r="K70" s="1123"/>
      <c r="L70" s="1080"/>
      <c r="M70" s="1080"/>
      <c r="N70" s="1080"/>
      <c r="O70" s="1080"/>
    </row>
    <row r="71" spans="1:15" s="185" customFormat="1" ht="12" customHeight="1">
      <c r="A71" s="210" t="s">
        <v>544</v>
      </c>
      <c r="B71" s="943" t="s">
        <v>2278</v>
      </c>
      <c r="C71" s="211" t="s">
        <v>668</v>
      </c>
      <c r="D71" s="1476">
        <v>0</v>
      </c>
      <c r="E71" s="1476">
        <v>0</v>
      </c>
      <c r="F71" s="1476">
        <v>0</v>
      </c>
      <c r="G71" s="1476">
        <v>0</v>
      </c>
      <c r="H71" s="1087"/>
      <c r="I71" s="1603"/>
      <c r="J71" s="1603"/>
      <c r="K71" s="1124"/>
      <c r="L71" s="1086"/>
      <c r="M71" s="1086"/>
      <c r="N71" s="1086"/>
      <c r="O71" s="1086"/>
    </row>
    <row r="72" spans="1:15" s="185" customFormat="1" ht="12" customHeight="1">
      <c r="A72" s="210" t="s">
        <v>547</v>
      </c>
      <c r="B72" s="1082" t="s">
        <v>2279</v>
      </c>
      <c r="C72" s="211" t="s">
        <v>670</v>
      </c>
      <c r="D72" s="1476">
        <v>41600</v>
      </c>
      <c r="E72" s="1476">
        <v>0</v>
      </c>
      <c r="F72" s="1476">
        <f>D72-E72</f>
        <v>41600</v>
      </c>
      <c r="G72" s="1476">
        <v>34426</v>
      </c>
      <c r="H72" s="1089"/>
      <c r="I72" s="1603"/>
      <c r="J72" s="1603"/>
      <c r="K72" s="1089"/>
      <c r="L72" s="1090">
        <f>SUM(L69:L71)-D67</f>
        <v>0</v>
      </c>
      <c r="M72" s="1090">
        <f>SUM(M69:M71)-D79</f>
        <v>0</v>
      </c>
      <c r="N72" s="1090">
        <f>SUM(N69:N71)-G67</f>
        <v>0</v>
      </c>
      <c r="O72" s="1090"/>
    </row>
    <row r="73" spans="1:15" s="185" customFormat="1" ht="12" customHeight="1">
      <c r="A73" s="210" t="s">
        <v>568</v>
      </c>
      <c r="B73" s="1082" t="s">
        <v>2274</v>
      </c>
      <c r="C73" s="211" t="s">
        <v>672</v>
      </c>
      <c r="D73" s="1476">
        <v>0</v>
      </c>
      <c r="E73" s="1476">
        <v>0</v>
      </c>
      <c r="F73" s="1476">
        <v>0</v>
      </c>
      <c r="G73" s="1476">
        <v>0</v>
      </c>
      <c r="H73" s="1089"/>
      <c r="I73" s="1603"/>
      <c r="J73" s="1603"/>
      <c r="K73" s="1089"/>
    </row>
    <row r="74" spans="1:15" s="185" customFormat="1" ht="12" customHeight="1">
      <c r="A74" s="210" t="s">
        <v>571</v>
      </c>
      <c r="B74" s="1082" t="s">
        <v>2280</v>
      </c>
      <c r="C74" s="211" t="s">
        <v>674</v>
      </c>
      <c r="D74" s="1476">
        <v>13355</v>
      </c>
      <c r="E74" s="1476">
        <v>9730</v>
      </c>
      <c r="F74" s="1476">
        <f>D74-E74</f>
        <v>3625</v>
      </c>
      <c r="G74" s="1476">
        <v>11370</v>
      </c>
      <c r="H74" s="1091"/>
      <c r="I74" s="1603"/>
      <c r="J74" s="1603"/>
      <c r="K74" s="1089"/>
    </row>
    <row r="75" spans="1:15" s="207" customFormat="1" ht="12" customHeight="1">
      <c r="A75" s="1075" t="s">
        <v>649</v>
      </c>
      <c r="B75" s="942" t="s">
        <v>2281</v>
      </c>
      <c r="C75" s="205" t="s">
        <v>681</v>
      </c>
      <c r="D75" s="1475">
        <v>0</v>
      </c>
      <c r="E75" s="1475">
        <v>0</v>
      </c>
      <c r="F75" s="1475">
        <v>0</v>
      </c>
      <c r="G75" s="1475">
        <v>0</v>
      </c>
      <c r="H75" s="1087"/>
      <c r="I75" s="1602"/>
      <c r="J75" s="1602"/>
      <c r="K75" s="1118"/>
      <c r="L75" s="1080"/>
      <c r="M75" s="1080"/>
      <c r="N75" s="1080"/>
    </row>
    <row r="76" spans="1:15" s="207" customFormat="1" ht="12" customHeight="1">
      <c r="A76" s="1076" t="s">
        <v>652</v>
      </c>
      <c r="B76" s="1082" t="s">
        <v>2663</v>
      </c>
      <c r="C76" s="211" t="s">
        <v>683</v>
      </c>
      <c r="D76" s="1470">
        <v>0</v>
      </c>
      <c r="E76" s="1470">
        <v>0</v>
      </c>
      <c r="F76" s="1473">
        <v>0</v>
      </c>
      <c r="G76" s="1470">
        <v>0</v>
      </c>
      <c r="H76" s="1089"/>
      <c r="I76" s="1115"/>
      <c r="J76" s="1115"/>
      <c r="K76" s="1119"/>
      <c r="L76" s="1080"/>
      <c r="M76" s="1081"/>
      <c r="N76" s="1081"/>
    </row>
    <row r="77" spans="1:15" s="185" customFormat="1" ht="12" customHeight="1">
      <c r="A77" s="210" t="s">
        <v>532</v>
      </c>
      <c r="B77" s="1082" t="s">
        <v>2664</v>
      </c>
      <c r="C77" s="211" t="s">
        <v>685</v>
      </c>
      <c r="D77" s="1470">
        <v>0</v>
      </c>
      <c r="E77" s="1470"/>
      <c r="F77" s="1470">
        <v>0</v>
      </c>
      <c r="G77" s="1470">
        <v>0</v>
      </c>
      <c r="H77" s="1091"/>
      <c r="I77" s="1115"/>
      <c r="J77" s="1115"/>
      <c r="K77" s="1119"/>
      <c r="L77" s="1080"/>
      <c r="M77" s="1080"/>
      <c r="N77" s="1080"/>
    </row>
    <row r="78" spans="1:15" s="185" customFormat="1" ht="12" customHeight="1">
      <c r="A78" s="210" t="s">
        <v>535</v>
      </c>
      <c r="B78" s="1082" t="s">
        <v>2282</v>
      </c>
      <c r="C78" s="211" t="s">
        <v>687</v>
      </c>
      <c r="D78" s="1470">
        <v>0</v>
      </c>
      <c r="E78" s="1470">
        <v>0</v>
      </c>
      <c r="F78" s="1470"/>
      <c r="G78" s="1470">
        <v>0</v>
      </c>
      <c r="H78" s="1089"/>
      <c r="I78" s="1113"/>
      <c r="J78" s="1089"/>
      <c r="K78" s="1119"/>
      <c r="L78" s="1080"/>
      <c r="M78" s="1080"/>
      <c r="N78" s="1080"/>
    </row>
    <row r="79" spans="1:15" s="185" customFormat="1" ht="12" customHeight="1">
      <c r="A79" s="210" t="s">
        <v>538</v>
      </c>
      <c r="B79" s="1082" t="s">
        <v>2283</v>
      </c>
      <c r="C79" s="211" t="s">
        <v>689</v>
      </c>
      <c r="D79" s="1470">
        <v>0</v>
      </c>
      <c r="E79" s="1470">
        <v>0</v>
      </c>
      <c r="F79" s="1470">
        <v>0</v>
      </c>
      <c r="G79" s="1470">
        <v>0</v>
      </c>
      <c r="H79" s="1089"/>
      <c r="I79" s="1113"/>
      <c r="J79" s="1089"/>
      <c r="K79" s="1120"/>
      <c r="L79" s="1080"/>
      <c r="M79" s="1083"/>
      <c r="N79" s="1083"/>
    </row>
    <row r="80" spans="1:15" s="207" customFormat="1" ht="12" customHeight="1">
      <c r="A80" s="1075" t="s">
        <v>787</v>
      </c>
      <c r="B80" s="942" t="s">
        <v>2284</v>
      </c>
      <c r="C80" s="205" t="s">
        <v>691</v>
      </c>
      <c r="D80" s="1475">
        <f>SUM(D81:D82)</f>
        <v>299913</v>
      </c>
      <c r="E80" s="1475">
        <v>0</v>
      </c>
      <c r="F80" s="1475">
        <f>SUM(F81:F82)</f>
        <v>299913</v>
      </c>
      <c r="G80" s="1475">
        <f>SUM(G81:G82)</f>
        <v>768310</v>
      </c>
      <c r="H80" s="1087"/>
      <c r="I80" s="1602"/>
      <c r="J80" s="1602"/>
      <c r="K80" s="1091"/>
    </row>
    <row r="81" spans="1:12" s="207" customFormat="1" ht="12" customHeight="1">
      <c r="A81" s="1076" t="s">
        <v>790</v>
      </c>
      <c r="B81" s="1082" t="s">
        <v>653</v>
      </c>
      <c r="C81" s="211" t="s">
        <v>693</v>
      </c>
      <c r="D81" s="1470">
        <v>1088</v>
      </c>
      <c r="E81" s="1470">
        <v>0</v>
      </c>
      <c r="F81" s="1470">
        <v>1088</v>
      </c>
      <c r="G81" s="1470">
        <v>961</v>
      </c>
      <c r="H81" s="1089"/>
      <c r="I81" s="1115"/>
      <c r="J81" s="1115"/>
      <c r="K81" s="1091"/>
    </row>
    <row r="82" spans="1:12" s="185" customFormat="1" ht="12" customHeight="1">
      <c r="A82" s="210" t="s">
        <v>532</v>
      </c>
      <c r="B82" s="1082" t="s">
        <v>655</v>
      </c>
      <c r="C82" s="211" t="s">
        <v>695</v>
      </c>
      <c r="D82" s="1470">
        <v>298825</v>
      </c>
      <c r="E82" s="1470">
        <v>0</v>
      </c>
      <c r="F82" s="1470">
        <v>298825</v>
      </c>
      <c r="G82" s="1470">
        <v>767349</v>
      </c>
      <c r="H82" s="1091"/>
      <c r="I82" s="206"/>
      <c r="J82" s="1115"/>
      <c r="K82" s="1089"/>
    </row>
    <row r="83" spans="1:12" s="207" customFormat="1" ht="12" customHeight="1">
      <c r="A83" s="1075" t="s">
        <v>663</v>
      </c>
      <c r="B83" s="942" t="s">
        <v>2285</v>
      </c>
      <c r="C83" s="205" t="s">
        <v>697</v>
      </c>
      <c r="D83" s="1475">
        <f>SUM(D84:D87)</f>
        <v>6058</v>
      </c>
      <c r="E83" s="1475">
        <v>0</v>
      </c>
      <c r="F83" s="1475">
        <f>SUM(F84:F87)</f>
        <v>6058</v>
      </c>
      <c r="G83" s="1475">
        <f>SUM(G84:G87)</f>
        <v>4637</v>
      </c>
      <c r="H83" s="1087"/>
      <c r="I83" s="1602"/>
      <c r="J83" s="1602"/>
      <c r="K83" s="1602"/>
    </row>
    <row r="84" spans="1:12" s="185" customFormat="1" ht="12" customHeight="1">
      <c r="A84" s="1076" t="s">
        <v>666</v>
      </c>
      <c r="B84" s="943" t="s">
        <v>667</v>
      </c>
      <c r="C84" s="211" t="s">
        <v>699</v>
      </c>
      <c r="D84" s="1477">
        <v>0</v>
      </c>
      <c r="E84" s="1472">
        <v>0</v>
      </c>
      <c r="F84" s="1473">
        <v>0</v>
      </c>
      <c r="G84" s="1472"/>
      <c r="H84" s="1089"/>
      <c r="I84" s="1115"/>
      <c r="J84" s="1115"/>
      <c r="K84" s="1089"/>
    </row>
    <row r="85" spans="1:12" s="185" customFormat="1" ht="12" customHeight="1">
      <c r="A85" s="210" t="s">
        <v>532</v>
      </c>
      <c r="B85" s="944" t="s">
        <v>669</v>
      </c>
      <c r="C85" s="211" t="s">
        <v>701</v>
      </c>
      <c r="D85" s="1473">
        <v>6058</v>
      </c>
      <c r="E85" s="1473">
        <v>0</v>
      </c>
      <c r="F85" s="1476">
        <f>D85-E85</f>
        <v>6058</v>
      </c>
      <c r="G85" s="1473">
        <v>4637</v>
      </c>
      <c r="H85" s="1089"/>
      <c r="I85" s="1089"/>
      <c r="J85" s="1089"/>
      <c r="K85" s="1089"/>
      <c r="L85" s="1089"/>
    </row>
    <row r="86" spans="1:12" s="185" customFormat="1" ht="12" customHeight="1">
      <c r="A86" s="210" t="s">
        <v>535</v>
      </c>
      <c r="B86" s="943" t="s">
        <v>671</v>
      </c>
      <c r="C86" s="211" t="s">
        <v>703</v>
      </c>
      <c r="D86" s="1470">
        <v>0</v>
      </c>
      <c r="E86" s="1473">
        <v>0</v>
      </c>
      <c r="F86" s="1470">
        <v>0</v>
      </c>
      <c r="G86" s="1470">
        <v>0</v>
      </c>
      <c r="H86" s="1089"/>
      <c r="I86" s="1115"/>
      <c r="J86" s="1115"/>
      <c r="K86" s="1089"/>
    </row>
    <row r="87" spans="1:12" s="185" customFormat="1" ht="12" customHeight="1">
      <c r="A87" s="210" t="s">
        <v>538</v>
      </c>
      <c r="B87" s="943" t="s">
        <v>673</v>
      </c>
      <c r="C87" s="211" t="s">
        <v>705</v>
      </c>
      <c r="D87" s="1470">
        <v>0</v>
      </c>
      <c r="E87" s="1470">
        <v>0</v>
      </c>
      <c r="F87" s="1470">
        <v>0</v>
      </c>
      <c r="G87" s="1470">
        <v>0</v>
      </c>
      <c r="H87" s="1089"/>
      <c r="I87" s="1115"/>
      <c r="J87" s="1115"/>
      <c r="K87" s="1089"/>
    </row>
    <row r="88" spans="1:12" s="185" customFormat="1" ht="12" hidden="1" customHeight="1">
      <c r="A88" s="219"/>
      <c r="B88" s="947" t="s">
        <v>2286</v>
      </c>
      <c r="C88" s="220">
        <v>888</v>
      </c>
      <c r="D88" s="1092">
        <f>(SUM(D10:D87))</f>
        <v>24941820</v>
      </c>
      <c r="E88" s="1092">
        <f t="shared" ref="E88:G88" si="9">(SUM(E10:E87))</f>
        <v>4328908</v>
      </c>
      <c r="F88" s="1092">
        <f t="shared" si="9"/>
        <v>20612912</v>
      </c>
      <c r="G88" s="1092">
        <f t="shared" si="9"/>
        <v>19551142</v>
      </c>
      <c r="H88" s="1089"/>
      <c r="I88" s="1113"/>
      <c r="J88" s="1089"/>
      <c r="K88" s="1089"/>
    </row>
    <row r="89" spans="1:12" s="185" customFormat="1" ht="12" customHeight="1">
      <c r="A89" s="221"/>
      <c r="B89" s="230"/>
      <c r="D89" s="222"/>
      <c r="E89" s="222"/>
      <c r="F89" s="222"/>
      <c r="G89" s="222"/>
    </row>
    <row r="90" spans="1:12" s="185" customFormat="1" ht="12" customHeight="1">
      <c r="A90" s="221"/>
      <c r="B90" s="230"/>
      <c r="D90" s="222"/>
      <c r="E90" s="222"/>
      <c r="F90" s="222"/>
      <c r="G90" s="222"/>
    </row>
    <row r="91" spans="1:12" s="185" customFormat="1" ht="12" customHeight="1">
      <c r="A91" s="223" t="s">
        <v>508</v>
      </c>
      <c r="B91" s="948" t="s">
        <v>676</v>
      </c>
      <c r="C91" s="223" t="s">
        <v>510</v>
      </c>
      <c r="D91" s="224" t="s">
        <v>677</v>
      </c>
      <c r="E91" s="224" t="s">
        <v>678</v>
      </c>
      <c r="F91" s="225"/>
      <c r="G91" s="225"/>
    </row>
    <row r="92" spans="1:12" s="185" customFormat="1" ht="12" customHeight="1">
      <c r="A92" s="226" t="s">
        <v>513</v>
      </c>
      <c r="B92" s="949"/>
      <c r="C92" s="226" t="s">
        <v>514</v>
      </c>
      <c r="D92" s="227" t="s">
        <v>679</v>
      </c>
      <c r="E92" s="227" t="s">
        <v>679</v>
      </c>
      <c r="F92" s="225"/>
      <c r="G92" s="225"/>
    </row>
    <row r="93" spans="1:12" s="230" customFormat="1" ht="12" customHeight="1">
      <c r="A93" s="228" t="s">
        <v>518</v>
      </c>
      <c r="B93" s="950" t="s">
        <v>519</v>
      </c>
      <c r="C93" s="228" t="s">
        <v>520</v>
      </c>
      <c r="D93" s="229">
        <v>5</v>
      </c>
      <c r="E93" s="229">
        <v>6</v>
      </c>
      <c r="F93" s="225"/>
      <c r="G93" s="225"/>
    </row>
    <row r="94" spans="1:12" s="207" customFormat="1" ht="12" customHeight="1">
      <c r="A94" s="231"/>
      <c r="B94" s="951" t="s">
        <v>2287</v>
      </c>
      <c r="C94" s="232" t="s">
        <v>707</v>
      </c>
      <c r="D94" s="877">
        <f>D95+D116+D156</f>
        <v>4805868</v>
      </c>
      <c r="E94" s="877">
        <f>E95+E116+E156</f>
        <v>4632339</v>
      </c>
      <c r="F94" s="233"/>
      <c r="G94" s="233">
        <f>D94-F10</f>
        <v>0</v>
      </c>
      <c r="H94" s="206"/>
    </row>
    <row r="95" spans="1:12" s="207" customFormat="1" ht="12" customHeight="1">
      <c r="A95" s="231" t="s">
        <v>523</v>
      </c>
      <c r="B95" s="951" t="s">
        <v>2288</v>
      </c>
      <c r="C95" s="232" t="s">
        <v>709</v>
      </c>
      <c r="D95" s="877">
        <f>SUM(D96,D100,D101,D102,D105,D108,D112,D115)</f>
        <v>3192339</v>
      </c>
      <c r="E95" s="877">
        <f>SUM(E96,E100,E101,E102,E105,E108,E112,E115)</f>
        <v>3147399</v>
      </c>
      <c r="F95" s="1087"/>
      <c r="G95" s="233"/>
      <c r="H95" s="233"/>
      <c r="I95" s="1091"/>
      <c r="J95" s="1091"/>
    </row>
    <row r="96" spans="1:12" s="207" customFormat="1" ht="12" customHeight="1">
      <c r="A96" s="231" t="s">
        <v>526</v>
      </c>
      <c r="B96" s="951" t="s">
        <v>2289</v>
      </c>
      <c r="C96" s="232" t="s">
        <v>711</v>
      </c>
      <c r="D96" s="1482">
        <v>2506390</v>
      </c>
      <c r="E96" s="1482">
        <v>2506390</v>
      </c>
      <c r="F96" s="1089"/>
      <c r="G96" s="233"/>
      <c r="H96" s="233"/>
      <c r="I96" s="1091"/>
      <c r="J96" s="1091"/>
    </row>
    <row r="97" spans="1:10" s="185" customFormat="1" ht="12" customHeight="1">
      <c r="A97" s="234" t="s">
        <v>529</v>
      </c>
      <c r="B97" s="952" t="s">
        <v>686</v>
      </c>
      <c r="C97" s="235" t="s">
        <v>713</v>
      </c>
      <c r="D97" s="1479">
        <v>2506390</v>
      </c>
      <c r="E97" s="1479">
        <v>2506390</v>
      </c>
      <c r="F97" s="1089"/>
      <c r="G97" s="233"/>
      <c r="H97" s="233"/>
      <c r="I97" s="1089"/>
      <c r="J97" s="1089"/>
    </row>
    <row r="98" spans="1:10" s="185" customFormat="1" ht="12" customHeight="1">
      <c r="A98" s="234" t="s">
        <v>532</v>
      </c>
      <c r="B98" s="952" t="s">
        <v>690</v>
      </c>
      <c r="C98" s="235" t="s">
        <v>715</v>
      </c>
      <c r="D98" s="1479">
        <v>0</v>
      </c>
      <c r="E98" s="1479">
        <v>0</v>
      </c>
      <c r="F98" s="1093"/>
      <c r="G98" s="1093"/>
      <c r="H98" s="1113"/>
      <c r="I98" s="1089"/>
      <c r="J98" s="1089"/>
    </row>
    <row r="99" spans="1:10" s="185" customFormat="1" ht="12" customHeight="1">
      <c r="A99" s="210" t="s">
        <v>535</v>
      </c>
      <c r="B99" s="943" t="s">
        <v>692</v>
      </c>
      <c r="C99" s="211" t="s">
        <v>718</v>
      </c>
      <c r="D99" s="1478">
        <v>0</v>
      </c>
      <c r="E99" s="1479">
        <v>0</v>
      </c>
      <c r="F99" s="1093"/>
      <c r="G99" s="1093"/>
      <c r="H99" s="1088"/>
      <c r="I99" s="1113"/>
      <c r="J99" s="1089"/>
    </row>
    <row r="100" spans="1:10" s="207" customFormat="1" ht="12" customHeight="1">
      <c r="A100" s="231" t="s">
        <v>550</v>
      </c>
      <c r="B100" s="1094" t="s">
        <v>696</v>
      </c>
      <c r="C100" s="232" t="s">
        <v>721</v>
      </c>
      <c r="D100" s="1482">
        <v>0</v>
      </c>
      <c r="E100" s="1482">
        <v>0</v>
      </c>
      <c r="F100" s="1095"/>
      <c r="G100" s="1095"/>
      <c r="H100" s="1113"/>
      <c r="I100" s="1091"/>
      <c r="J100" s="1091"/>
    </row>
    <row r="101" spans="1:10" s="185" customFormat="1" ht="12" customHeight="1">
      <c r="A101" s="231" t="s">
        <v>574</v>
      </c>
      <c r="B101" s="1094" t="s">
        <v>698</v>
      </c>
      <c r="C101" s="232" t="s">
        <v>723</v>
      </c>
      <c r="D101" s="1482">
        <v>0</v>
      </c>
      <c r="E101" s="1482">
        <v>0</v>
      </c>
      <c r="F101" s="1093"/>
      <c r="G101" s="1093"/>
      <c r="H101" s="1113"/>
      <c r="I101" s="1089"/>
      <c r="J101" s="1089"/>
    </row>
    <row r="102" spans="1:10" s="185" customFormat="1" ht="12" customHeight="1">
      <c r="A102" s="231" t="s">
        <v>716</v>
      </c>
      <c r="B102" s="1094" t="s">
        <v>2290</v>
      </c>
      <c r="C102" s="232" t="s">
        <v>726</v>
      </c>
      <c r="D102" s="877">
        <f>SUM(D103:D104)</f>
        <v>107571</v>
      </c>
      <c r="E102" s="877">
        <f>SUM(E103:E104)</f>
        <v>87866</v>
      </c>
      <c r="F102" s="1093"/>
      <c r="G102" s="233"/>
      <c r="H102" s="1113"/>
      <c r="I102" s="1089"/>
      <c r="J102" s="1089"/>
    </row>
    <row r="103" spans="1:10" s="185" customFormat="1" ht="12" customHeight="1">
      <c r="A103" s="234" t="s">
        <v>719</v>
      </c>
      <c r="B103" s="1096" t="s">
        <v>2291</v>
      </c>
      <c r="C103" s="235" t="s">
        <v>728</v>
      </c>
      <c r="D103" s="1479">
        <v>107571</v>
      </c>
      <c r="E103" s="1479">
        <v>87866</v>
      </c>
      <c r="F103" s="1097"/>
      <c r="G103" s="233"/>
      <c r="H103" s="1113"/>
      <c r="I103" s="1089"/>
      <c r="J103" s="1089"/>
    </row>
    <row r="104" spans="1:10" s="185" customFormat="1" ht="12" customHeight="1">
      <c r="A104" s="234" t="s">
        <v>532</v>
      </c>
      <c r="B104" s="1096" t="s">
        <v>2292</v>
      </c>
      <c r="C104" s="235" t="s">
        <v>730</v>
      </c>
      <c r="D104" s="1479"/>
      <c r="E104" s="1479"/>
      <c r="F104" s="1097"/>
      <c r="G104" s="1093"/>
      <c r="H104" s="1113"/>
      <c r="I104" s="1089"/>
      <c r="J104" s="1089"/>
    </row>
    <row r="105" spans="1:10" s="207" customFormat="1" ht="12" customHeight="1">
      <c r="A105" s="231" t="s">
        <v>724</v>
      </c>
      <c r="B105" s="951" t="s">
        <v>2293</v>
      </c>
      <c r="C105" s="232" t="s">
        <v>732</v>
      </c>
      <c r="D105" s="1482">
        <v>0</v>
      </c>
      <c r="E105" s="1482">
        <v>0</v>
      </c>
      <c r="F105" s="1095"/>
      <c r="G105" s="1095"/>
      <c r="H105" s="1113"/>
      <c r="I105" s="1091"/>
      <c r="J105" s="1091"/>
    </row>
    <row r="106" spans="1:10" s="185" customFormat="1" ht="12" customHeight="1">
      <c r="A106" s="234" t="s">
        <v>2294</v>
      </c>
      <c r="B106" s="952" t="s">
        <v>2295</v>
      </c>
      <c r="C106" s="235" t="s">
        <v>734</v>
      </c>
      <c r="D106" s="1479">
        <v>0</v>
      </c>
      <c r="E106" s="1479">
        <v>0</v>
      </c>
      <c r="F106" s="1093"/>
      <c r="G106" s="1093"/>
      <c r="H106" s="1113"/>
      <c r="I106" s="1089"/>
      <c r="J106" s="1089"/>
    </row>
    <row r="107" spans="1:10" s="185" customFormat="1" ht="12" customHeight="1">
      <c r="A107" s="234" t="s">
        <v>532</v>
      </c>
      <c r="B107" s="952" t="s">
        <v>2296</v>
      </c>
      <c r="C107" s="235" t="s">
        <v>736</v>
      </c>
      <c r="D107" s="1479">
        <v>0</v>
      </c>
      <c r="E107" s="1479">
        <v>0</v>
      </c>
      <c r="F107" s="1093"/>
      <c r="G107" s="1093"/>
      <c r="H107" s="1113"/>
      <c r="I107" s="1089"/>
      <c r="J107" s="1089"/>
    </row>
    <row r="108" spans="1:10" s="185" customFormat="1" ht="12" customHeight="1">
      <c r="A108" s="231" t="s">
        <v>2297</v>
      </c>
      <c r="B108" s="1094" t="s">
        <v>2298</v>
      </c>
      <c r="C108" s="232" t="s">
        <v>738</v>
      </c>
      <c r="D108" s="1482">
        <v>0</v>
      </c>
      <c r="E108" s="1482">
        <v>0</v>
      </c>
      <c r="F108" s="1093"/>
      <c r="G108" s="1093"/>
      <c r="H108" s="1113"/>
      <c r="I108" s="1089"/>
      <c r="J108" s="1089"/>
    </row>
    <row r="109" spans="1:10" s="185" customFormat="1" ht="12" customHeight="1">
      <c r="A109" s="234" t="s">
        <v>2299</v>
      </c>
      <c r="B109" s="1096" t="s">
        <v>2300</v>
      </c>
      <c r="C109" s="235" t="s">
        <v>740</v>
      </c>
      <c r="D109" s="1479">
        <v>0</v>
      </c>
      <c r="E109" s="1479">
        <v>0</v>
      </c>
      <c r="F109" s="1093"/>
      <c r="G109" s="1093"/>
      <c r="H109" s="1113"/>
      <c r="I109" s="1089"/>
      <c r="J109" s="1089"/>
    </row>
    <row r="110" spans="1:10" s="185" customFormat="1" ht="12" customHeight="1">
      <c r="A110" s="234" t="s">
        <v>532</v>
      </c>
      <c r="B110" s="1096" t="s">
        <v>704</v>
      </c>
      <c r="C110" s="235" t="s">
        <v>742</v>
      </c>
      <c r="D110" s="1479">
        <v>0</v>
      </c>
      <c r="E110" s="1479">
        <v>0</v>
      </c>
      <c r="F110" s="1093"/>
      <c r="G110" s="1093"/>
      <c r="H110" s="1113"/>
      <c r="I110" s="1089"/>
      <c r="J110" s="1089"/>
    </row>
    <row r="111" spans="1:10" s="185" customFormat="1" ht="12" customHeight="1">
      <c r="A111" s="234" t="s">
        <v>535</v>
      </c>
      <c r="B111" s="1096" t="s">
        <v>706</v>
      </c>
      <c r="C111" s="235" t="s">
        <v>743</v>
      </c>
      <c r="D111" s="1479">
        <v>0</v>
      </c>
      <c r="E111" s="1479">
        <v>0</v>
      </c>
      <c r="F111" s="1093"/>
      <c r="G111" s="1093"/>
      <c r="H111" s="1113"/>
      <c r="I111" s="1089"/>
      <c r="J111" s="1089"/>
    </row>
    <row r="112" spans="1:10" s="207" customFormat="1" ht="12" customHeight="1">
      <c r="A112" s="231" t="s">
        <v>2301</v>
      </c>
      <c r="B112" s="951" t="s">
        <v>2302</v>
      </c>
      <c r="C112" s="232" t="s">
        <v>745</v>
      </c>
      <c r="D112" s="1482">
        <f>D113+D114</f>
        <v>418803</v>
      </c>
      <c r="E112" s="1482">
        <v>279707</v>
      </c>
      <c r="F112" s="1095"/>
      <c r="G112" s="233"/>
      <c r="H112" s="1113"/>
      <c r="I112" s="1091"/>
      <c r="J112" s="1091"/>
    </row>
    <row r="113" spans="1:15" s="185" customFormat="1" ht="12" customHeight="1">
      <c r="A113" s="234" t="s">
        <v>2303</v>
      </c>
      <c r="B113" s="952" t="s">
        <v>720</v>
      </c>
      <c r="C113" s="235" t="s">
        <v>747</v>
      </c>
      <c r="D113" s="1479">
        <v>418803</v>
      </c>
      <c r="E113" s="1479">
        <v>279707</v>
      </c>
      <c r="F113" s="1093"/>
      <c r="G113" s="233"/>
      <c r="H113" s="1113"/>
      <c r="I113" s="1089"/>
      <c r="J113" s="1089"/>
    </row>
    <row r="114" spans="1:15" s="185" customFormat="1" ht="12" customHeight="1">
      <c r="A114" s="234" t="s">
        <v>532</v>
      </c>
      <c r="B114" s="952" t="s">
        <v>722</v>
      </c>
      <c r="C114" s="235" t="s">
        <v>749</v>
      </c>
      <c r="D114" s="1479">
        <v>0</v>
      </c>
      <c r="E114" s="1479"/>
      <c r="F114" s="1098"/>
      <c r="G114" s="233"/>
      <c r="H114" s="1113"/>
      <c r="I114" s="1089"/>
      <c r="J114" s="1089"/>
    </row>
    <row r="115" spans="1:15" s="238" customFormat="1">
      <c r="A115" s="236" t="s">
        <v>2304</v>
      </c>
      <c r="B115" s="953" t="s">
        <v>2305</v>
      </c>
      <c r="C115" s="237" t="s">
        <v>751</v>
      </c>
      <c r="D115" s="1480">
        <v>159575</v>
      </c>
      <c r="E115" s="1480">
        <v>273436</v>
      </c>
      <c r="F115" s="1113"/>
      <c r="G115" s="233"/>
      <c r="H115" s="1091"/>
      <c r="I115" s="1125"/>
      <c r="J115" s="1091"/>
    </row>
    <row r="116" spans="1:15" s="207" customFormat="1" ht="12" customHeight="1">
      <c r="A116" s="231" t="s">
        <v>594</v>
      </c>
      <c r="B116" s="951" t="s">
        <v>2306</v>
      </c>
      <c r="C116" s="232" t="s">
        <v>753</v>
      </c>
      <c r="D116" s="1482">
        <f>D117+D137+D151+D154</f>
        <v>1613529</v>
      </c>
      <c r="E116" s="1482">
        <v>1484940</v>
      </c>
      <c r="F116" s="1095"/>
      <c r="G116" s="233"/>
      <c r="H116" s="1113"/>
      <c r="I116" s="1091"/>
      <c r="J116" s="1091"/>
    </row>
    <row r="117" spans="1:15" s="207" customFormat="1" ht="12" customHeight="1">
      <c r="A117" s="231" t="s">
        <v>597</v>
      </c>
      <c r="B117" s="951" t="s">
        <v>2307</v>
      </c>
      <c r="C117" s="232" t="s">
        <v>755</v>
      </c>
      <c r="D117" s="1482">
        <f>D118+SUM(D122:D132)</f>
        <v>314230</v>
      </c>
      <c r="E117" s="1482">
        <v>391400</v>
      </c>
      <c r="F117" s="1087"/>
      <c r="G117" s="1602"/>
      <c r="H117" s="1602"/>
      <c r="I117" s="1602"/>
      <c r="J117" s="1091"/>
    </row>
    <row r="118" spans="1:15" s="207" customFormat="1" ht="12" customHeight="1">
      <c r="A118" s="234" t="s">
        <v>600</v>
      </c>
      <c r="B118" s="1096" t="s">
        <v>2308</v>
      </c>
      <c r="C118" s="235" t="s">
        <v>757</v>
      </c>
      <c r="D118" s="1479">
        <v>0</v>
      </c>
      <c r="E118" s="1479">
        <v>0</v>
      </c>
      <c r="F118" s="1091"/>
      <c r="G118" s="1091"/>
      <c r="H118" s="1091"/>
      <c r="I118" s="1091"/>
      <c r="J118" s="1091"/>
    </row>
    <row r="119" spans="1:15" s="207" customFormat="1" ht="12" customHeight="1">
      <c r="A119" s="240" t="s">
        <v>2270</v>
      </c>
      <c r="B119" s="1096" t="s">
        <v>2665</v>
      </c>
      <c r="C119" s="241" t="s">
        <v>760</v>
      </c>
      <c r="D119" s="1481">
        <v>0</v>
      </c>
      <c r="E119" s="1483">
        <v>0</v>
      </c>
      <c r="F119" s="1087"/>
      <c r="G119" s="1126"/>
      <c r="H119" s="1091"/>
      <c r="I119" s="1091"/>
      <c r="J119" s="1091"/>
      <c r="K119" s="1085"/>
      <c r="L119" s="1099"/>
      <c r="M119" s="1099"/>
      <c r="N119" s="1099"/>
      <c r="O119" s="1099"/>
    </row>
    <row r="120" spans="1:15" s="207" customFormat="1" ht="12" customHeight="1">
      <c r="A120" s="240" t="s">
        <v>2271</v>
      </c>
      <c r="B120" s="1096" t="s">
        <v>2666</v>
      </c>
      <c r="C120" s="241" t="s">
        <v>763</v>
      </c>
      <c r="D120" s="1481">
        <v>0</v>
      </c>
      <c r="E120" s="1483">
        <v>0</v>
      </c>
      <c r="F120" s="1087"/>
      <c r="G120" s="1126"/>
      <c r="H120" s="1091"/>
      <c r="I120" s="1091"/>
      <c r="J120" s="1091"/>
      <c r="K120" s="1081"/>
      <c r="L120" s="1081"/>
      <c r="M120" s="1081"/>
      <c r="N120" s="1081"/>
      <c r="O120" s="1081"/>
    </row>
    <row r="121" spans="1:15" s="207" customFormat="1" ht="12" customHeight="1">
      <c r="A121" s="240" t="s">
        <v>2272</v>
      </c>
      <c r="B121" s="1096" t="s">
        <v>2309</v>
      </c>
      <c r="C121" s="241" t="s">
        <v>765</v>
      </c>
      <c r="D121" s="1481">
        <v>0</v>
      </c>
      <c r="E121" s="1483">
        <v>0</v>
      </c>
      <c r="F121" s="1087"/>
      <c r="G121" s="1126"/>
      <c r="H121" s="1091"/>
      <c r="I121" s="1091"/>
      <c r="J121" s="1091"/>
      <c r="K121" s="1081"/>
      <c r="L121" s="1080"/>
      <c r="M121" s="1080"/>
      <c r="N121" s="1080"/>
      <c r="O121" s="1080"/>
    </row>
    <row r="122" spans="1:15" s="185" customFormat="1" ht="12" customHeight="1">
      <c r="A122" s="240" t="s">
        <v>532</v>
      </c>
      <c r="B122" s="954" t="s">
        <v>619</v>
      </c>
      <c r="C122" s="241" t="s">
        <v>767</v>
      </c>
      <c r="D122" s="1481">
        <v>0</v>
      </c>
      <c r="E122" s="1483">
        <v>0</v>
      </c>
      <c r="F122" s="1093"/>
      <c r="G122" s="1115"/>
      <c r="H122" s="1089"/>
      <c r="I122" s="1089"/>
      <c r="J122" s="1089"/>
      <c r="K122" s="1081"/>
      <c r="L122" s="1080"/>
      <c r="M122" s="1080"/>
      <c r="N122" s="1080"/>
      <c r="O122" s="1080"/>
    </row>
    <row r="123" spans="1:15" s="185" customFormat="1" ht="12" customHeight="1">
      <c r="A123" s="240" t="s">
        <v>535</v>
      </c>
      <c r="B123" s="1096" t="s">
        <v>2667</v>
      </c>
      <c r="C123" s="241" t="s">
        <v>768</v>
      </c>
      <c r="D123" s="1481">
        <v>279</v>
      </c>
      <c r="E123" s="1483">
        <v>279</v>
      </c>
      <c r="F123" s="1093"/>
      <c r="G123" s="233"/>
      <c r="H123" s="1089"/>
      <c r="I123" s="1089"/>
      <c r="J123" s="1089"/>
      <c r="K123" s="1081"/>
      <c r="L123" s="1080"/>
      <c r="M123" s="1080"/>
      <c r="N123" s="1080"/>
      <c r="O123" s="1080"/>
    </row>
    <row r="124" spans="1:15" s="185" customFormat="1" ht="12" customHeight="1">
      <c r="A124" s="240" t="s">
        <v>538</v>
      </c>
      <c r="B124" s="1096" t="s">
        <v>2668</v>
      </c>
      <c r="C124" s="241" t="s">
        <v>770</v>
      </c>
      <c r="D124" s="1481">
        <v>0</v>
      </c>
      <c r="E124" s="1483">
        <v>0</v>
      </c>
      <c r="F124" s="1093"/>
      <c r="G124" s="1093"/>
      <c r="H124" s="1089"/>
      <c r="I124" s="1089"/>
      <c r="J124" s="1089"/>
      <c r="K124" s="1083"/>
      <c r="L124" s="1086"/>
      <c r="M124" s="1086"/>
      <c r="N124" s="1086"/>
      <c r="O124" s="1086"/>
    </row>
    <row r="125" spans="1:15" s="185" customFormat="1" ht="12" customHeight="1">
      <c r="A125" s="240" t="s">
        <v>541</v>
      </c>
      <c r="B125" s="1096" t="s">
        <v>2310</v>
      </c>
      <c r="C125" s="241" t="s">
        <v>772</v>
      </c>
      <c r="D125" s="1481">
        <v>0</v>
      </c>
      <c r="E125" s="1483">
        <v>0</v>
      </c>
      <c r="F125" s="1093"/>
      <c r="G125" s="1093"/>
      <c r="H125" s="1113"/>
      <c r="I125" s="1089"/>
      <c r="J125" s="1089"/>
      <c r="K125" s="1080"/>
      <c r="L125" s="1080"/>
      <c r="M125" s="1080"/>
      <c r="N125" s="1080"/>
      <c r="O125" s="1080"/>
    </row>
    <row r="126" spans="1:15" s="185" customFormat="1" ht="12" customHeight="1">
      <c r="A126" s="240" t="s">
        <v>544</v>
      </c>
      <c r="B126" s="954" t="s">
        <v>750</v>
      </c>
      <c r="C126" s="241" t="s">
        <v>774</v>
      </c>
      <c r="D126" s="1481">
        <v>0</v>
      </c>
      <c r="E126" s="1483">
        <v>0</v>
      </c>
      <c r="F126" s="1093"/>
      <c r="G126" s="1093"/>
      <c r="H126" s="1113"/>
      <c r="I126" s="1089"/>
      <c r="J126" s="1089"/>
      <c r="K126" s="1080"/>
      <c r="L126" s="1080"/>
      <c r="M126" s="1080"/>
      <c r="N126" s="1080"/>
      <c r="O126" s="1080"/>
    </row>
    <row r="127" spans="1:15" s="185" customFormat="1" ht="12" customHeight="1">
      <c r="A127" s="240" t="s">
        <v>547</v>
      </c>
      <c r="B127" s="954" t="s">
        <v>752</v>
      </c>
      <c r="C127" s="241" t="s">
        <v>776</v>
      </c>
      <c r="D127" s="1483">
        <v>0</v>
      </c>
      <c r="E127" s="1483">
        <v>0</v>
      </c>
      <c r="F127" s="1093"/>
      <c r="G127" s="1093"/>
      <c r="H127" s="1113"/>
      <c r="I127" s="1089"/>
      <c r="J127" s="1089"/>
      <c r="K127" s="1085"/>
      <c r="L127" s="1604"/>
      <c r="M127" s="1604"/>
      <c r="N127" s="1604"/>
      <c r="O127" s="1604"/>
    </row>
    <row r="128" spans="1:15" s="185" customFormat="1" ht="12" customHeight="1">
      <c r="A128" s="240" t="s">
        <v>568</v>
      </c>
      <c r="B128" s="954" t="s">
        <v>754</v>
      </c>
      <c r="C128" s="241" t="s">
        <v>778</v>
      </c>
      <c r="D128" s="1483">
        <v>0</v>
      </c>
      <c r="E128" s="1483">
        <v>0</v>
      </c>
      <c r="F128" s="1093"/>
      <c r="G128" s="1093"/>
      <c r="H128" s="1113"/>
      <c r="I128" s="1089"/>
      <c r="J128" s="1089"/>
      <c r="K128" s="1081"/>
      <c r="L128" s="1081"/>
      <c r="M128" s="1081"/>
      <c r="N128" s="1081"/>
      <c r="O128" s="1081"/>
    </row>
    <row r="129" spans="1:15" s="185" customFormat="1" ht="12" customHeight="1">
      <c r="A129" s="240" t="s">
        <v>571</v>
      </c>
      <c r="B129" s="954" t="s">
        <v>756</v>
      </c>
      <c r="C129" s="241" t="s">
        <v>780</v>
      </c>
      <c r="D129" s="1483">
        <v>12927</v>
      </c>
      <c r="E129" s="1483">
        <v>18257</v>
      </c>
      <c r="F129" s="1093"/>
      <c r="G129" s="233"/>
      <c r="H129" s="1113"/>
      <c r="I129" s="1089"/>
      <c r="J129" s="1089"/>
      <c r="K129" s="1081"/>
      <c r="L129" s="1080"/>
      <c r="M129" s="1080"/>
      <c r="N129" s="1080"/>
      <c r="O129" s="1080"/>
    </row>
    <row r="130" spans="1:15" s="185" customFormat="1" ht="12" customHeight="1">
      <c r="A130" s="240" t="s">
        <v>758</v>
      </c>
      <c r="B130" s="1096" t="s">
        <v>2311</v>
      </c>
      <c r="C130" s="241" t="s">
        <v>782</v>
      </c>
      <c r="D130" s="1483">
        <v>0</v>
      </c>
      <c r="E130" s="1483">
        <v>0</v>
      </c>
      <c r="F130" s="1093"/>
      <c r="G130" s="1093"/>
      <c r="H130" s="1113"/>
      <c r="I130" s="1089"/>
      <c r="J130" s="1089"/>
      <c r="K130" s="1081"/>
      <c r="L130" s="1080"/>
      <c r="M130" s="1080"/>
      <c r="N130" s="1080"/>
      <c r="O130" s="1080"/>
    </row>
    <row r="131" spans="1:15" s="185" customFormat="1" ht="12" customHeight="1">
      <c r="A131" s="240" t="s">
        <v>761</v>
      </c>
      <c r="B131" s="1096" t="s">
        <v>2312</v>
      </c>
      <c r="C131" s="241" t="s">
        <v>784</v>
      </c>
      <c r="D131" s="1483">
        <v>0</v>
      </c>
      <c r="E131" s="1483">
        <v>0</v>
      </c>
      <c r="F131" s="1093"/>
      <c r="G131" s="1093"/>
      <c r="H131" s="1113"/>
      <c r="I131" s="1089"/>
      <c r="J131" s="1089"/>
      <c r="K131" s="1083"/>
      <c r="L131" s="1086"/>
      <c r="M131" s="1086"/>
      <c r="N131" s="1086"/>
      <c r="O131" s="1086"/>
    </row>
    <row r="132" spans="1:15" s="185" customFormat="1" ht="12" customHeight="1">
      <c r="A132" s="240" t="s">
        <v>2313</v>
      </c>
      <c r="B132" s="955" t="s">
        <v>762</v>
      </c>
      <c r="C132" s="241" t="s">
        <v>786</v>
      </c>
      <c r="D132" s="1483">
        <v>301024</v>
      </c>
      <c r="E132" s="1483">
        <v>372864</v>
      </c>
      <c r="F132" s="1093"/>
      <c r="G132" s="1093"/>
      <c r="H132" s="1113"/>
      <c r="I132" s="1089"/>
      <c r="J132" s="1089"/>
    </row>
    <row r="133" spans="1:15" s="207" customFormat="1" ht="12" customHeight="1">
      <c r="A133" s="231" t="s">
        <v>613</v>
      </c>
      <c r="B133" s="951" t="s">
        <v>2314</v>
      </c>
      <c r="C133" s="232" t="s">
        <v>789</v>
      </c>
      <c r="D133" s="1482">
        <v>0</v>
      </c>
      <c r="E133" s="1482">
        <v>0</v>
      </c>
      <c r="F133" s="1087"/>
      <c r="G133" s="1602"/>
      <c r="H133" s="1602"/>
      <c r="I133" s="1091"/>
      <c r="J133" s="1091"/>
    </row>
    <row r="134" spans="1:15" s="185" customFormat="1" ht="12" customHeight="1">
      <c r="A134" s="234" t="s">
        <v>616</v>
      </c>
      <c r="B134" s="1096" t="s">
        <v>731</v>
      </c>
      <c r="C134" s="235" t="s">
        <v>792</v>
      </c>
      <c r="D134" s="1479">
        <v>0</v>
      </c>
      <c r="E134" s="1479">
        <v>0</v>
      </c>
      <c r="F134" s="1089"/>
      <c r="G134" s="1115"/>
      <c r="H134" s="1115"/>
      <c r="I134" s="1089"/>
      <c r="J134" s="1089"/>
    </row>
    <row r="135" spans="1:15" s="185" customFormat="1" ht="12" customHeight="1">
      <c r="A135" s="234" t="s">
        <v>532</v>
      </c>
      <c r="B135" s="1096" t="s">
        <v>735</v>
      </c>
      <c r="C135" s="235" t="s">
        <v>794</v>
      </c>
      <c r="D135" s="1479">
        <v>0</v>
      </c>
      <c r="E135" s="1479">
        <v>0</v>
      </c>
      <c r="F135" s="1089"/>
      <c r="G135" s="1115"/>
      <c r="H135" s="1115"/>
      <c r="I135" s="1089"/>
      <c r="J135" s="1089"/>
    </row>
    <row r="136" spans="1:15" s="185" customFormat="1" ht="12" customHeight="1">
      <c r="A136" s="231" t="s">
        <v>631</v>
      </c>
      <c r="B136" s="951" t="s">
        <v>791</v>
      </c>
      <c r="C136" s="232" t="s">
        <v>796</v>
      </c>
      <c r="D136" s="1482">
        <v>0</v>
      </c>
      <c r="E136" s="1482">
        <v>0</v>
      </c>
      <c r="F136" s="1087"/>
      <c r="G136" s="1602"/>
      <c r="H136" s="1602"/>
      <c r="I136" s="1602"/>
      <c r="J136" s="1602"/>
    </row>
    <row r="137" spans="1:15" s="207" customFormat="1" ht="12" customHeight="1">
      <c r="A137" s="231" t="s">
        <v>649</v>
      </c>
      <c r="B137" s="951" t="s">
        <v>2315</v>
      </c>
      <c r="C137" s="232" t="s">
        <v>798</v>
      </c>
      <c r="D137" s="877">
        <f>SUM(D138,D142:D150)</f>
        <v>1181891</v>
      </c>
      <c r="E137" s="877">
        <f>SUM(E138,E142:E150)</f>
        <v>988127</v>
      </c>
      <c r="F137" s="1087"/>
      <c r="G137" s="233"/>
      <c r="H137" s="233"/>
      <c r="I137" s="233"/>
      <c r="J137" s="1091"/>
    </row>
    <row r="138" spans="1:15" s="207" customFormat="1" ht="12" customHeight="1">
      <c r="A138" s="240" t="s">
        <v>652</v>
      </c>
      <c r="B138" s="1082" t="s">
        <v>2316</v>
      </c>
      <c r="C138" s="241" t="s">
        <v>800</v>
      </c>
      <c r="D138" s="1483">
        <v>1079736</v>
      </c>
      <c r="E138" s="1483">
        <v>767767</v>
      </c>
      <c r="F138" s="1087"/>
      <c r="G138" s="233"/>
      <c r="H138" s="233"/>
      <c r="I138" s="233"/>
      <c r="J138" s="1091"/>
    </row>
    <row r="139" spans="1:15" s="207" customFormat="1" ht="12" customHeight="1">
      <c r="A139" s="234" t="s">
        <v>2270</v>
      </c>
      <c r="B139" s="1096" t="s">
        <v>2669</v>
      </c>
      <c r="C139" s="235" t="s">
        <v>802</v>
      </c>
      <c r="D139" s="1481">
        <v>19992</v>
      </c>
      <c r="E139" s="1481">
        <v>4427</v>
      </c>
      <c r="F139" s="1087"/>
      <c r="G139" s="1126"/>
      <c r="H139" s="1126"/>
      <c r="I139" s="1126"/>
      <c r="J139" s="1091"/>
    </row>
    <row r="140" spans="1:15" s="207" customFormat="1" ht="12" customHeight="1">
      <c r="A140" s="234" t="s">
        <v>2271</v>
      </c>
      <c r="B140" s="1096" t="s">
        <v>2670</v>
      </c>
      <c r="C140" s="235" t="s">
        <v>804</v>
      </c>
      <c r="D140" s="1481">
        <v>0</v>
      </c>
      <c r="E140" s="1481">
        <v>0</v>
      </c>
      <c r="F140" s="1087"/>
      <c r="G140" s="1126"/>
      <c r="H140" s="1126"/>
      <c r="I140" s="1126"/>
      <c r="J140" s="1091"/>
    </row>
    <row r="141" spans="1:15" s="207" customFormat="1" ht="12" customHeight="1">
      <c r="A141" s="234" t="s">
        <v>2272</v>
      </c>
      <c r="B141" s="1096" t="s">
        <v>2317</v>
      </c>
      <c r="C141" s="235" t="s">
        <v>2318</v>
      </c>
      <c r="D141" s="1481">
        <f>D138-D139</f>
        <v>1059744</v>
      </c>
      <c r="E141" s="1481">
        <v>763340</v>
      </c>
      <c r="F141" s="1087"/>
      <c r="G141" s="233"/>
      <c r="H141" s="1126"/>
      <c r="I141" s="1126"/>
      <c r="J141" s="1091"/>
    </row>
    <row r="142" spans="1:15" s="185" customFormat="1" ht="12" customHeight="1">
      <c r="A142" s="240" t="s">
        <v>532</v>
      </c>
      <c r="B142" s="954" t="s">
        <v>619</v>
      </c>
      <c r="C142" s="241" t="s">
        <v>2319</v>
      </c>
      <c r="D142" s="1481">
        <v>0</v>
      </c>
      <c r="E142" s="1483">
        <v>0</v>
      </c>
      <c r="F142" s="1087"/>
      <c r="G142" s="1115"/>
      <c r="H142" s="1115"/>
      <c r="I142" s="1089"/>
      <c r="J142" s="1089"/>
    </row>
    <row r="143" spans="1:15" s="185" customFormat="1" ht="12" customHeight="1">
      <c r="A143" s="234" t="s">
        <v>535</v>
      </c>
      <c r="B143" s="1096" t="s">
        <v>2671</v>
      </c>
      <c r="C143" s="235" t="s">
        <v>2320</v>
      </c>
      <c r="D143" s="1481">
        <v>0</v>
      </c>
      <c r="E143" s="1483">
        <v>0</v>
      </c>
      <c r="F143" s="1089"/>
      <c r="G143" s="1115"/>
      <c r="H143" s="1115"/>
      <c r="I143" s="1089"/>
      <c r="J143" s="1089"/>
    </row>
    <row r="144" spans="1:15" s="185" customFormat="1" ht="12" customHeight="1">
      <c r="A144" s="234" t="s">
        <v>538</v>
      </c>
      <c r="B144" s="1096" t="s">
        <v>2672</v>
      </c>
      <c r="C144" s="235" t="s">
        <v>2321</v>
      </c>
      <c r="D144" s="1481">
        <v>0</v>
      </c>
      <c r="E144" s="1483">
        <v>0</v>
      </c>
      <c r="F144" s="1089"/>
      <c r="G144" s="1115"/>
      <c r="H144" s="1115"/>
      <c r="I144" s="1089"/>
      <c r="J144" s="1089"/>
    </row>
    <row r="145" spans="1:11" s="185" customFormat="1" ht="12" customHeight="1">
      <c r="A145" s="234" t="s">
        <v>541</v>
      </c>
      <c r="B145" s="1096" t="s">
        <v>775</v>
      </c>
      <c r="C145" s="235" t="s">
        <v>2322</v>
      </c>
      <c r="D145" s="1481">
        <v>0</v>
      </c>
      <c r="E145" s="1483">
        <v>0</v>
      </c>
      <c r="F145" s="1087"/>
      <c r="G145" s="1603"/>
      <c r="H145" s="1603"/>
      <c r="I145" s="1089"/>
      <c r="J145" s="1089"/>
    </row>
    <row r="146" spans="1:11" s="185" customFormat="1" ht="12" customHeight="1">
      <c r="A146" s="234" t="s">
        <v>544</v>
      </c>
      <c r="B146" s="1096" t="s">
        <v>777</v>
      </c>
      <c r="C146" s="235" t="s">
        <v>2323</v>
      </c>
      <c r="D146" s="1481">
        <v>47382</v>
      </c>
      <c r="E146" s="1481">
        <v>46090</v>
      </c>
      <c r="F146" s="1089"/>
      <c r="G146" s="1603"/>
      <c r="H146" s="1603"/>
      <c r="I146" s="233"/>
      <c r="J146" s="1089"/>
    </row>
    <row r="147" spans="1:11" s="185" customFormat="1" ht="12" customHeight="1">
      <c r="A147" s="234" t="s">
        <v>547</v>
      </c>
      <c r="B147" s="1096" t="s">
        <v>2324</v>
      </c>
      <c r="C147" s="235" t="s">
        <v>2325</v>
      </c>
      <c r="D147" s="1483">
        <v>31104</v>
      </c>
      <c r="E147" s="1483">
        <v>28038</v>
      </c>
      <c r="F147" s="1089"/>
      <c r="G147" s="1603"/>
      <c r="H147" s="1603"/>
      <c r="I147" s="233"/>
      <c r="J147" s="1089"/>
    </row>
    <row r="148" spans="1:11" s="185" customFormat="1" ht="12" customHeight="1">
      <c r="A148" s="234" t="s">
        <v>568</v>
      </c>
      <c r="B148" s="1096" t="s">
        <v>781</v>
      </c>
      <c r="C148" s="235" t="s">
        <v>2326</v>
      </c>
      <c r="D148" s="1483">
        <v>8319</v>
      </c>
      <c r="E148" s="1483">
        <v>142188</v>
      </c>
      <c r="F148" s="1093"/>
      <c r="G148" s="233"/>
      <c r="H148" s="1113"/>
      <c r="I148" s="1089"/>
      <c r="J148" s="1089"/>
    </row>
    <row r="149" spans="1:11" s="185" customFormat="1" ht="12" customHeight="1">
      <c r="A149" s="234" t="s">
        <v>571</v>
      </c>
      <c r="B149" s="1096" t="s">
        <v>2327</v>
      </c>
      <c r="C149" s="235" t="s">
        <v>2328</v>
      </c>
      <c r="D149" s="1483">
        <v>0</v>
      </c>
      <c r="E149" s="1483">
        <v>0</v>
      </c>
      <c r="F149" s="1093"/>
      <c r="G149" s="1093"/>
      <c r="H149" s="1113"/>
      <c r="I149" s="1089"/>
      <c r="J149" s="1089"/>
    </row>
    <row r="150" spans="1:11" s="185" customFormat="1" ht="12" customHeight="1">
      <c r="A150" s="234" t="s">
        <v>758</v>
      </c>
      <c r="B150" s="1096" t="s">
        <v>2329</v>
      </c>
      <c r="C150" s="235" t="s">
        <v>2330</v>
      </c>
      <c r="D150" s="1483">
        <v>15350</v>
      </c>
      <c r="E150" s="1483">
        <v>4044</v>
      </c>
      <c r="F150" s="1093"/>
      <c r="G150" s="233"/>
      <c r="H150" s="1113"/>
      <c r="I150" s="1089"/>
      <c r="J150" s="1089"/>
    </row>
    <row r="151" spans="1:11" s="185" customFormat="1" ht="12" customHeight="1">
      <c r="A151" s="231" t="s">
        <v>787</v>
      </c>
      <c r="B151" s="951" t="s">
        <v>2331</v>
      </c>
      <c r="C151" s="232" t="s">
        <v>2332</v>
      </c>
      <c r="D151" s="1482">
        <f>D152+D153</f>
        <v>113122</v>
      </c>
      <c r="E151" s="1482">
        <v>102437</v>
      </c>
      <c r="F151" s="1087"/>
      <c r="G151" s="1602"/>
      <c r="H151" s="1602"/>
      <c r="I151" s="1089"/>
      <c r="J151" s="1089"/>
    </row>
    <row r="152" spans="1:11" s="185" customFormat="1" ht="12" customHeight="1">
      <c r="A152" s="234" t="s">
        <v>790</v>
      </c>
      <c r="B152" s="1096" t="s">
        <v>733</v>
      </c>
      <c r="C152" s="235" t="s">
        <v>2333</v>
      </c>
      <c r="D152" s="1483">
        <v>42770</v>
      </c>
      <c r="E152" s="1483">
        <v>34294</v>
      </c>
      <c r="F152" s="1093"/>
      <c r="G152" s="1093"/>
      <c r="H152" s="1113"/>
      <c r="I152" s="1089"/>
      <c r="J152" s="1089"/>
    </row>
    <row r="153" spans="1:11" s="185" customFormat="1" ht="12" customHeight="1">
      <c r="A153" s="234" t="s">
        <v>532</v>
      </c>
      <c r="B153" s="1096" t="s">
        <v>737</v>
      </c>
      <c r="C153" s="235" t="s">
        <v>2334</v>
      </c>
      <c r="D153" s="1483">
        <v>70352</v>
      </c>
      <c r="E153" s="1483">
        <v>68143</v>
      </c>
      <c r="F153" s="1093"/>
      <c r="G153" s="233"/>
      <c r="H153" s="1113"/>
      <c r="I153" s="1089"/>
      <c r="J153" s="1089"/>
    </row>
    <row r="154" spans="1:11" s="185" customFormat="1" ht="12" customHeight="1">
      <c r="A154" s="242" t="s">
        <v>2335</v>
      </c>
      <c r="B154" s="957" t="s">
        <v>793</v>
      </c>
      <c r="C154" s="243" t="s">
        <v>2336</v>
      </c>
      <c r="D154" s="889">
        <v>4286</v>
      </c>
      <c r="E154" s="889">
        <v>2976</v>
      </c>
      <c r="F154" s="1087"/>
      <c r="G154" s="1602"/>
      <c r="H154" s="1602"/>
      <c r="I154" s="1602"/>
      <c r="J154" s="1602"/>
      <c r="K154" s="1019"/>
    </row>
    <row r="155" spans="1:11" s="207" customFormat="1" ht="12" customHeight="1">
      <c r="A155" s="231" t="s">
        <v>2337</v>
      </c>
      <c r="B155" s="951" t="s">
        <v>785</v>
      </c>
      <c r="C155" s="232" t="s">
        <v>2338</v>
      </c>
      <c r="D155" s="1482">
        <v>0</v>
      </c>
      <c r="E155" s="1482">
        <v>0</v>
      </c>
      <c r="F155" s="1087"/>
      <c r="G155" s="1602"/>
      <c r="H155" s="1602"/>
      <c r="I155" s="1602"/>
      <c r="J155" s="1602"/>
    </row>
    <row r="156" spans="1:11" s="207" customFormat="1" ht="12" customHeight="1">
      <c r="A156" s="231" t="s">
        <v>663</v>
      </c>
      <c r="B156" s="951" t="s">
        <v>2339</v>
      </c>
      <c r="C156" s="232" t="s">
        <v>2340</v>
      </c>
      <c r="D156" s="1482">
        <v>0</v>
      </c>
      <c r="E156" s="1482"/>
      <c r="F156" s="1087"/>
      <c r="G156" s="1602"/>
      <c r="H156" s="1602"/>
      <c r="I156" s="1602"/>
      <c r="J156" s="1091"/>
    </row>
    <row r="157" spans="1:11" s="185" customFormat="1" ht="12" customHeight="1">
      <c r="A157" s="234" t="s">
        <v>666</v>
      </c>
      <c r="B157" s="952" t="s">
        <v>797</v>
      </c>
      <c r="C157" s="235" t="s">
        <v>2341</v>
      </c>
      <c r="D157" s="1479">
        <v>0</v>
      </c>
      <c r="E157" s="1479">
        <v>0</v>
      </c>
      <c r="F157" s="1093"/>
      <c r="G157" s="1115"/>
      <c r="H157" s="1115"/>
      <c r="I157" s="1089"/>
      <c r="J157" s="1089"/>
    </row>
    <row r="158" spans="1:11" s="185" customFormat="1" ht="12" customHeight="1">
      <c r="A158" s="234" t="s">
        <v>532</v>
      </c>
      <c r="B158" s="952" t="s">
        <v>799</v>
      </c>
      <c r="C158" s="235" t="s">
        <v>2342</v>
      </c>
      <c r="D158" s="1481">
        <v>0</v>
      </c>
      <c r="E158" s="1481">
        <v>0</v>
      </c>
      <c r="F158" s="1093"/>
      <c r="G158" s="1115"/>
      <c r="H158" s="1115"/>
      <c r="I158" s="1089"/>
      <c r="J158" s="1089"/>
    </row>
    <row r="159" spans="1:11" s="185" customFormat="1" ht="12" customHeight="1">
      <c r="A159" s="234" t="s">
        <v>535</v>
      </c>
      <c r="B159" s="952" t="s">
        <v>801</v>
      </c>
      <c r="C159" s="235" t="s">
        <v>2343</v>
      </c>
      <c r="D159" s="1481">
        <v>0</v>
      </c>
      <c r="E159" s="1481">
        <v>0</v>
      </c>
      <c r="F159" s="1093"/>
      <c r="G159" s="1603"/>
      <c r="H159" s="1603"/>
      <c r="I159" s="1089"/>
      <c r="J159" s="1089"/>
    </row>
    <row r="160" spans="1:11" s="185" customFormat="1" ht="12" customHeight="1">
      <c r="A160" s="234" t="s">
        <v>538</v>
      </c>
      <c r="B160" s="952" t="s">
        <v>803</v>
      </c>
      <c r="C160" s="235" t="s">
        <v>2344</v>
      </c>
      <c r="D160" s="1479">
        <v>0</v>
      </c>
      <c r="E160" s="1479"/>
      <c r="F160" s="1093"/>
      <c r="G160" s="233"/>
      <c r="H160" s="1113"/>
      <c r="I160" s="1089"/>
      <c r="J160" s="1089"/>
    </row>
    <row r="161" spans="1:10" ht="12" hidden="1" customHeight="1">
      <c r="A161" s="244"/>
      <c r="B161" s="958" t="s">
        <v>2345</v>
      </c>
      <c r="C161" s="245" t="s">
        <v>806</v>
      </c>
      <c r="D161" s="1092">
        <f>SUM(D94:D160)</f>
        <v>20139347</v>
      </c>
      <c r="E161" s="1092">
        <f>SUM(E94:E160)</f>
        <v>19020711</v>
      </c>
      <c r="F161" s="1093"/>
      <c r="G161" s="1093"/>
      <c r="H161" s="1113"/>
      <c r="I161" s="1100"/>
      <c r="J161" s="1100"/>
    </row>
    <row r="162" spans="1:10" ht="15" customHeight="1">
      <c r="A162" s="246"/>
      <c r="B162" s="959"/>
      <c r="C162" s="247"/>
      <c r="D162" s="248"/>
      <c r="E162" s="248"/>
      <c r="F162" s="1100"/>
      <c r="G162" s="1100"/>
      <c r="H162" s="1100"/>
      <c r="I162" s="1100"/>
      <c r="J162" s="1100"/>
    </row>
    <row r="163" spans="1:10" ht="15" customHeight="1">
      <c r="A163" s="246"/>
      <c r="B163" s="959"/>
      <c r="C163" s="247"/>
      <c r="D163" s="248"/>
      <c r="E163" s="248"/>
      <c r="F163" s="1100"/>
      <c r="G163" s="1100"/>
      <c r="H163" s="1100"/>
      <c r="I163" s="1100"/>
      <c r="J163" s="1100"/>
    </row>
    <row r="164" spans="1:10">
      <c r="F164" s="1100"/>
      <c r="G164" s="1100"/>
      <c r="H164" s="1100"/>
      <c r="I164" s="1100"/>
      <c r="J164" s="1100"/>
    </row>
    <row r="165" spans="1:10">
      <c r="F165" s="1100"/>
      <c r="G165" s="1100"/>
      <c r="H165" s="1100"/>
      <c r="I165" s="1100"/>
      <c r="J165" s="1100"/>
    </row>
    <row r="166" spans="1:10">
      <c r="F166" s="1100"/>
      <c r="G166" s="1100"/>
      <c r="H166" s="1100"/>
      <c r="I166" s="1100"/>
      <c r="J166" s="1100"/>
    </row>
    <row r="167" spans="1:10">
      <c r="F167" s="1100"/>
      <c r="G167" s="1100"/>
      <c r="H167" s="1100"/>
      <c r="I167" s="1100"/>
      <c r="J167" s="1100"/>
    </row>
    <row r="168" spans="1:10">
      <c r="F168" s="1100"/>
      <c r="G168" s="1100"/>
      <c r="H168" s="1100"/>
      <c r="I168" s="1100"/>
      <c r="J168" s="1100"/>
    </row>
    <row r="169" spans="1:10">
      <c r="F169" s="1100"/>
      <c r="G169" s="1100"/>
      <c r="H169" s="1100"/>
      <c r="I169" s="1100"/>
      <c r="J169" s="1100"/>
    </row>
    <row r="170" spans="1:10">
      <c r="F170" s="1100"/>
      <c r="G170" s="1100"/>
      <c r="H170" s="1100"/>
      <c r="I170" s="1100"/>
      <c r="J170" s="1100"/>
    </row>
    <row r="171" spans="1:10">
      <c r="F171" s="1100"/>
      <c r="G171" s="1100"/>
      <c r="H171" s="1100"/>
      <c r="I171" s="1100"/>
      <c r="J171" s="1100"/>
    </row>
    <row r="172" spans="1:10">
      <c r="F172" s="1100"/>
      <c r="G172" s="1100"/>
      <c r="H172" s="1100"/>
      <c r="I172" s="1100"/>
      <c r="J172" s="1100"/>
    </row>
    <row r="173" spans="1:10">
      <c r="F173" s="1100"/>
      <c r="G173" s="1100"/>
      <c r="H173" s="1100"/>
      <c r="I173" s="1100"/>
      <c r="J173" s="1100"/>
    </row>
    <row r="174" spans="1:10">
      <c r="F174" s="1100"/>
      <c r="G174" s="1100"/>
      <c r="H174" s="1100"/>
      <c r="I174" s="1100"/>
      <c r="J174" s="1100"/>
    </row>
  </sheetData>
  <mergeCells count="26">
    <mergeCell ref="I71:J74"/>
    <mergeCell ref="I12:J12"/>
    <mergeCell ref="I20:K20"/>
    <mergeCell ref="I30:J30"/>
    <mergeCell ref="I43:J43"/>
    <mergeCell ref="I50:K50"/>
    <mergeCell ref="N51:O51"/>
    <mergeCell ref="I62:K62"/>
    <mergeCell ref="L67:M67"/>
    <mergeCell ref="N67:O67"/>
    <mergeCell ref="I68:J70"/>
    <mergeCell ref="L51:M51"/>
    <mergeCell ref="I75:J75"/>
    <mergeCell ref="I80:J80"/>
    <mergeCell ref="I83:K83"/>
    <mergeCell ref="G117:I117"/>
    <mergeCell ref="G154:J154"/>
    <mergeCell ref="G155:J155"/>
    <mergeCell ref="G156:I156"/>
    <mergeCell ref="G159:H159"/>
    <mergeCell ref="N127:O127"/>
    <mergeCell ref="G133:H133"/>
    <mergeCell ref="G136:J136"/>
    <mergeCell ref="G145:H147"/>
    <mergeCell ref="G151:H151"/>
    <mergeCell ref="L127:M127"/>
  </mergeCells>
  <conditionalFormatting sqref="K1:K4">
    <cfRule type="containsText" dxfId="60" priority="1" operator="containsText" text="Select">
      <formula>NOT(ISERROR(SEARCH("Select",K1)))</formula>
    </cfRule>
  </conditionalFormatting>
  <dataValidations disablePrompts="1" count="4">
    <dataValidation type="list" allowBlank="1" showInputMessage="1" showErrorMessage="1" sqref="K1">
      <formula1>$Q$31:$Q$33</formula1>
    </dataValidation>
    <dataValidation type="list" allowBlank="1" showInputMessage="1" showErrorMessage="1" sqref="K2">
      <formula1>$P$3:$X$3</formula1>
    </dataValidation>
    <dataValidation type="list" allowBlank="1" showInputMessage="1" showErrorMessage="1" sqref="K3">
      <formula1>$Y$5:$Y$20</formula1>
    </dataValidation>
    <dataValidation type="list" allowBlank="1" showInputMessage="1" showErrorMessage="1" sqref="K4">
      <formula1>$Q$1:$Q$2</formula1>
    </dataValidation>
  </dataValidations>
  <hyperlinks>
    <hyperlink ref="G154:K154" location="Q!A1" display="Total - Q Bank loans and Short-term financial borrowings"/>
  </hyperlinks>
  <pageMargins left="0.18" right="0.16" top="0.21" bottom="0.97" header="0.25" footer="0.31496062992125984"/>
  <pageSetup paperSize="9" scale="83" fitToWidth="2" orientation="portrait" horizontalDpi="360" verticalDpi="300" r:id="rId1"/>
  <headerFooter alignWithMargins="0">
    <oddFooter xml:space="preserve">&amp;C&amp;"EYlogo,Regular"&amp;8e&amp;R&amp;"Times New Roman CE,Tučné"&amp;5Lead schedules v2.0&amp;"Times New Roman CE,Normálne"
</oddFooter>
  </headerFooter>
  <rowBreaks count="1" manualBreakCount="1">
    <brk id="89" max="7"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7">
    <tabColor rgb="FFFFFF99"/>
    <pageSetUpPr fitToPage="1"/>
  </sheetPr>
  <dimension ref="A1:O88"/>
  <sheetViews>
    <sheetView showGridLines="0" showZeros="0" topLeftCell="A55" zoomScaleNormal="100" workbookViewId="0">
      <selection activeCell="E67" sqref="E67"/>
    </sheetView>
  </sheetViews>
  <sheetFormatPr defaultColWidth="9.140625" defaultRowHeight="11.25"/>
  <cols>
    <col min="1" max="1" width="5.7109375" style="178" customWidth="1"/>
    <col min="2" max="2" width="65" style="230" customWidth="1"/>
    <col min="3" max="3" width="9.28515625" style="199" customWidth="1"/>
    <col min="4" max="4" width="15.5703125" style="290" customWidth="1"/>
    <col min="5" max="5" width="14.5703125" style="178" customWidth="1"/>
    <col min="6" max="6" width="9.140625" style="178"/>
    <col min="7" max="7" width="3.28515625" style="178" customWidth="1"/>
    <col min="8" max="16384" width="9.140625" style="178"/>
  </cols>
  <sheetData>
    <row r="1" spans="1:15" ht="12" customHeight="1">
      <c r="A1" s="180" t="s">
        <v>497</v>
      </c>
      <c r="B1" s="1127">
        <v>0</v>
      </c>
      <c r="C1" s="250"/>
      <c r="D1" s="251"/>
      <c r="E1" s="252"/>
      <c r="I1" s="1105"/>
      <c r="J1" s="1153"/>
      <c r="K1" s="1154"/>
    </row>
    <row r="2" spans="1:15" s="185" customFormat="1" ht="12" customHeight="1">
      <c r="A2" s="180" t="s">
        <v>500</v>
      </c>
      <c r="B2" s="1128" t="s">
        <v>807</v>
      </c>
      <c r="C2" s="250"/>
      <c r="D2" s="251"/>
      <c r="E2" s="252"/>
      <c r="I2" s="1105"/>
      <c r="J2" s="1155"/>
      <c r="K2" s="1154"/>
    </row>
    <row r="3" spans="1:15" ht="11.25" customHeight="1">
      <c r="C3" s="178"/>
      <c r="D3" s="178"/>
      <c r="I3" s="1105"/>
      <c r="J3" s="1156"/>
      <c r="K3" s="1154"/>
    </row>
    <row r="4" spans="1:15" ht="11.25" customHeight="1">
      <c r="A4" s="188" t="s">
        <v>2397</v>
      </c>
      <c r="B4" s="937"/>
      <c r="C4" s="189"/>
      <c r="D4" s="254"/>
      <c r="E4" s="255"/>
      <c r="F4" s="1072"/>
      <c r="I4" s="1072"/>
      <c r="J4" s="1129"/>
    </row>
    <row r="5" spans="1:15" ht="12" customHeight="1">
      <c r="B5" s="1130" t="s">
        <v>808</v>
      </c>
      <c r="C5" s="195"/>
      <c r="D5" s="257"/>
      <c r="E5" s="258"/>
      <c r="F5" s="1072"/>
    </row>
    <row r="6" spans="1:15" s="199" customFormat="1" ht="12" customHeight="1">
      <c r="A6" s="259" t="s">
        <v>508</v>
      </c>
      <c r="B6" s="1131" t="s">
        <v>809</v>
      </c>
      <c r="C6" s="259" t="s">
        <v>510</v>
      </c>
      <c r="D6" s="261" t="s">
        <v>810</v>
      </c>
      <c r="E6" s="262"/>
    </row>
    <row r="7" spans="1:15" s="202" customFormat="1" ht="12" customHeight="1">
      <c r="A7" s="263" t="s">
        <v>513</v>
      </c>
      <c r="B7" s="264"/>
      <c r="C7" s="263" t="s">
        <v>514</v>
      </c>
      <c r="D7" s="265" t="s">
        <v>811</v>
      </c>
      <c r="E7" s="266" t="s">
        <v>812</v>
      </c>
    </row>
    <row r="8" spans="1:15" s="199" customFormat="1" ht="12" customHeight="1">
      <c r="A8" s="267" t="s">
        <v>518</v>
      </c>
      <c r="B8" s="1132" t="s">
        <v>519</v>
      </c>
      <c r="C8" s="267" t="s">
        <v>520</v>
      </c>
      <c r="D8" s="269">
        <v>1</v>
      </c>
      <c r="E8" s="267">
        <v>2</v>
      </c>
    </row>
    <row r="9" spans="1:15" s="199" customFormat="1" ht="12" customHeight="1">
      <c r="A9" s="273" t="s">
        <v>880</v>
      </c>
      <c r="B9" s="1133" t="s">
        <v>2346</v>
      </c>
      <c r="C9" s="274" t="s">
        <v>814</v>
      </c>
      <c r="D9" s="1487">
        <f>SUM(D11:D13)</f>
        <v>5307380</v>
      </c>
      <c r="E9" s="1487">
        <f>SUM(E11:E13)</f>
        <v>5338141</v>
      </c>
      <c r="F9" s="1157"/>
      <c r="G9" s="1158"/>
      <c r="H9" s="1158"/>
      <c r="I9" s="1158"/>
      <c r="J9" s="1158"/>
      <c r="K9" s="1158"/>
      <c r="L9" s="1158"/>
      <c r="M9" s="1158"/>
      <c r="N9" s="1158"/>
    </row>
    <row r="10" spans="1:15" s="199" customFormat="1" ht="12" customHeight="1">
      <c r="A10" s="276" t="s">
        <v>942</v>
      </c>
      <c r="B10" s="1134" t="s">
        <v>2347</v>
      </c>
      <c r="C10" s="277" t="s">
        <v>817</v>
      </c>
      <c r="D10" s="1488">
        <f>SUM(D11:D17)</f>
        <v>5384434</v>
      </c>
      <c r="E10" s="1488">
        <v>5319172</v>
      </c>
      <c r="F10" s="1524"/>
      <c r="G10" s="1609"/>
      <c r="H10" s="1609"/>
      <c r="I10" s="1609"/>
      <c r="J10" s="1609"/>
      <c r="K10" s="1607"/>
      <c r="L10" s="1607"/>
      <c r="M10" s="1607"/>
      <c r="N10" s="1607"/>
      <c r="O10" s="1467"/>
    </row>
    <row r="11" spans="1:15" s="185" customFormat="1" ht="12" customHeight="1">
      <c r="A11" s="1135" t="s">
        <v>877</v>
      </c>
      <c r="B11" s="1136" t="s">
        <v>1381</v>
      </c>
      <c r="C11" s="1137" t="s">
        <v>820</v>
      </c>
      <c r="D11" s="1490">
        <v>2493976</v>
      </c>
      <c r="E11" s="1490">
        <v>2351345</v>
      </c>
      <c r="F11" s="1089"/>
      <c r="G11" s="1089"/>
      <c r="H11" s="1089"/>
      <c r="I11" s="1089"/>
      <c r="J11" s="1089"/>
      <c r="K11" s="1089"/>
      <c r="L11" s="1089"/>
      <c r="M11" s="1089"/>
      <c r="N11" s="1089"/>
      <c r="O11" s="1467"/>
    </row>
    <row r="12" spans="1:15" s="185" customFormat="1" ht="12" customHeight="1">
      <c r="A12" s="1138" t="s">
        <v>2348</v>
      </c>
      <c r="B12" s="1136" t="s">
        <v>2349</v>
      </c>
      <c r="C12" s="1137" t="s">
        <v>823</v>
      </c>
      <c r="D12" s="1490">
        <v>2645663</v>
      </c>
      <c r="E12" s="1490">
        <v>2822910</v>
      </c>
      <c r="F12" s="1089"/>
      <c r="G12" s="1159"/>
      <c r="H12" s="1089"/>
      <c r="I12" s="1089"/>
      <c r="J12" s="1089"/>
      <c r="K12" s="1089"/>
      <c r="L12" s="1089"/>
      <c r="M12" s="1089"/>
      <c r="N12" s="1089"/>
      <c r="O12" s="1467"/>
    </row>
    <row r="13" spans="1:15" s="185" customFormat="1" ht="12" customHeight="1">
      <c r="A13" s="1138" t="s">
        <v>2350</v>
      </c>
      <c r="B13" s="1136" t="s">
        <v>2351</v>
      </c>
      <c r="C13" s="1137" t="s">
        <v>826</v>
      </c>
      <c r="D13" s="1490">
        <v>167741</v>
      </c>
      <c r="E13" s="1490">
        <v>163886</v>
      </c>
      <c r="F13" s="1089"/>
      <c r="G13" s="1159"/>
      <c r="H13" s="1089"/>
      <c r="I13" s="1089"/>
      <c r="J13" s="1089"/>
      <c r="K13" s="1089"/>
      <c r="L13" s="1089"/>
      <c r="M13" s="1089"/>
      <c r="N13" s="1089"/>
      <c r="O13" s="1467"/>
    </row>
    <row r="14" spans="1:15" s="185" customFormat="1" ht="12" customHeight="1">
      <c r="A14" s="1138" t="s">
        <v>2352</v>
      </c>
      <c r="B14" s="1136" t="s">
        <v>827</v>
      </c>
      <c r="C14" s="1137" t="s">
        <v>828</v>
      </c>
      <c r="D14" s="1490">
        <v>-408</v>
      </c>
      <c r="E14" s="1490">
        <v>-19885</v>
      </c>
      <c r="F14" s="1089"/>
      <c r="G14" s="1159"/>
      <c r="H14" s="1089"/>
      <c r="I14" s="1089"/>
      <c r="J14" s="1089"/>
      <c r="K14" s="1089"/>
      <c r="L14" s="1089"/>
      <c r="M14" s="1089"/>
      <c r="N14" s="1089"/>
      <c r="O14" s="1467"/>
    </row>
    <row r="15" spans="1:15" s="185" customFormat="1" ht="12" customHeight="1">
      <c r="A15" s="1138" t="s">
        <v>976</v>
      </c>
      <c r="B15" s="1136" t="s">
        <v>829</v>
      </c>
      <c r="C15" s="1137" t="s">
        <v>830</v>
      </c>
      <c r="D15" s="1490"/>
      <c r="E15" s="1490"/>
      <c r="F15" s="1089"/>
      <c r="G15" s="1159"/>
      <c r="H15" s="1089"/>
      <c r="I15" s="1089"/>
      <c r="J15" s="1089"/>
      <c r="K15" s="1089"/>
      <c r="L15" s="1089"/>
      <c r="M15" s="1089"/>
      <c r="N15" s="1089"/>
      <c r="O15" s="1467"/>
    </row>
    <row r="16" spans="1:15" s="185" customFormat="1" ht="12" customHeight="1">
      <c r="A16" s="1138" t="s">
        <v>2353</v>
      </c>
      <c r="B16" s="1136" t="s">
        <v>860</v>
      </c>
      <c r="C16" s="1137" t="s">
        <v>832</v>
      </c>
      <c r="D16" s="1490">
        <v>9584</v>
      </c>
      <c r="E16" s="1490">
        <v>0</v>
      </c>
      <c r="F16" s="1089"/>
      <c r="G16" s="1159"/>
      <c r="H16" s="1089"/>
      <c r="I16" s="1089"/>
      <c r="J16" s="1089"/>
      <c r="K16" s="1089"/>
      <c r="L16" s="1089"/>
      <c r="M16" s="1089"/>
      <c r="N16" s="1089"/>
      <c r="O16" s="1467"/>
    </row>
    <row r="17" spans="1:15" s="185" customFormat="1" ht="12" customHeight="1">
      <c r="A17" s="1138" t="s">
        <v>2354</v>
      </c>
      <c r="B17" s="1139" t="s">
        <v>869</v>
      </c>
      <c r="C17" s="1137" t="s">
        <v>835</v>
      </c>
      <c r="D17" s="1490">
        <v>67878</v>
      </c>
      <c r="E17" s="1490">
        <v>916</v>
      </c>
      <c r="F17" s="1089"/>
      <c r="G17" s="1159"/>
      <c r="H17" s="1089"/>
      <c r="I17" s="1089"/>
      <c r="J17" s="1089"/>
      <c r="K17" s="1089"/>
      <c r="L17" s="1089"/>
      <c r="M17" s="1089"/>
      <c r="N17" s="1089"/>
      <c r="O17" s="1467"/>
    </row>
    <row r="18" spans="1:15" s="185" customFormat="1" ht="12" customHeight="1">
      <c r="A18" s="276" t="s">
        <v>942</v>
      </c>
      <c r="B18" s="1134" t="s">
        <v>2355</v>
      </c>
      <c r="C18" s="277" t="s">
        <v>838</v>
      </c>
      <c r="D18" s="895">
        <f>SUM(D19,D20,D21,D22,D23,D28,D29,D32,D33,D34)</f>
        <v>5183863</v>
      </c>
      <c r="E18" s="895">
        <f>SUM(E19,E20,E21,E22,E23,E28,E29,E32,E33,E34)</f>
        <v>4969185</v>
      </c>
      <c r="F18" s="1089"/>
      <c r="G18" s="1607"/>
      <c r="H18" s="1607"/>
      <c r="I18" s="1607"/>
      <c r="J18" s="1607"/>
      <c r="K18" s="1607"/>
      <c r="L18" s="1607"/>
      <c r="M18" s="1607"/>
      <c r="N18" s="1607"/>
      <c r="O18" s="1467"/>
    </row>
    <row r="19" spans="1:15" s="185" customFormat="1" ht="12" customHeight="1">
      <c r="A19" s="1138" t="s">
        <v>523</v>
      </c>
      <c r="B19" s="1136" t="s">
        <v>2356</v>
      </c>
      <c r="C19" s="1137" t="s">
        <v>840</v>
      </c>
      <c r="D19" s="1486">
        <v>1928175</v>
      </c>
      <c r="E19" s="1486">
        <v>1878350</v>
      </c>
      <c r="F19" s="1089"/>
      <c r="G19" s="1159"/>
      <c r="H19" s="1089"/>
      <c r="I19" s="1089"/>
      <c r="J19" s="1089"/>
      <c r="K19" s="1089"/>
      <c r="L19" s="1089"/>
      <c r="M19" s="1089"/>
      <c r="N19" s="1089"/>
      <c r="O19" s="1467"/>
    </row>
    <row r="20" spans="1:15" s="185" customFormat="1" ht="12" customHeight="1">
      <c r="A20" s="1138" t="s">
        <v>594</v>
      </c>
      <c r="B20" s="1136" t="s">
        <v>2357</v>
      </c>
      <c r="C20" s="1137" t="s">
        <v>842</v>
      </c>
      <c r="D20" s="1490">
        <v>1213571</v>
      </c>
      <c r="E20" s="1490">
        <v>1227260</v>
      </c>
      <c r="F20" s="1089"/>
      <c r="G20" s="1159"/>
      <c r="H20" s="1089"/>
      <c r="I20" s="1089"/>
      <c r="J20" s="1089"/>
      <c r="K20" s="1089"/>
      <c r="L20" s="1089"/>
      <c r="M20" s="1089"/>
      <c r="N20" s="1089"/>
      <c r="O20" s="1467"/>
    </row>
    <row r="21" spans="1:15" s="185" customFormat="1" ht="12" customHeight="1">
      <c r="A21" s="1138" t="s">
        <v>663</v>
      </c>
      <c r="B21" s="1136" t="s">
        <v>2358</v>
      </c>
      <c r="C21" s="1137" t="s">
        <v>844</v>
      </c>
      <c r="D21" s="1490">
        <v>1391</v>
      </c>
      <c r="E21" s="1490">
        <v>-2685</v>
      </c>
      <c r="F21" s="1089"/>
      <c r="G21" s="1159"/>
      <c r="H21" s="1089"/>
      <c r="I21" s="1089"/>
      <c r="J21" s="1089"/>
      <c r="K21" s="1089"/>
      <c r="L21" s="1089"/>
      <c r="M21" s="1089"/>
      <c r="N21" s="1089"/>
      <c r="O21" s="1467"/>
    </row>
    <row r="22" spans="1:15" s="185" customFormat="1" ht="12" customHeight="1">
      <c r="A22" s="1138" t="s">
        <v>853</v>
      </c>
      <c r="B22" s="1136" t="s">
        <v>837</v>
      </c>
      <c r="C22" s="1137" t="s">
        <v>846</v>
      </c>
      <c r="D22" s="1486">
        <v>441930</v>
      </c>
      <c r="E22" s="1486">
        <v>359364</v>
      </c>
      <c r="F22" s="1089"/>
      <c r="G22" s="1159"/>
      <c r="H22" s="1089"/>
      <c r="I22" s="1089"/>
      <c r="J22" s="1089"/>
      <c r="K22" s="1089"/>
      <c r="L22" s="1089"/>
      <c r="M22" s="1089"/>
      <c r="N22" s="1089"/>
      <c r="O22" s="1467"/>
    </row>
    <row r="23" spans="1:15" s="207" customFormat="1" ht="12" customHeight="1">
      <c r="A23" s="1140" t="s">
        <v>856</v>
      </c>
      <c r="B23" s="1141" t="s">
        <v>841</v>
      </c>
      <c r="C23" s="1142" t="s">
        <v>849</v>
      </c>
      <c r="D23" s="1489">
        <f>SUM(D24:D27)</f>
        <v>1097102</v>
      </c>
      <c r="E23" s="1489">
        <v>1086166</v>
      </c>
      <c r="F23" s="1113"/>
      <c r="G23" s="1607"/>
      <c r="H23" s="1607"/>
      <c r="I23" s="1607"/>
      <c r="J23" s="1607"/>
      <c r="K23" s="1091"/>
      <c r="L23" s="1091"/>
      <c r="M23" s="1091"/>
      <c r="N23" s="1091"/>
      <c r="O23" s="1467"/>
    </row>
    <row r="24" spans="1:15" s="185" customFormat="1" ht="12" customHeight="1">
      <c r="A24" s="270" t="s">
        <v>2359</v>
      </c>
      <c r="B24" s="1143" t="s">
        <v>843</v>
      </c>
      <c r="C24" s="272" t="s">
        <v>852</v>
      </c>
      <c r="D24" s="1485">
        <v>781249</v>
      </c>
      <c r="E24" s="1485">
        <v>788625</v>
      </c>
      <c r="F24" s="1089"/>
      <c r="G24" s="1159"/>
      <c r="H24" s="1089"/>
      <c r="I24" s="1089"/>
      <c r="J24" s="1089"/>
      <c r="K24" s="1089"/>
      <c r="L24" s="1089"/>
      <c r="M24" s="1089"/>
      <c r="N24" s="1089"/>
      <c r="O24" s="1467"/>
    </row>
    <row r="25" spans="1:15" s="185" customFormat="1" ht="12" customHeight="1">
      <c r="A25" s="1144" t="s">
        <v>532</v>
      </c>
      <c r="B25" s="1143" t="s">
        <v>845</v>
      </c>
      <c r="C25" s="272" t="s">
        <v>855</v>
      </c>
      <c r="D25" s="1485">
        <v>0</v>
      </c>
      <c r="E25" s="1485">
        <v>0</v>
      </c>
      <c r="F25" s="1089"/>
      <c r="G25" s="1159"/>
      <c r="H25" s="1089"/>
      <c r="I25" s="1089"/>
      <c r="J25" s="1089"/>
      <c r="K25" s="1089"/>
      <c r="L25" s="1089"/>
      <c r="M25" s="1089"/>
      <c r="N25" s="1089"/>
      <c r="O25" s="1467"/>
    </row>
    <row r="26" spans="1:15" s="185" customFormat="1" ht="12" customHeight="1">
      <c r="A26" s="1144" t="s">
        <v>535</v>
      </c>
      <c r="B26" s="1143" t="s">
        <v>848</v>
      </c>
      <c r="C26" s="272" t="s">
        <v>858</v>
      </c>
      <c r="D26" s="1485">
        <v>266859</v>
      </c>
      <c r="E26" s="1485">
        <v>249918</v>
      </c>
      <c r="F26" s="1089"/>
      <c r="G26" s="1159"/>
      <c r="H26" s="1089"/>
      <c r="I26" s="1089"/>
      <c r="J26" s="1089"/>
      <c r="K26" s="1089"/>
      <c r="L26" s="1089"/>
      <c r="M26" s="1089"/>
      <c r="N26" s="1089"/>
      <c r="O26" s="1467"/>
    </row>
    <row r="27" spans="1:15" s="185" customFormat="1" ht="12" customHeight="1">
      <c r="A27" s="1144" t="s">
        <v>538</v>
      </c>
      <c r="B27" s="1143" t="s">
        <v>851</v>
      </c>
      <c r="C27" s="272" t="s">
        <v>861</v>
      </c>
      <c r="D27" s="1485">
        <v>48994</v>
      </c>
      <c r="E27" s="1485">
        <v>47623</v>
      </c>
      <c r="F27" s="1089"/>
      <c r="G27" s="1159"/>
      <c r="H27" s="1089"/>
      <c r="I27" s="1089"/>
      <c r="J27" s="1089"/>
      <c r="K27" s="1089"/>
      <c r="L27" s="1089"/>
      <c r="M27" s="1089"/>
      <c r="N27" s="1089"/>
      <c r="O27" s="1467"/>
    </row>
    <row r="28" spans="1:15" s="185" customFormat="1" ht="12" customHeight="1">
      <c r="A28" s="1138" t="s">
        <v>862</v>
      </c>
      <c r="B28" s="1136" t="s">
        <v>854</v>
      </c>
      <c r="C28" s="1137" t="s">
        <v>864</v>
      </c>
      <c r="D28" s="1490">
        <v>8670</v>
      </c>
      <c r="E28" s="1490">
        <v>7638</v>
      </c>
      <c r="F28" s="1089"/>
      <c r="G28" s="1159"/>
      <c r="H28" s="1089"/>
      <c r="I28" s="1089"/>
      <c r="J28" s="1089"/>
      <c r="K28" s="1089"/>
      <c r="L28" s="1089"/>
      <c r="M28" s="1089"/>
      <c r="N28" s="1089"/>
      <c r="O28" s="1467"/>
    </row>
    <row r="29" spans="1:15" s="185" customFormat="1" ht="12" customHeight="1">
      <c r="A29" s="1140" t="s">
        <v>865</v>
      </c>
      <c r="B29" s="1141" t="s">
        <v>2360</v>
      </c>
      <c r="C29" s="1142" t="s">
        <v>867</v>
      </c>
      <c r="D29" s="1489">
        <f>D30+D31</f>
        <v>406478</v>
      </c>
      <c r="E29" s="1489">
        <v>403396</v>
      </c>
      <c r="F29" s="1089"/>
      <c r="G29" s="1159"/>
      <c r="H29" s="1089"/>
      <c r="I29" s="1089"/>
      <c r="J29" s="1089"/>
      <c r="K29" s="1089"/>
      <c r="L29" s="1089"/>
      <c r="M29" s="1089"/>
      <c r="N29" s="1089"/>
      <c r="O29" s="1467"/>
    </row>
    <row r="30" spans="1:15" s="185" customFormat="1" ht="12" customHeight="1">
      <c r="A30" s="270" t="s">
        <v>2361</v>
      </c>
      <c r="B30" s="1143" t="s">
        <v>2362</v>
      </c>
      <c r="C30" s="272" t="s">
        <v>870</v>
      </c>
      <c r="D30" s="1485">
        <v>406478</v>
      </c>
      <c r="E30" s="1485">
        <v>403396</v>
      </c>
      <c r="F30" s="1089"/>
      <c r="G30" s="1159"/>
      <c r="H30" s="1089"/>
      <c r="I30" s="1089"/>
      <c r="J30" s="1089"/>
      <c r="K30" s="1089"/>
      <c r="L30" s="1089"/>
      <c r="M30" s="1089"/>
      <c r="N30" s="1089"/>
      <c r="O30" s="1467"/>
    </row>
    <row r="31" spans="1:15" s="185" customFormat="1" ht="12" customHeight="1">
      <c r="A31" s="1144" t="s">
        <v>532</v>
      </c>
      <c r="B31" s="1143" t="s">
        <v>2363</v>
      </c>
      <c r="C31" s="272" t="s">
        <v>873</v>
      </c>
      <c r="D31" s="1485">
        <v>0</v>
      </c>
      <c r="E31" s="1485">
        <v>0</v>
      </c>
      <c r="F31" s="1089"/>
      <c r="G31" s="1159"/>
      <c r="H31" s="1089"/>
      <c r="I31" s="1089"/>
      <c r="J31" s="1089"/>
      <c r="K31" s="1089"/>
      <c r="L31" s="1089"/>
      <c r="M31" s="1089"/>
      <c r="N31" s="1089"/>
      <c r="O31" s="1467"/>
    </row>
    <row r="32" spans="1:15" s="185" customFormat="1" ht="12" customHeight="1">
      <c r="A32" s="1138" t="s">
        <v>871</v>
      </c>
      <c r="B32" s="1136" t="s">
        <v>863</v>
      </c>
      <c r="C32" s="1137" t="s">
        <v>876</v>
      </c>
      <c r="D32" s="1490">
        <v>0</v>
      </c>
      <c r="E32" s="1490">
        <v>0</v>
      </c>
      <c r="F32" s="1089"/>
      <c r="G32" s="1159"/>
      <c r="H32" s="1089"/>
      <c r="I32" s="1089"/>
      <c r="J32" s="1089"/>
      <c r="K32" s="1089"/>
      <c r="L32" s="1089"/>
      <c r="M32" s="1089"/>
      <c r="N32" s="1089"/>
      <c r="O32" s="1467"/>
    </row>
    <row r="33" spans="1:15" s="185" customFormat="1" ht="12" customHeight="1">
      <c r="A33" s="1138" t="s">
        <v>877</v>
      </c>
      <c r="B33" s="1139" t="s">
        <v>866</v>
      </c>
      <c r="C33" s="1137" t="s">
        <v>879</v>
      </c>
      <c r="D33" s="1490">
        <v>9730</v>
      </c>
      <c r="E33" s="1490">
        <v>0</v>
      </c>
      <c r="F33" s="1089"/>
      <c r="G33" s="1159"/>
      <c r="H33" s="1089"/>
      <c r="I33" s="1089"/>
      <c r="J33" s="1089"/>
      <c r="K33" s="1089"/>
      <c r="L33" s="1089"/>
      <c r="M33" s="1089"/>
      <c r="N33" s="1089"/>
      <c r="O33" s="1467"/>
    </row>
    <row r="34" spans="1:15" s="185" customFormat="1" ht="12" customHeight="1">
      <c r="A34" s="1138" t="s">
        <v>886</v>
      </c>
      <c r="B34" s="1139" t="s">
        <v>872</v>
      </c>
      <c r="C34" s="1137" t="s">
        <v>882</v>
      </c>
      <c r="D34" s="1490">
        <f>86546-9730</f>
        <v>76816</v>
      </c>
      <c r="E34" s="1490">
        <v>9696</v>
      </c>
      <c r="F34" s="1089"/>
      <c r="G34" s="1159"/>
      <c r="H34" s="1089"/>
      <c r="I34" s="1089"/>
      <c r="J34" s="1089"/>
      <c r="K34" s="1089"/>
      <c r="L34" s="1089"/>
      <c r="M34" s="1089"/>
      <c r="N34" s="1089"/>
      <c r="O34" s="1467"/>
    </row>
    <row r="35" spans="1:15" s="275" customFormat="1">
      <c r="A35" s="273" t="s">
        <v>973</v>
      </c>
      <c r="B35" s="1145" t="s">
        <v>2364</v>
      </c>
      <c r="C35" s="283" t="s">
        <v>885</v>
      </c>
      <c r="D35" s="1487">
        <f>D10-D18</f>
        <v>200571</v>
      </c>
      <c r="E35" s="1487">
        <f>E10-E18</f>
        <v>349987</v>
      </c>
      <c r="F35" s="1160"/>
      <c r="G35" s="1607"/>
      <c r="H35" s="1607"/>
      <c r="I35" s="1607"/>
      <c r="J35" s="1607"/>
      <c r="K35" s="1607"/>
      <c r="L35" s="1607"/>
      <c r="M35" s="1607"/>
      <c r="N35" s="1607"/>
      <c r="O35" s="1467"/>
    </row>
    <row r="36" spans="1:15" s="275" customFormat="1" ht="12" customHeight="1">
      <c r="A36" s="273" t="s">
        <v>880</v>
      </c>
      <c r="B36" s="1145" t="s">
        <v>2365</v>
      </c>
      <c r="C36" s="274" t="s">
        <v>888</v>
      </c>
      <c r="D36" s="894">
        <f>SUM(D11:D15)-SUM(D19:D22)</f>
        <v>1721905</v>
      </c>
      <c r="E36" s="894">
        <f>SUM(E11:E15)-SUM(E19:E22)</f>
        <v>1855967</v>
      </c>
      <c r="F36" s="1160"/>
      <c r="G36" s="1607"/>
      <c r="H36" s="1607"/>
      <c r="I36" s="1607"/>
      <c r="J36" s="1607"/>
      <c r="K36" s="1161"/>
      <c r="L36" s="1161"/>
      <c r="M36" s="1161"/>
      <c r="N36" s="1161"/>
      <c r="O36" s="1467"/>
    </row>
    <row r="37" spans="1:15" s="275" customFormat="1" ht="12" customHeight="1">
      <c r="A37" s="273" t="s">
        <v>942</v>
      </c>
      <c r="B37" s="1145" t="s">
        <v>2366</v>
      </c>
      <c r="C37" s="274" t="s">
        <v>891</v>
      </c>
      <c r="D37" s="894">
        <f>SUM(D38,D39,D43,D47,D50,D51,D52)</f>
        <v>46176</v>
      </c>
      <c r="E37" s="894">
        <f>SUM(E38,E39,E43,E47,E50,E51,E52)</f>
        <v>29145</v>
      </c>
      <c r="F37" s="1160"/>
      <c r="G37" s="1607"/>
      <c r="H37" s="1607"/>
      <c r="I37" s="1607"/>
      <c r="J37" s="1607"/>
      <c r="K37" s="1161"/>
      <c r="L37" s="1161"/>
      <c r="M37" s="1161"/>
      <c r="N37" s="1161"/>
      <c r="O37" s="1467"/>
    </row>
    <row r="38" spans="1:15" s="185" customFormat="1" ht="12" customHeight="1">
      <c r="A38" s="1138" t="s">
        <v>2367</v>
      </c>
      <c r="B38" s="1139" t="s">
        <v>884</v>
      </c>
      <c r="C38" s="1137" t="s">
        <v>894</v>
      </c>
      <c r="D38" s="1490">
        <v>0</v>
      </c>
      <c r="E38" s="1491">
        <v>0</v>
      </c>
      <c r="F38" s="1089"/>
      <c r="G38" s="1159"/>
      <c r="H38" s="1118"/>
      <c r="I38" s="1117"/>
      <c r="J38" s="1117"/>
      <c r="K38" s="1117"/>
      <c r="L38" s="1089"/>
      <c r="M38" s="1089"/>
      <c r="N38" s="1089"/>
      <c r="O38" s="1467"/>
    </row>
    <row r="39" spans="1:15" s="185" customFormat="1" ht="12" customHeight="1">
      <c r="A39" s="1138" t="s">
        <v>2368</v>
      </c>
      <c r="B39" s="1139" t="s">
        <v>2369</v>
      </c>
      <c r="C39" s="1137" t="s">
        <v>897</v>
      </c>
      <c r="D39" s="1490">
        <v>0</v>
      </c>
      <c r="E39" s="1490">
        <v>0</v>
      </c>
      <c r="F39" s="1089"/>
      <c r="G39" s="1159"/>
      <c r="H39" s="1119"/>
      <c r="I39" s="1117"/>
      <c r="J39" s="1123"/>
      <c r="K39" s="1123"/>
      <c r="L39" s="1089"/>
      <c r="M39" s="1089"/>
      <c r="N39" s="1089"/>
      <c r="O39" s="1467"/>
    </row>
    <row r="40" spans="1:15" s="185" customFormat="1" ht="12" customHeight="1">
      <c r="A40" s="1146" t="s">
        <v>2370</v>
      </c>
      <c r="B40" s="1147" t="s">
        <v>2673</v>
      </c>
      <c r="C40" s="1148" t="s">
        <v>900</v>
      </c>
      <c r="D40" s="1492">
        <v>0</v>
      </c>
      <c r="E40" s="1493">
        <v>0</v>
      </c>
      <c r="F40" s="1089"/>
      <c r="G40" s="1159"/>
      <c r="H40" s="1119"/>
      <c r="I40" s="1117"/>
      <c r="J40" s="1117"/>
      <c r="K40" s="1117"/>
      <c r="L40" s="1089"/>
      <c r="M40" s="1089"/>
      <c r="N40" s="1089"/>
      <c r="O40" s="1467"/>
    </row>
    <row r="41" spans="1:15" s="185" customFormat="1" ht="12" customHeight="1">
      <c r="A41" s="1144" t="s">
        <v>532</v>
      </c>
      <c r="B41" s="1149" t="s">
        <v>2674</v>
      </c>
      <c r="C41" s="272" t="s">
        <v>903</v>
      </c>
      <c r="D41" s="1485">
        <v>0</v>
      </c>
      <c r="E41" s="1484">
        <v>0</v>
      </c>
      <c r="F41" s="1089"/>
      <c r="G41" s="1159"/>
      <c r="H41" s="1119"/>
      <c r="I41" s="1117"/>
      <c r="J41" s="1117"/>
      <c r="K41" s="1117"/>
      <c r="L41" s="1089"/>
      <c r="M41" s="1089"/>
      <c r="N41" s="1089"/>
      <c r="O41" s="1467"/>
    </row>
    <row r="42" spans="1:15" s="185" customFormat="1" ht="12" customHeight="1">
      <c r="A42" s="1144" t="s">
        <v>535</v>
      </c>
      <c r="B42" s="1149" t="s">
        <v>896</v>
      </c>
      <c r="C42" s="272" t="s">
        <v>906</v>
      </c>
      <c r="D42" s="1485">
        <v>0</v>
      </c>
      <c r="E42" s="1484">
        <v>0</v>
      </c>
      <c r="F42" s="1089"/>
      <c r="G42" s="1159"/>
      <c r="H42" s="1123"/>
      <c r="I42" s="1117"/>
      <c r="J42" s="1117"/>
      <c r="K42" s="1117"/>
      <c r="L42" s="1089"/>
      <c r="M42" s="1089"/>
      <c r="N42" s="1089"/>
      <c r="O42" s="1467"/>
    </row>
    <row r="43" spans="1:15" s="185" customFormat="1" ht="12" customHeight="1">
      <c r="A43" s="1138" t="s">
        <v>2371</v>
      </c>
      <c r="B43" s="1139" t="s">
        <v>2372</v>
      </c>
      <c r="C43" s="1137" t="s">
        <v>909</v>
      </c>
      <c r="D43" s="1490">
        <v>0</v>
      </c>
      <c r="E43" s="1490">
        <v>0</v>
      </c>
      <c r="F43" s="1089"/>
      <c r="G43" s="1159"/>
      <c r="H43" s="1124"/>
      <c r="I43" s="1124"/>
      <c r="J43" s="1162"/>
      <c r="K43" s="1162"/>
      <c r="L43" s="1089"/>
      <c r="M43" s="1089"/>
      <c r="N43" s="1089"/>
      <c r="O43" s="1467"/>
    </row>
    <row r="44" spans="1:15" s="185" customFormat="1" ht="12" customHeight="1">
      <c r="A44" s="270" t="s">
        <v>2373</v>
      </c>
      <c r="B44" s="1149" t="s">
        <v>2675</v>
      </c>
      <c r="C44" s="272" t="s">
        <v>912</v>
      </c>
      <c r="D44" s="1485">
        <v>0</v>
      </c>
      <c r="E44" s="1484">
        <v>0</v>
      </c>
      <c r="F44" s="1089"/>
      <c r="G44" s="1159"/>
      <c r="H44" s="1089"/>
      <c r="I44" s="1089"/>
      <c r="J44" s="1089"/>
      <c r="K44" s="1089"/>
      <c r="L44" s="1089"/>
      <c r="M44" s="1089"/>
      <c r="N44" s="1089"/>
      <c r="O44" s="1467"/>
    </row>
    <row r="45" spans="1:15" s="185" customFormat="1" ht="12" customHeight="1">
      <c r="A45" s="1144" t="s">
        <v>532</v>
      </c>
      <c r="B45" s="1149" t="s">
        <v>2676</v>
      </c>
      <c r="C45" s="272" t="s">
        <v>915</v>
      </c>
      <c r="D45" s="1485">
        <v>0</v>
      </c>
      <c r="E45" s="1484">
        <v>0</v>
      </c>
      <c r="F45" s="1089"/>
      <c r="G45" s="1159"/>
      <c r="H45" s="1118"/>
      <c r="I45" s="1117"/>
      <c r="J45" s="1117"/>
      <c r="K45" s="1117"/>
      <c r="L45" s="1089"/>
      <c r="M45" s="1089"/>
      <c r="N45" s="1089"/>
      <c r="O45" s="1467"/>
    </row>
    <row r="46" spans="1:15" s="185" customFormat="1" ht="12" customHeight="1">
      <c r="A46" s="1144" t="s">
        <v>535</v>
      </c>
      <c r="B46" s="1149" t="s">
        <v>2374</v>
      </c>
      <c r="C46" s="272" t="s">
        <v>918</v>
      </c>
      <c r="D46" s="1485">
        <v>0</v>
      </c>
      <c r="E46" s="1484">
        <v>0</v>
      </c>
      <c r="F46" s="1089"/>
      <c r="G46" s="1159"/>
      <c r="H46" s="1119"/>
      <c r="I46" s="1117"/>
      <c r="J46" s="1123"/>
      <c r="K46" s="1123"/>
      <c r="L46" s="1089"/>
      <c r="M46" s="1089"/>
      <c r="N46" s="1089"/>
      <c r="O46" s="1467"/>
    </row>
    <row r="47" spans="1:15" s="185" customFormat="1" ht="12" customHeight="1">
      <c r="A47" s="1138" t="s">
        <v>2375</v>
      </c>
      <c r="B47" s="1139" t="s">
        <v>2376</v>
      </c>
      <c r="C47" s="1137" t="s">
        <v>921</v>
      </c>
      <c r="D47" s="1490"/>
      <c r="E47" s="1490">
        <v>31</v>
      </c>
      <c r="F47" s="1089"/>
      <c r="G47" s="1159"/>
      <c r="H47" s="1119"/>
      <c r="I47" s="1117"/>
      <c r="J47" s="1117"/>
      <c r="K47" s="1117"/>
      <c r="L47" s="1089"/>
      <c r="M47" s="1089"/>
      <c r="N47" s="1089"/>
      <c r="O47" s="1467"/>
    </row>
    <row r="48" spans="1:15" s="185" customFormat="1" ht="12" customHeight="1">
      <c r="A48" s="270" t="s">
        <v>2377</v>
      </c>
      <c r="B48" s="1149" t="s">
        <v>2677</v>
      </c>
      <c r="C48" s="272" t="s">
        <v>924</v>
      </c>
      <c r="D48" s="1485">
        <v>0</v>
      </c>
      <c r="E48" s="1485">
        <v>0</v>
      </c>
      <c r="F48" s="1089"/>
      <c r="G48" s="1159"/>
      <c r="H48" s="1119"/>
      <c r="I48" s="1117"/>
      <c r="J48" s="1117"/>
      <c r="K48" s="1117"/>
      <c r="L48" s="1089"/>
      <c r="M48" s="1089"/>
      <c r="N48" s="1089"/>
      <c r="O48" s="1467"/>
    </row>
    <row r="49" spans="1:15" s="185" customFormat="1" ht="12" customHeight="1">
      <c r="A49" s="1144" t="s">
        <v>532</v>
      </c>
      <c r="B49" s="1149" t="s">
        <v>2378</v>
      </c>
      <c r="C49" s="272" t="s">
        <v>927</v>
      </c>
      <c r="D49" s="1485"/>
      <c r="E49" s="1485">
        <v>31</v>
      </c>
      <c r="F49" s="1089"/>
      <c r="G49" s="1159"/>
      <c r="H49" s="1123"/>
      <c r="I49" s="1117"/>
      <c r="J49" s="1117"/>
      <c r="K49" s="1117"/>
      <c r="L49" s="1089"/>
      <c r="M49" s="1089"/>
      <c r="N49" s="1089"/>
      <c r="O49" s="1467"/>
    </row>
    <row r="50" spans="1:15" s="185" customFormat="1" ht="12" customHeight="1">
      <c r="A50" s="1138" t="s">
        <v>2379</v>
      </c>
      <c r="B50" s="1139" t="s">
        <v>923</v>
      </c>
      <c r="C50" s="1137" t="s">
        <v>930</v>
      </c>
      <c r="D50" s="1490">
        <v>46176</v>
      </c>
      <c r="E50" s="1490">
        <v>29114</v>
      </c>
      <c r="F50" s="1089"/>
      <c r="G50" s="1159"/>
      <c r="H50" s="1124"/>
      <c r="I50" s="1124"/>
      <c r="J50" s="1162"/>
      <c r="K50" s="1162"/>
      <c r="L50" s="1089"/>
      <c r="M50" s="1089"/>
      <c r="N50" s="1089"/>
      <c r="O50" s="1467"/>
    </row>
    <row r="51" spans="1:15" s="185" customFormat="1" ht="12" customHeight="1">
      <c r="A51" s="1138" t="s">
        <v>2380</v>
      </c>
      <c r="B51" s="1139" t="s">
        <v>908</v>
      </c>
      <c r="C51" s="1137" t="s">
        <v>933</v>
      </c>
      <c r="D51" s="1490">
        <v>0</v>
      </c>
      <c r="E51" s="1490">
        <v>0</v>
      </c>
      <c r="F51" s="1089"/>
      <c r="G51" s="1159"/>
      <c r="H51" s="1089"/>
      <c r="I51" s="1089"/>
      <c r="J51" s="1089"/>
      <c r="K51" s="1089"/>
      <c r="L51" s="1089"/>
      <c r="M51" s="1089"/>
      <c r="N51" s="1089"/>
      <c r="O51" s="1467"/>
    </row>
    <row r="52" spans="1:15" s="185" customFormat="1" ht="12" customHeight="1">
      <c r="A52" s="1138" t="s">
        <v>2381</v>
      </c>
      <c r="B52" s="1139" t="s">
        <v>929</v>
      </c>
      <c r="C52" s="1137" t="s">
        <v>936</v>
      </c>
      <c r="D52" s="1490">
        <v>0</v>
      </c>
      <c r="E52" s="1490">
        <v>0</v>
      </c>
      <c r="F52" s="1089"/>
      <c r="G52" s="1159"/>
      <c r="H52" s="1089"/>
      <c r="I52" s="1089"/>
      <c r="J52" s="1089"/>
      <c r="K52" s="1089"/>
      <c r="L52" s="1089"/>
      <c r="M52" s="1089"/>
      <c r="N52" s="1089"/>
      <c r="O52" s="1467"/>
    </row>
    <row r="53" spans="1:15" s="207" customFormat="1" ht="12" customHeight="1">
      <c r="A53" s="276" t="s">
        <v>942</v>
      </c>
      <c r="B53" s="1134" t="s">
        <v>2382</v>
      </c>
      <c r="C53" s="277" t="s">
        <v>939</v>
      </c>
      <c r="D53" s="1488">
        <f>D60+D62</f>
        <v>33910</v>
      </c>
      <c r="E53" s="1488">
        <f>E60+E62</f>
        <v>40476</v>
      </c>
      <c r="F53" s="1160"/>
      <c r="G53" s="1607"/>
      <c r="H53" s="1607"/>
      <c r="I53" s="1607"/>
      <c r="J53" s="1607"/>
      <c r="K53" s="1091"/>
      <c r="L53" s="1091"/>
      <c r="M53" s="1091"/>
      <c r="N53" s="1091"/>
      <c r="O53" s="1467"/>
    </row>
    <row r="54" spans="1:15" s="185" customFormat="1" ht="12" customHeight="1">
      <c r="A54" s="1138" t="s">
        <v>904</v>
      </c>
      <c r="B54" s="1139" t="s">
        <v>887</v>
      </c>
      <c r="C54" s="1137" t="s">
        <v>941</v>
      </c>
      <c r="D54" s="1490">
        <v>0</v>
      </c>
      <c r="E54" s="1491">
        <v>0</v>
      </c>
      <c r="F54" s="1089"/>
      <c r="G54" s="1159"/>
      <c r="H54" s="1089"/>
      <c r="I54" s="1089"/>
      <c r="J54" s="1089"/>
      <c r="K54" s="1089"/>
      <c r="L54" s="1089"/>
      <c r="M54" s="1089"/>
      <c r="N54" s="1089"/>
      <c r="O54" s="1467"/>
    </row>
    <row r="55" spans="1:15" s="185" customFormat="1" ht="12" customHeight="1">
      <c r="A55" s="1138" t="s">
        <v>910</v>
      </c>
      <c r="B55" s="1139" t="s">
        <v>905</v>
      </c>
      <c r="C55" s="1137" t="s">
        <v>944</v>
      </c>
      <c r="D55" s="1490">
        <v>0</v>
      </c>
      <c r="E55" s="1491">
        <v>0</v>
      </c>
      <c r="F55" s="1089"/>
      <c r="G55" s="1159"/>
      <c r="H55" s="1122"/>
      <c r="I55" s="1608"/>
      <c r="J55" s="1608"/>
      <c r="K55" s="1608"/>
      <c r="L55" s="1608"/>
      <c r="M55" s="1089"/>
      <c r="N55" s="1089"/>
      <c r="O55" s="1467"/>
    </row>
    <row r="56" spans="1:15" s="185" customFormat="1" ht="12" customHeight="1">
      <c r="A56" s="1138" t="s">
        <v>913</v>
      </c>
      <c r="B56" s="1139" t="s">
        <v>2383</v>
      </c>
      <c r="C56" s="1137" t="s">
        <v>947</v>
      </c>
      <c r="D56" s="1490">
        <v>0</v>
      </c>
      <c r="E56" s="1491">
        <v>0</v>
      </c>
      <c r="F56" s="1089"/>
      <c r="G56" s="1159"/>
      <c r="H56" s="1123"/>
      <c r="I56" s="1123"/>
      <c r="J56" s="1123"/>
      <c r="K56" s="1123"/>
      <c r="L56" s="1123"/>
      <c r="M56" s="1089"/>
      <c r="N56" s="1089"/>
      <c r="O56" s="1467"/>
    </row>
    <row r="57" spans="1:15" s="185" customFormat="1" ht="12" customHeight="1">
      <c r="A57" s="1138" t="s">
        <v>919</v>
      </c>
      <c r="B57" s="1139" t="s">
        <v>2384</v>
      </c>
      <c r="C57" s="1137" t="s">
        <v>950</v>
      </c>
      <c r="D57" s="1490">
        <v>0</v>
      </c>
      <c r="E57" s="1490">
        <v>0</v>
      </c>
      <c r="F57" s="1089"/>
      <c r="G57" s="1159"/>
      <c r="H57" s="1123"/>
      <c r="I57" s="1117"/>
      <c r="J57" s="1117"/>
      <c r="K57" s="1117"/>
      <c r="L57" s="1117"/>
      <c r="M57" s="1089"/>
      <c r="N57" s="1089"/>
      <c r="O57" s="1467"/>
    </row>
    <row r="58" spans="1:15" s="185" customFormat="1" ht="12" customHeight="1">
      <c r="A58" s="270" t="s">
        <v>2385</v>
      </c>
      <c r="B58" s="1149" t="s">
        <v>2678</v>
      </c>
      <c r="C58" s="272" t="s">
        <v>952</v>
      </c>
      <c r="D58" s="1485">
        <v>0</v>
      </c>
      <c r="E58" s="1484">
        <v>0</v>
      </c>
      <c r="F58" s="1089"/>
      <c r="G58" s="1159"/>
      <c r="H58" s="1123"/>
      <c r="I58" s="1117"/>
      <c r="J58" s="1117"/>
      <c r="K58" s="1117"/>
      <c r="L58" s="1117"/>
      <c r="M58" s="1089"/>
      <c r="N58" s="1089"/>
      <c r="O58" s="1467"/>
    </row>
    <row r="59" spans="1:15" s="185" customFormat="1" ht="12" customHeight="1">
      <c r="A59" s="1144" t="s">
        <v>532</v>
      </c>
      <c r="B59" s="1149" t="s">
        <v>2386</v>
      </c>
      <c r="C59" s="272" t="s">
        <v>954</v>
      </c>
      <c r="D59" s="1485">
        <v>0</v>
      </c>
      <c r="E59" s="1484">
        <v>0</v>
      </c>
      <c r="F59" s="1089"/>
      <c r="G59" s="1159"/>
      <c r="H59" s="1124"/>
      <c r="I59" s="1162"/>
      <c r="J59" s="1162"/>
      <c r="K59" s="1162"/>
      <c r="L59" s="1162"/>
      <c r="M59" s="1089"/>
      <c r="N59" s="1089"/>
      <c r="O59" s="1467"/>
    </row>
    <row r="60" spans="1:15" s="185" customFormat="1" ht="12" customHeight="1">
      <c r="A60" s="1138" t="s">
        <v>925</v>
      </c>
      <c r="B60" s="1139" t="s">
        <v>926</v>
      </c>
      <c r="C60" s="1137" t="s">
        <v>957</v>
      </c>
      <c r="D60" s="1490">
        <v>28482</v>
      </c>
      <c r="E60" s="1490">
        <v>35174</v>
      </c>
      <c r="F60" s="1089"/>
      <c r="G60" s="1159"/>
      <c r="H60" s="1089"/>
      <c r="I60" s="1089"/>
      <c r="J60" s="1089"/>
      <c r="K60" s="1089"/>
      <c r="L60" s="1089"/>
      <c r="M60" s="1089"/>
      <c r="N60" s="1089"/>
      <c r="O60" s="1467"/>
    </row>
    <row r="61" spans="1:15" s="185" customFormat="1" ht="12" customHeight="1">
      <c r="A61" s="1138" t="s">
        <v>931</v>
      </c>
      <c r="B61" s="1139" t="s">
        <v>911</v>
      </c>
      <c r="C61" s="1137" t="s">
        <v>960</v>
      </c>
      <c r="D61" s="1490">
        <v>0</v>
      </c>
      <c r="E61" s="1490">
        <v>0</v>
      </c>
      <c r="F61" s="1089"/>
      <c r="G61" s="1159"/>
      <c r="H61" s="1089"/>
      <c r="I61" s="1089"/>
      <c r="J61" s="1089"/>
      <c r="K61" s="1089"/>
      <c r="L61" s="1089"/>
      <c r="M61" s="1089"/>
      <c r="N61" s="1089"/>
      <c r="O61" s="1467"/>
    </row>
    <row r="62" spans="1:15" s="185" customFormat="1" ht="12" customHeight="1">
      <c r="A62" s="1138" t="s">
        <v>2387</v>
      </c>
      <c r="B62" s="1139" t="s">
        <v>932</v>
      </c>
      <c r="C62" s="1137" t="s">
        <v>962</v>
      </c>
      <c r="D62" s="1490">
        <v>5428</v>
      </c>
      <c r="E62" s="1490">
        <v>5302</v>
      </c>
      <c r="F62" s="1089"/>
      <c r="G62" s="1159"/>
      <c r="H62" s="1089"/>
      <c r="I62" s="1089"/>
      <c r="J62" s="1089"/>
      <c r="K62" s="1089"/>
      <c r="L62" s="1089"/>
      <c r="M62" s="1089"/>
      <c r="N62" s="1089"/>
      <c r="O62" s="1467"/>
    </row>
    <row r="63" spans="1:15" s="275" customFormat="1">
      <c r="A63" s="276" t="s">
        <v>973</v>
      </c>
      <c r="B63" s="1145" t="s">
        <v>2388</v>
      </c>
      <c r="C63" s="283" t="s">
        <v>965</v>
      </c>
      <c r="D63" s="894">
        <f>D37-D53</f>
        <v>12266</v>
      </c>
      <c r="E63" s="894">
        <f>E37-E53</f>
        <v>-11331</v>
      </c>
      <c r="F63" s="1160"/>
      <c r="G63" s="1607"/>
      <c r="H63" s="1607"/>
      <c r="I63" s="1607"/>
      <c r="J63" s="1607"/>
      <c r="K63" s="1161"/>
      <c r="L63" s="1161"/>
      <c r="M63" s="1161"/>
      <c r="N63" s="1161"/>
      <c r="O63" s="1467"/>
    </row>
    <row r="64" spans="1:15" s="185" customFormat="1" ht="12" customHeight="1">
      <c r="A64" s="278" t="s">
        <v>2389</v>
      </c>
      <c r="B64" s="1145" t="s">
        <v>2390</v>
      </c>
      <c r="C64" s="280" t="s">
        <v>968</v>
      </c>
      <c r="D64" s="896">
        <f>SUM(D35,D63)</f>
        <v>212837</v>
      </c>
      <c r="E64" s="896">
        <f>SUM(E35,E63)</f>
        <v>338656</v>
      </c>
      <c r="F64" s="1163"/>
      <c r="G64" s="1607"/>
      <c r="H64" s="1607"/>
      <c r="I64" s="1607"/>
      <c r="J64" s="1607"/>
      <c r="K64" s="1089"/>
      <c r="L64" s="1089"/>
      <c r="M64" s="1089"/>
      <c r="N64" s="1089"/>
      <c r="O64" s="1467"/>
    </row>
    <row r="65" spans="1:15" s="185" customFormat="1" ht="12" customHeight="1">
      <c r="A65" s="1138" t="s">
        <v>2391</v>
      </c>
      <c r="B65" s="1139" t="s">
        <v>2392</v>
      </c>
      <c r="C65" s="1137" t="s">
        <v>970</v>
      </c>
      <c r="D65" s="1508">
        <f>SUM(D66:D67)</f>
        <v>53262</v>
      </c>
      <c r="E65" s="1508">
        <f>SUM(E66:E67)</f>
        <v>65220</v>
      </c>
      <c r="F65" s="1087"/>
      <c r="G65" s="1607"/>
      <c r="H65" s="1607"/>
      <c r="I65" s="1607"/>
      <c r="J65" s="1607"/>
      <c r="K65" s="1089"/>
      <c r="L65" s="1089"/>
      <c r="M65" s="1089"/>
      <c r="N65" s="1089"/>
      <c r="O65" s="1467"/>
    </row>
    <row r="66" spans="1:15" s="185" customFormat="1" ht="12" customHeight="1">
      <c r="A66" s="270" t="s">
        <v>2393</v>
      </c>
      <c r="B66" s="1150" t="s">
        <v>949</v>
      </c>
      <c r="C66" s="272" t="s">
        <v>972</v>
      </c>
      <c r="D66" s="1484">
        <v>125102</v>
      </c>
      <c r="E66" s="1484">
        <v>156065</v>
      </c>
      <c r="F66" s="1089"/>
      <c r="G66" s="1159"/>
      <c r="H66" s="1089"/>
      <c r="I66" s="1089"/>
      <c r="J66" s="1089"/>
      <c r="K66" s="1089"/>
      <c r="L66" s="1089"/>
      <c r="M66" s="1089"/>
      <c r="N66" s="1089"/>
      <c r="O66" s="1467"/>
    </row>
    <row r="67" spans="1:15" s="275" customFormat="1" ht="12" customHeight="1">
      <c r="A67" s="1144" t="s">
        <v>532</v>
      </c>
      <c r="B67" s="1150" t="s">
        <v>2394</v>
      </c>
      <c r="C67" s="272" t="s">
        <v>975</v>
      </c>
      <c r="D67" s="1484">
        <v>-71840</v>
      </c>
      <c r="E67" s="1484">
        <v>-90845</v>
      </c>
      <c r="F67" s="1161"/>
      <c r="G67" s="1161"/>
      <c r="H67" s="1161"/>
      <c r="I67" s="1161"/>
      <c r="J67" s="1161"/>
      <c r="K67" s="1161"/>
      <c r="L67" s="1161"/>
      <c r="M67" s="1161"/>
      <c r="N67" s="1161"/>
      <c r="O67" s="1467"/>
    </row>
    <row r="68" spans="1:15" ht="12" customHeight="1">
      <c r="A68" s="1138" t="s">
        <v>945</v>
      </c>
      <c r="B68" s="1136" t="s">
        <v>2395</v>
      </c>
      <c r="C68" s="1137" t="s">
        <v>978</v>
      </c>
      <c r="D68" s="1494">
        <v>0</v>
      </c>
      <c r="E68" s="1491">
        <v>0</v>
      </c>
      <c r="F68" s="1100"/>
      <c r="G68" s="1164"/>
      <c r="H68" s="1100"/>
      <c r="I68" s="1100"/>
      <c r="J68" s="1100"/>
      <c r="K68" s="1100"/>
      <c r="L68" s="1100"/>
      <c r="M68" s="1100"/>
      <c r="N68" s="1100"/>
      <c r="O68" s="1467"/>
    </row>
    <row r="69" spans="1:15" ht="12" customHeight="1">
      <c r="A69" s="287" t="s">
        <v>2389</v>
      </c>
      <c r="B69" s="1151" t="s">
        <v>2396</v>
      </c>
      <c r="C69" s="289" t="s">
        <v>980</v>
      </c>
      <c r="D69" s="898">
        <f>D64-D65-D68</f>
        <v>159575</v>
      </c>
      <c r="E69" s="898">
        <f>E64-E65-E68</f>
        <v>273436</v>
      </c>
      <c r="F69" s="1100"/>
      <c r="G69" s="1165"/>
      <c r="H69" s="1100"/>
      <c r="I69" s="1100"/>
      <c r="J69" s="1100"/>
      <c r="K69" s="1100"/>
      <c r="L69" s="1100"/>
      <c r="M69" s="1100"/>
      <c r="N69" s="1100"/>
      <c r="O69" s="1467"/>
    </row>
    <row r="70" spans="1:15" ht="12" customHeight="1">
      <c r="F70" s="1100"/>
      <c r="G70" s="1165"/>
      <c r="H70" s="1100"/>
      <c r="I70" s="1100"/>
      <c r="J70" s="1100"/>
      <c r="K70" s="1100"/>
      <c r="L70" s="1100"/>
      <c r="M70" s="1100"/>
      <c r="N70" s="1100"/>
      <c r="O70" s="1467"/>
    </row>
    <row r="71" spans="1:15" ht="12" customHeight="1">
      <c r="F71" s="1100"/>
      <c r="G71" s="1165"/>
      <c r="H71" s="1100"/>
      <c r="I71" s="1100"/>
      <c r="J71" s="1100"/>
      <c r="K71" s="1100"/>
      <c r="L71" s="1100"/>
      <c r="M71" s="1100"/>
      <c r="N71" s="1100"/>
    </row>
    <row r="72" spans="1:15" ht="12" customHeight="1">
      <c r="G72" s="1152"/>
    </row>
    <row r="73" spans="1:15" ht="12" customHeight="1">
      <c r="E73" s="290"/>
      <c r="G73" s="1152"/>
    </row>
    <row r="74" spans="1:15" ht="12" customHeight="1">
      <c r="G74" s="1152"/>
    </row>
    <row r="75" spans="1:15" ht="12" customHeight="1"/>
    <row r="76" spans="1:15" ht="12" customHeight="1"/>
    <row r="77" spans="1:15" ht="12" customHeight="1"/>
    <row r="78" spans="1:15" ht="12" customHeight="1"/>
    <row r="79" spans="1:15" ht="12" customHeight="1"/>
    <row r="80" spans="1:15" ht="12" customHeight="1"/>
    <row r="81" ht="12" customHeight="1"/>
    <row r="82" ht="12" customHeight="1"/>
    <row r="83" ht="12" customHeight="1"/>
    <row r="84" ht="12" customHeight="1"/>
    <row r="85" ht="12" customHeight="1"/>
    <row r="86" ht="12" customHeight="1"/>
    <row r="87" ht="12" customHeight="1"/>
    <row r="88" ht="12" customHeight="1"/>
  </sheetData>
  <mergeCells count="15">
    <mergeCell ref="K55:L55"/>
    <mergeCell ref="G63:J63"/>
    <mergeCell ref="G10:J10"/>
    <mergeCell ref="K10:N10"/>
    <mergeCell ref="G18:J18"/>
    <mergeCell ref="K18:N18"/>
    <mergeCell ref="G23:J23"/>
    <mergeCell ref="G35:J35"/>
    <mergeCell ref="K35:N35"/>
    <mergeCell ref="G64:J64"/>
    <mergeCell ref="G65:J65"/>
    <mergeCell ref="G36:J36"/>
    <mergeCell ref="G37:J37"/>
    <mergeCell ref="G53:J53"/>
    <mergeCell ref="I55:J55"/>
  </mergeCells>
  <pageMargins left="0.64" right="0.19685039370078741" top="0.28000000000000003" bottom="0.59055118110236227" header="0.21" footer="0.31496062992125984"/>
  <pageSetup paperSize="9" fitToWidth="2" orientation="portrait" horizontalDpi="360" verticalDpi="300" r:id="rId1"/>
  <headerFooter alignWithMargins="0">
    <oddFooter>&amp;C&amp;"EYlogo,Regular"&amp;8e&amp;R&amp;"Times New Roman CE,Tučné"&amp;5Lead schedules v2.0</oddFooter>
  </headerFooter>
  <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outlinePr summaryBelow="0" summaryRight="0"/>
  </sheetPr>
  <dimension ref="A1:AK54"/>
  <sheetViews>
    <sheetView showGridLines="0" view="pageBreakPreview" zoomScaleNormal="100" zoomScaleSheetLayoutView="100" workbookViewId="0">
      <selection activeCell="AT11" sqref="AT11"/>
    </sheetView>
  </sheetViews>
  <sheetFormatPr defaultColWidth="9.140625" defaultRowHeight="12.75"/>
  <cols>
    <col min="1" max="37" width="2.5703125" style="390" customWidth="1"/>
    <col min="38" max="38" width="1.85546875" style="390" customWidth="1"/>
    <col min="39" max="45" width="2.5703125" style="390" customWidth="1"/>
    <col min="46" max="46" width="7.7109375" style="390" customWidth="1"/>
    <col min="47" max="61" width="2.5703125" style="390" customWidth="1"/>
    <col min="62" max="16384" width="9.140625" style="390"/>
  </cols>
  <sheetData>
    <row r="1" spans="1:37" s="500" customFormat="1" ht="9.75">
      <c r="C1" s="501" t="s">
        <v>2225</v>
      </c>
    </row>
    <row r="2" spans="1:37" s="397" customFormat="1" ht="21" customHeight="1">
      <c r="C2" s="499" t="s">
        <v>2226</v>
      </c>
      <c r="D2" s="498"/>
      <c r="E2" s="498"/>
      <c r="F2" s="498"/>
      <c r="G2" s="498"/>
      <c r="H2" s="498"/>
      <c r="I2" s="498"/>
      <c r="J2" s="497"/>
      <c r="N2" s="496" t="s">
        <v>2227</v>
      </c>
    </row>
    <row r="3" spans="1:37" ht="13.5" thickBot="1">
      <c r="N3" s="1291" t="s">
        <v>2228</v>
      </c>
      <c r="O3" s="1320"/>
      <c r="P3" s="1320"/>
    </row>
    <row r="4" spans="1:37" ht="28.5" customHeight="1" thickBot="1">
      <c r="L4" s="1344" t="s">
        <v>2229</v>
      </c>
      <c r="M4" s="1323"/>
      <c r="N4" s="1323"/>
      <c r="O4" s="1323"/>
      <c r="P4" s="1323"/>
      <c r="Q4" s="494" t="str">
        <f>+MID('Input data'!$B$11,1,1)</f>
        <v>3</v>
      </c>
      <c r="R4" s="494" t="str">
        <f>+MID('Input data'!$B$11,2,1)</f>
        <v>1</v>
      </c>
      <c r="S4" s="494" t="s">
        <v>1063</v>
      </c>
      <c r="T4" s="494" t="str">
        <f>LEFT('Input data'!B13,1)</f>
        <v>0</v>
      </c>
      <c r="U4" s="494" t="str">
        <f>RIGHT('Input data'!B13,1)</f>
        <v>3</v>
      </c>
      <c r="V4" s="494" t="s">
        <v>1063</v>
      </c>
      <c r="W4" s="494" t="str">
        <f>+LEFT('Input data'!$B$14,1)</f>
        <v>2</v>
      </c>
      <c r="X4" s="494" t="str">
        <f>+MID('Input data'!$B$14,2,1)</f>
        <v>0</v>
      </c>
      <c r="Y4" s="494" t="str">
        <f>+MID('Input data'!$B$14,3,1)</f>
        <v>1</v>
      </c>
      <c r="Z4" s="1035" t="str">
        <f>+MID('Input data'!$B$14,4,1)</f>
        <v>8</v>
      </c>
    </row>
    <row r="5" spans="1:37" ht="6" customHeight="1" thickBot="1"/>
    <row r="6" spans="1:37" s="487" customFormat="1" ht="14.25" customHeight="1">
      <c r="A6" s="490" t="s">
        <v>1065</v>
      </c>
      <c r="B6" s="489"/>
      <c r="C6" s="489"/>
      <c r="D6" s="489"/>
      <c r="E6" s="489"/>
      <c r="F6" s="489"/>
      <c r="G6" s="489"/>
      <c r="H6" s="489"/>
      <c r="I6" s="489"/>
      <c r="J6" s="489"/>
      <c r="K6" s="489"/>
      <c r="L6" s="489"/>
      <c r="M6" s="489"/>
      <c r="N6" s="489"/>
      <c r="O6" s="489"/>
      <c r="P6" s="489"/>
      <c r="Q6" s="489"/>
      <c r="R6" s="489"/>
      <c r="S6" s="488"/>
      <c r="T6" s="489"/>
      <c r="U6" s="489"/>
      <c r="V6" s="489"/>
      <c r="W6" s="489"/>
      <c r="X6" s="489"/>
      <c r="Y6" s="489"/>
      <c r="Z6" s="489"/>
      <c r="AA6" s="489"/>
      <c r="AB6" s="489"/>
      <c r="AC6" s="489"/>
      <c r="AD6" s="489"/>
      <c r="AE6" s="489"/>
      <c r="AF6" s="489"/>
      <c r="AG6" s="489"/>
      <c r="AH6" s="489"/>
      <c r="AI6" s="489"/>
      <c r="AJ6" s="489"/>
      <c r="AK6" s="488"/>
    </row>
    <row r="7" spans="1:37" s="391" customFormat="1" ht="15" customHeight="1">
      <c r="A7" s="403" t="s">
        <v>1066</v>
      </c>
      <c r="B7" s="402"/>
      <c r="C7" s="402"/>
      <c r="D7" s="402"/>
      <c r="E7" s="402"/>
      <c r="F7" s="402"/>
      <c r="G7" s="402"/>
      <c r="H7" s="402"/>
      <c r="I7" s="402"/>
      <c r="J7" s="402"/>
      <c r="K7" s="402"/>
      <c r="L7" s="402"/>
      <c r="M7" s="402"/>
      <c r="N7" s="402"/>
      <c r="O7" s="402"/>
      <c r="P7" s="402"/>
      <c r="Q7" s="402"/>
      <c r="R7" s="402"/>
      <c r="S7" s="486"/>
      <c r="T7" s="402"/>
      <c r="U7" s="402"/>
      <c r="V7" s="402"/>
      <c r="W7" s="402"/>
      <c r="X7" s="402"/>
      <c r="Y7" s="402"/>
      <c r="Z7" s="402"/>
      <c r="AA7" s="402"/>
      <c r="AB7" s="402"/>
      <c r="AC7" s="402"/>
      <c r="AD7" s="402"/>
      <c r="AE7" s="402"/>
      <c r="AF7" s="402"/>
      <c r="AG7" s="402"/>
      <c r="AH7" s="402"/>
      <c r="AI7" s="402"/>
      <c r="AJ7" s="402"/>
      <c r="AK7" s="486"/>
    </row>
    <row r="8" spans="1:37" s="482" customFormat="1" ht="18" customHeight="1" thickBot="1">
      <c r="A8" s="485" t="s">
        <v>1067</v>
      </c>
      <c r="B8" s="484"/>
      <c r="C8" s="484"/>
      <c r="D8" s="484"/>
      <c r="E8" s="485"/>
      <c r="F8" s="484"/>
      <c r="G8" s="484"/>
      <c r="H8" s="484"/>
      <c r="I8" s="484"/>
      <c r="J8" s="484"/>
      <c r="K8" s="484"/>
      <c r="L8" s="484"/>
      <c r="M8" s="484"/>
      <c r="N8" s="484"/>
      <c r="O8" s="484"/>
      <c r="P8" s="484"/>
      <c r="Q8" s="484"/>
      <c r="R8" s="484"/>
      <c r="S8" s="483"/>
      <c r="T8" s="484"/>
      <c r="U8" s="484"/>
      <c r="V8" s="484"/>
      <c r="W8" s="484"/>
      <c r="X8" s="484"/>
      <c r="Y8" s="484"/>
      <c r="Z8" s="484"/>
      <c r="AA8" s="484"/>
      <c r="AB8" s="484"/>
      <c r="AC8" s="484"/>
      <c r="AD8" s="484"/>
      <c r="AE8" s="484"/>
      <c r="AF8" s="484"/>
      <c r="AG8" s="484"/>
      <c r="AH8" s="484"/>
      <c r="AI8" s="484"/>
      <c r="AJ8" s="484"/>
      <c r="AK8" s="483"/>
    </row>
    <row r="9" spans="1:37" s="462" customFormat="1" ht="3.75" customHeight="1" thickBot="1"/>
    <row r="10" spans="1:37" s="462" customFormat="1" ht="14.25" customHeight="1">
      <c r="A10" s="464" t="s">
        <v>1068</v>
      </c>
      <c r="B10" s="463"/>
      <c r="C10" s="463"/>
      <c r="D10" s="463"/>
      <c r="E10" s="463"/>
      <c r="F10" s="463"/>
      <c r="G10" s="463"/>
      <c r="H10" s="463"/>
      <c r="I10" s="407"/>
      <c r="J10" s="406"/>
      <c r="K10" s="480" t="s">
        <v>1069</v>
      </c>
      <c r="L10" s="463"/>
      <c r="M10" s="481"/>
      <c r="N10" s="481"/>
      <c r="O10" s="481"/>
      <c r="P10" s="463"/>
      <c r="Q10" s="480" t="s">
        <v>2230</v>
      </c>
      <c r="R10" s="463"/>
      <c r="S10" s="407"/>
      <c r="T10" s="463"/>
      <c r="U10" s="463"/>
      <c r="V10" s="479"/>
      <c r="W10" s="463"/>
      <c r="X10" s="463"/>
      <c r="Y10" s="463"/>
      <c r="Z10" s="463"/>
      <c r="AA10" s="463"/>
      <c r="AB10" s="463"/>
      <c r="AC10" s="463"/>
      <c r="AD10" s="480" t="s">
        <v>1070</v>
      </c>
      <c r="AE10" s="480"/>
      <c r="AF10" s="480"/>
      <c r="AG10" s="480" t="s">
        <v>1071</v>
      </c>
      <c r="AH10" s="463"/>
      <c r="AI10" s="463"/>
      <c r="AJ10" s="463"/>
      <c r="AK10" s="479"/>
    </row>
    <row r="11" spans="1:37" s="462" customFormat="1" ht="19.5" customHeight="1">
      <c r="A11" s="476" t="str">
        <f>LEFT('Input data'!C24,1)</f>
        <v>2</v>
      </c>
      <c r="B11" s="441" t="str">
        <f>MID('Input data'!$C$24,2,1)</f>
        <v>0</v>
      </c>
      <c r="C11" s="441" t="str">
        <f>MID('Input data'!$C$24,3,1)</f>
        <v>2</v>
      </c>
      <c r="D11" s="441" t="str">
        <f>MID('Input data'!$C$24,4,1)</f>
        <v>0</v>
      </c>
      <c r="E11" s="441" t="str">
        <f>MID('Input data'!$C$24,5,1)</f>
        <v>3</v>
      </c>
      <c r="F11" s="441" t="str">
        <f>MID('Input data'!$C$24,6,1)</f>
        <v>1</v>
      </c>
      <c r="G11" s="441" t="str">
        <f>MID('Input data'!$C$24,7,1)</f>
        <v>9</v>
      </c>
      <c r="H11" s="441" t="str">
        <f>MID('Input data'!$C$24,8,1)</f>
        <v>8</v>
      </c>
      <c r="I11" s="441" t="str">
        <f>MID('Input data'!$C$24,9,1)</f>
        <v>2</v>
      </c>
      <c r="J11" s="448" t="str">
        <f>MID('Input data'!$C$24,10,1)</f>
        <v>9</v>
      </c>
      <c r="K11" s="399"/>
      <c r="L11" s="465"/>
      <c r="M11" s="465"/>
      <c r="N11" s="465"/>
      <c r="O11" s="465"/>
      <c r="P11" s="465"/>
      <c r="Q11" s="465"/>
      <c r="R11" s="465"/>
      <c r="S11" s="465"/>
      <c r="T11" s="465"/>
      <c r="U11" s="465"/>
      <c r="V11" s="471"/>
      <c r="W11" s="470" t="s">
        <v>1072</v>
      </c>
      <c r="X11" s="465"/>
      <c r="Y11" s="465"/>
      <c r="Z11" s="465"/>
      <c r="AA11" s="465"/>
      <c r="AB11" s="470" t="s">
        <v>1073</v>
      </c>
      <c r="AC11" s="465"/>
      <c r="AD11" s="441" t="str">
        <f>MID('Input data'!$B$8,1,1)</f>
        <v>0</v>
      </c>
      <c r="AE11" s="441" t="str">
        <f>MID('Input data'!$B$8,2,1)</f>
        <v>4</v>
      </c>
      <c r="AF11" s="441"/>
      <c r="AG11" s="441" t="str">
        <f>MID('Input data'!$B$9,1,1)</f>
        <v>2</v>
      </c>
      <c r="AH11" s="441" t="str">
        <f>MID('Input data'!$B$9,2,1)</f>
        <v>0</v>
      </c>
      <c r="AI11" s="441" t="str">
        <f>MID('Input data'!$B$9,3,1)</f>
        <v>1</v>
      </c>
      <c r="AJ11" s="441" t="str">
        <f>MID('Input data'!$B$9,4,1)</f>
        <v>7</v>
      </c>
      <c r="AK11" s="471"/>
    </row>
    <row r="12" spans="1:37" s="462" customFormat="1" ht="19.5" customHeight="1" thickBot="1">
      <c r="A12" s="403" t="s">
        <v>1074</v>
      </c>
      <c r="B12" s="465"/>
      <c r="C12" s="465"/>
      <c r="D12" s="465"/>
      <c r="E12" s="465"/>
      <c r="F12" s="465"/>
      <c r="G12" s="465"/>
      <c r="H12" s="399"/>
      <c r="I12" s="399"/>
      <c r="J12" s="398"/>
      <c r="K12" s="399"/>
      <c r="L12" s="478" t="str">
        <f>IF('Input data'!D7="x","x"," ")</f>
        <v>x</v>
      </c>
      <c r="M12" s="470" t="s">
        <v>1075</v>
      </c>
      <c r="N12" s="472"/>
      <c r="O12" s="472"/>
      <c r="P12" s="472"/>
      <c r="Q12" s="472"/>
      <c r="R12" s="478" t="str">
        <f>IF('Input data'!D18="x","x"," ")</f>
        <v xml:space="preserve"> </v>
      </c>
      <c r="S12" s="470" t="s">
        <v>2231</v>
      </c>
      <c r="T12" s="465"/>
      <c r="U12" s="465"/>
      <c r="V12" s="471"/>
      <c r="W12" s="477"/>
      <c r="X12" s="467"/>
      <c r="Y12" s="467"/>
      <c r="Z12" s="467"/>
      <c r="AA12" s="467"/>
      <c r="AB12" s="466" t="s">
        <v>1077</v>
      </c>
      <c r="AC12" s="467"/>
      <c r="AD12" s="439" t="str">
        <f>MID('Input data'!$B$13,1,1)</f>
        <v>0</v>
      </c>
      <c r="AE12" s="439" t="str">
        <f>MID('Input data'!$B$13,2,1)</f>
        <v>3</v>
      </c>
      <c r="AF12" s="439"/>
      <c r="AG12" s="439" t="str">
        <f>MID('Input data'!$B$14,1,1)</f>
        <v>2</v>
      </c>
      <c r="AH12" s="439" t="str">
        <f>MID('Input data'!$B$14,2,1)</f>
        <v>0</v>
      </c>
      <c r="AI12" s="439" t="str">
        <f>MID('Input data'!$B$14,3,1)</f>
        <v>1</v>
      </c>
      <c r="AJ12" s="439" t="str">
        <f>MID('Input data'!$B$14,4,1)</f>
        <v>8</v>
      </c>
      <c r="AK12" s="468"/>
    </row>
    <row r="13" spans="1:37" s="462" customFormat="1" ht="19.5" customHeight="1">
      <c r="A13" s="476" t="str">
        <f>LEFT('Input data'!C26,1)</f>
        <v>3</v>
      </c>
      <c r="B13" s="441" t="str">
        <f>MID('Input data'!$C$26,2,1)</f>
        <v>1</v>
      </c>
      <c r="C13" s="441" t="str">
        <f>MID('Input data'!$C$26,3,1)</f>
        <v>3</v>
      </c>
      <c r="D13" s="441" t="str">
        <f>MID('Input data'!$C$26,4,1)</f>
        <v>6</v>
      </c>
      <c r="E13" s="441" t="str">
        <f>MID('Input data'!$C$26,5,1)</f>
        <v>5</v>
      </c>
      <c r="F13" s="441" t="str">
        <f>MID('Input data'!$C$26,6,1)</f>
        <v>5</v>
      </c>
      <c r="G13" s="441" t="str">
        <f>MID('Input data'!$C$26,7,1)</f>
        <v>0</v>
      </c>
      <c r="H13" s="441" t="str">
        <f>MID('Input data'!$C$26,8,1)</f>
        <v>7</v>
      </c>
      <c r="I13" s="399"/>
      <c r="J13" s="398"/>
      <c r="K13" s="399"/>
      <c r="L13" s="474" t="str">
        <f>IF('Input data'!D8="x","x", "")</f>
        <v/>
      </c>
      <c r="M13" s="470" t="s">
        <v>1078</v>
      </c>
      <c r="N13" s="472"/>
      <c r="O13" s="472"/>
      <c r="P13" s="472"/>
      <c r="Q13" s="472"/>
      <c r="R13" s="475" t="str">
        <f>IF('Input data'!D17="x","x"," ")</f>
        <v>x</v>
      </c>
      <c r="S13" s="470" t="s">
        <v>2232</v>
      </c>
      <c r="T13" s="465"/>
      <c r="U13" s="465"/>
      <c r="V13" s="471"/>
      <c r="W13" s="470" t="s">
        <v>1080</v>
      </c>
      <c r="X13" s="465"/>
      <c r="Y13" s="402"/>
      <c r="Z13" s="399"/>
      <c r="AA13" s="399"/>
      <c r="AB13" s="472"/>
      <c r="AC13" s="399"/>
      <c r="AD13" s="474"/>
      <c r="AE13" s="474"/>
      <c r="AF13" s="474"/>
      <c r="AG13" s="474"/>
      <c r="AH13" s="474"/>
      <c r="AI13" s="474"/>
      <c r="AJ13" s="474"/>
      <c r="AK13" s="398"/>
    </row>
    <row r="14" spans="1:37" s="462" customFormat="1" ht="19.5" customHeight="1">
      <c r="A14" s="403" t="s">
        <v>1081</v>
      </c>
      <c r="B14" s="465"/>
      <c r="C14" s="465"/>
      <c r="D14" s="465"/>
      <c r="E14" s="465"/>
      <c r="F14" s="465"/>
      <c r="G14" s="465"/>
      <c r="H14" s="465"/>
      <c r="I14" s="399"/>
      <c r="J14" s="398"/>
      <c r="K14" s="399"/>
      <c r="L14" s="478" t="str">
        <f>IF('Input data'!D9="x","x"," ")</f>
        <v xml:space="preserve"> </v>
      </c>
      <c r="M14" s="470" t="s">
        <v>1411</v>
      </c>
      <c r="N14" s="472"/>
      <c r="O14" s="472"/>
      <c r="P14" s="472"/>
      <c r="Q14" s="472"/>
      <c r="R14" s="473" t="s">
        <v>1082</v>
      </c>
      <c r="S14" s="472"/>
      <c r="T14" s="465"/>
      <c r="U14" s="465"/>
      <c r="V14" s="471"/>
      <c r="W14" s="470" t="s">
        <v>983</v>
      </c>
      <c r="X14" s="465"/>
      <c r="Y14" s="402"/>
      <c r="Z14" s="399"/>
      <c r="AA14" s="399"/>
      <c r="AB14" s="470" t="s">
        <v>1073</v>
      </c>
      <c r="AC14" s="399"/>
      <c r="AD14" s="441" t="str">
        <f>MID('Input data'!$B$18,1,1)</f>
        <v>0</v>
      </c>
      <c r="AE14" s="441" t="str">
        <f>MID('Input data'!$B$18,2,1)</f>
        <v>4</v>
      </c>
      <c r="AF14" s="441"/>
      <c r="AG14" s="441" t="str">
        <f>MID('Input data'!$B$19,1,1)</f>
        <v>2</v>
      </c>
      <c r="AH14" s="441" t="str">
        <f>MID('Input data'!$B$19,2,1)</f>
        <v>0</v>
      </c>
      <c r="AI14" s="441" t="str">
        <f>MID('Input data'!$B$19,3,1)</f>
        <v>1</v>
      </c>
      <c r="AJ14" s="441" t="str">
        <f>MID('Input data'!$B$19,4,1)</f>
        <v>6</v>
      </c>
      <c r="AK14" s="398"/>
    </row>
    <row r="15" spans="1:37" s="462" customFormat="1" ht="19.5" customHeight="1" thickBot="1">
      <c r="A15" s="469" t="str">
        <f>LEFT('Input data'!$F$7,1)</f>
        <v>2</v>
      </c>
      <c r="B15" s="394" t="str">
        <f>MID('Input data'!$F$7,2,1)</f>
        <v>7</v>
      </c>
      <c r="C15" s="467" t="s">
        <v>1063</v>
      </c>
      <c r="D15" s="394" t="str">
        <f>MID('Input data'!$F$7,3,1)</f>
        <v>3</v>
      </c>
      <c r="E15" s="394" t="str">
        <f>MID('Input data'!$F$7,4,1)</f>
        <v>1</v>
      </c>
      <c r="F15" s="846" t="s">
        <v>1063</v>
      </c>
      <c r="G15" s="394" t="str">
        <f>MID('Input data'!$F$7,5,1)</f>
        <v>0</v>
      </c>
      <c r="H15" s="394"/>
      <c r="I15" s="394"/>
      <c r="J15" s="393"/>
      <c r="K15" s="394"/>
      <c r="L15" s="1036" t="str">
        <f>IF('Input data'!D10="x","x", "")</f>
        <v/>
      </c>
      <c r="M15" s="466"/>
      <c r="N15" s="1037"/>
      <c r="O15" s="1037"/>
      <c r="P15" s="394"/>
      <c r="Q15" s="394"/>
      <c r="R15" s="394"/>
      <c r="S15" s="394"/>
      <c r="T15" s="467"/>
      <c r="U15" s="467"/>
      <c r="V15" s="468"/>
      <c r="W15" s="466" t="s">
        <v>1083</v>
      </c>
      <c r="X15" s="467"/>
      <c r="Y15" s="395"/>
      <c r="Z15" s="394"/>
      <c r="AA15" s="394"/>
      <c r="AB15" s="466" t="s">
        <v>1077</v>
      </c>
      <c r="AC15" s="394"/>
      <c r="AD15" s="439" t="str">
        <f>MID('Input data'!$B$21,1,1)</f>
        <v>0</v>
      </c>
      <c r="AE15" s="439" t="str">
        <f>MID('Input data'!$B$21,2,1)</f>
        <v>3</v>
      </c>
      <c r="AF15" s="439"/>
      <c r="AG15" s="439" t="str">
        <f>MID('Input data'!$B$22,1,1)</f>
        <v>2</v>
      </c>
      <c r="AH15" s="439" t="str">
        <f>MID('Input data'!$B$22,2,1)</f>
        <v>0</v>
      </c>
      <c r="AI15" s="439" t="str">
        <f>MID('Input data'!$B$22,3,1)</f>
        <v>1</v>
      </c>
      <c r="AJ15" s="439" t="str">
        <f>MID('Input data'!$B$22,4,1)</f>
        <v>7</v>
      </c>
      <c r="AK15" s="393"/>
    </row>
    <row r="16" spans="1:37" s="462" customFormat="1" ht="3.75" customHeight="1" thickBot="1">
      <c r="A16" s="465"/>
      <c r="B16" s="465"/>
      <c r="C16" s="465"/>
      <c r="D16" s="465"/>
      <c r="E16" s="465"/>
      <c r="F16" s="463"/>
      <c r="G16" s="465"/>
      <c r="H16" s="399"/>
      <c r="I16" s="399"/>
      <c r="J16" s="399"/>
      <c r="K16" s="399"/>
      <c r="L16" s="399"/>
      <c r="M16" s="399"/>
      <c r="N16" s="399"/>
      <c r="O16" s="399"/>
      <c r="P16" s="399"/>
      <c r="Q16" s="399"/>
      <c r="R16" s="399"/>
      <c r="S16" s="399"/>
      <c r="T16" s="465"/>
      <c r="U16" s="465"/>
      <c r="V16" s="399"/>
      <c r="W16" s="399"/>
      <c r="X16" s="399"/>
      <c r="Y16" s="399"/>
      <c r="Z16" s="399"/>
      <c r="AA16" s="399"/>
      <c r="AB16" s="399"/>
      <c r="AC16" s="399"/>
      <c r="AD16" s="399"/>
      <c r="AE16" s="399"/>
      <c r="AF16" s="399"/>
      <c r="AG16" s="399"/>
      <c r="AH16" s="399"/>
      <c r="AI16" s="399"/>
      <c r="AJ16" s="399"/>
      <c r="AK16" s="399"/>
    </row>
    <row r="17" spans="1:37" s="462" customFormat="1" ht="17.100000000000001" customHeight="1">
      <c r="A17" s="464" t="s">
        <v>2233</v>
      </c>
      <c r="B17" s="463"/>
      <c r="C17" s="463"/>
      <c r="D17" s="463"/>
      <c r="E17" s="463"/>
      <c r="F17" s="463"/>
      <c r="G17" s="463"/>
      <c r="H17" s="407"/>
      <c r="I17" s="407"/>
      <c r="J17" s="407"/>
      <c r="K17" s="407"/>
      <c r="L17" s="407"/>
      <c r="M17" s="407"/>
      <c r="N17" s="407"/>
      <c r="O17" s="407"/>
      <c r="P17" s="407"/>
      <c r="Q17" s="407"/>
      <c r="R17" s="407"/>
      <c r="S17" s="407"/>
      <c r="T17" s="463"/>
      <c r="U17" s="463"/>
      <c r="V17" s="463"/>
      <c r="W17" s="407"/>
      <c r="X17" s="407"/>
      <c r="Y17" s="407"/>
      <c r="Z17" s="407"/>
      <c r="AA17" s="407"/>
      <c r="AB17" s="407"/>
      <c r="AC17" s="407"/>
      <c r="AD17" s="407"/>
      <c r="AE17" s="407"/>
      <c r="AF17" s="407"/>
      <c r="AG17" s="407"/>
      <c r="AH17" s="407"/>
      <c r="AI17" s="407"/>
      <c r="AJ17" s="407"/>
      <c r="AK17" s="406"/>
    </row>
    <row r="18" spans="1:37" s="462" customFormat="1" ht="17.100000000000001" customHeight="1">
      <c r="A18" s="1040"/>
      <c r="B18" s="478" t="str">
        <f>IF('Input data'!D12="x","x"," ")</f>
        <v>x</v>
      </c>
      <c r="C18" s="470" t="s">
        <v>2234</v>
      </c>
      <c r="D18" s="472"/>
      <c r="E18" s="465"/>
      <c r="F18" s="465"/>
      <c r="G18" s="465"/>
      <c r="H18" s="399"/>
      <c r="I18" s="399"/>
      <c r="J18" s="399"/>
      <c r="K18" s="478" t="str">
        <f>IF('Input data'!D13="x","x"," ")</f>
        <v>x</v>
      </c>
      <c r="L18" s="470" t="s">
        <v>2235</v>
      </c>
      <c r="M18" s="399"/>
      <c r="N18" s="399"/>
      <c r="O18" s="399"/>
      <c r="P18" s="399"/>
      <c r="Q18" s="399"/>
      <c r="R18" s="399"/>
      <c r="S18" s="399"/>
      <c r="T18" s="465"/>
      <c r="U18" s="465"/>
      <c r="V18" s="465"/>
      <c r="W18" s="478" t="str">
        <f>IF('Input data'!D14="x","x"," ")</f>
        <v>x</v>
      </c>
      <c r="X18" s="470" t="s">
        <v>2236</v>
      </c>
      <c r="Y18" s="470"/>
      <c r="Z18" s="399"/>
      <c r="AA18" s="399"/>
      <c r="AB18" s="399"/>
      <c r="AC18" s="399"/>
      <c r="AD18" s="399"/>
      <c r="AE18" s="399"/>
      <c r="AF18" s="399"/>
      <c r="AG18" s="399"/>
      <c r="AH18" s="399"/>
      <c r="AI18" s="399"/>
      <c r="AJ18" s="399"/>
      <c r="AK18" s="398"/>
    </row>
    <row r="19" spans="1:37" s="462" customFormat="1" ht="17.100000000000001" customHeight="1" thickBot="1">
      <c r="A19" s="1041"/>
      <c r="B19" s="467"/>
      <c r="C19" s="1042" t="s">
        <v>1064</v>
      </c>
      <c r="D19" s="467"/>
      <c r="E19" s="467"/>
      <c r="F19" s="467"/>
      <c r="G19" s="467"/>
      <c r="H19" s="394"/>
      <c r="I19" s="394"/>
      <c r="J19" s="394"/>
      <c r="K19" s="394"/>
      <c r="L19" s="1042" t="s">
        <v>1064</v>
      </c>
      <c r="M19" s="394"/>
      <c r="N19" s="394"/>
      <c r="O19" s="394"/>
      <c r="P19" s="394"/>
      <c r="Q19" s="394"/>
      <c r="R19" s="394"/>
      <c r="S19" s="394"/>
      <c r="T19" s="467"/>
      <c r="U19" s="467"/>
      <c r="V19" s="467"/>
      <c r="W19" s="394"/>
      <c r="X19" s="1042" t="s">
        <v>2237</v>
      </c>
      <c r="Y19" s="1042"/>
      <c r="Z19" s="394"/>
      <c r="AA19" s="394"/>
      <c r="AB19" s="394"/>
      <c r="AC19" s="394"/>
      <c r="AD19" s="394"/>
      <c r="AE19" s="394"/>
      <c r="AF19" s="394"/>
      <c r="AG19" s="394"/>
      <c r="AH19" s="394"/>
      <c r="AI19" s="394"/>
      <c r="AJ19" s="394"/>
      <c r="AK19" s="393"/>
    </row>
    <row r="20" spans="1:37" s="462" customFormat="1" ht="3.75" customHeight="1" thickBot="1">
      <c r="H20" s="392"/>
      <c r="I20" s="392"/>
      <c r="J20" s="392"/>
      <c r="K20" s="392"/>
      <c r="L20" s="392"/>
      <c r="M20" s="392"/>
      <c r="N20" s="392"/>
      <c r="O20" s="392"/>
      <c r="P20" s="392"/>
      <c r="Q20" s="392"/>
      <c r="R20" s="392"/>
      <c r="S20" s="392"/>
      <c r="W20" s="392"/>
      <c r="X20" s="392"/>
      <c r="Y20" s="392"/>
      <c r="Z20" s="392"/>
      <c r="AA20" s="392"/>
      <c r="AB20" s="392"/>
      <c r="AC20" s="392"/>
      <c r="AD20" s="392"/>
      <c r="AE20" s="392"/>
      <c r="AF20" s="392"/>
      <c r="AG20" s="392"/>
      <c r="AH20" s="392"/>
      <c r="AI20" s="392"/>
      <c r="AJ20" s="392"/>
      <c r="AK20" s="392"/>
    </row>
    <row r="21" spans="1:37" s="462" customFormat="1" ht="16.5">
      <c r="A21" s="464" t="s">
        <v>1084</v>
      </c>
      <c r="B21" s="463"/>
      <c r="C21" s="463"/>
      <c r="D21" s="463"/>
      <c r="E21" s="463"/>
      <c r="F21" s="463"/>
      <c r="G21" s="463"/>
      <c r="H21" s="407"/>
      <c r="I21" s="407"/>
      <c r="J21" s="407"/>
      <c r="K21" s="407"/>
      <c r="L21" s="407"/>
      <c r="M21" s="407"/>
      <c r="N21" s="407"/>
      <c r="O21" s="407"/>
      <c r="P21" s="407"/>
      <c r="Q21" s="407"/>
      <c r="R21" s="407"/>
      <c r="S21" s="407"/>
      <c r="T21" s="463"/>
      <c r="U21" s="463"/>
      <c r="V21" s="463"/>
      <c r="W21" s="407"/>
      <c r="X21" s="407"/>
      <c r="Y21" s="407"/>
      <c r="Z21" s="407"/>
      <c r="AA21" s="407"/>
      <c r="AB21" s="407"/>
      <c r="AC21" s="407"/>
      <c r="AD21" s="407"/>
      <c r="AE21" s="407"/>
      <c r="AF21" s="407"/>
      <c r="AG21" s="407"/>
      <c r="AH21" s="407"/>
      <c r="AI21" s="407"/>
      <c r="AJ21" s="407"/>
      <c r="AK21" s="406"/>
    </row>
    <row r="22" spans="1:37" s="462" customFormat="1" ht="19.5" customHeight="1">
      <c r="A22" s="449" t="str">
        <f>+LEFT('Input data'!$F$3,1)</f>
        <v>F</v>
      </c>
      <c r="B22" s="441" t="str">
        <f>+MID('Input data'!$F$3,2,1)</f>
        <v>o</v>
      </c>
      <c r="C22" s="441" t="str">
        <f>+MID('Input data'!$F$3,3,1)</f>
        <v>s</v>
      </c>
      <c r="D22" s="441" t="str">
        <f>+MID('Input data'!$F$3,4,1)</f>
        <v>s</v>
      </c>
      <c r="E22" s="441" t="str">
        <f>+MID('Input data'!$F$3,5,1)</f>
        <v xml:space="preserve"> </v>
      </c>
      <c r="F22" s="441" t="str">
        <f>+MID('Input data'!$F$3,6,1)</f>
        <v>F</v>
      </c>
      <c r="G22" s="441" t="str">
        <f>+MID('Input data'!$F$3,7,1)</f>
        <v>i</v>
      </c>
      <c r="H22" s="441" t="str">
        <f>+MID('Input data'!$F$3,8,1)</f>
        <v>b</v>
      </c>
      <c r="I22" s="441" t="str">
        <f>+MID('Input data'!$F$3,9,1)</f>
        <v>r</v>
      </c>
      <c r="J22" s="441" t="str">
        <f>+MID('Input data'!$F$3,10,1)</f>
        <v>e</v>
      </c>
      <c r="K22" s="441" t="str">
        <f>+MID('Input data'!$F$3,11,1)</f>
        <v xml:space="preserve"> </v>
      </c>
      <c r="L22" s="441" t="str">
        <f>+MID('Input data'!$F$3,12,1)</f>
        <v>O</v>
      </c>
      <c r="M22" s="441" t="str">
        <f>+MID('Input data'!$F$3,13,1)</f>
        <v>p</v>
      </c>
      <c r="N22" s="441" t="str">
        <f>+MID('Input data'!$F$3,14,1)</f>
        <v>t</v>
      </c>
      <c r="O22" s="441" t="str">
        <f>+MID('Input data'!$F$3,15,1)</f>
        <v>i</v>
      </c>
      <c r="P22" s="441" t="str">
        <f>+MID('Input data'!$F$3,16,1)</f>
        <v>c</v>
      </c>
      <c r="Q22" s="441" t="str">
        <f>+MID('Input data'!$F$3,17,1)</f>
        <v>s</v>
      </c>
      <c r="R22" s="441" t="str">
        <f>+MID('Input data'!$F$3,18,1)</f>
        <v>,</v>
      </c>
      <c r="S22" s="441" t="str">
        <f>+MID('Input data'!$F$3,19,1)</f>
        <v xml:space="preserve"> </v>
      </c>
      <c r="T22" s="441" t="str">
        <f>+MID('Input data'!$F$3,20,1)</f>
        <v>s</v>
      </c>
      <c r="U22" s="441" t="str">
        <f>+MID('Input data'!$F$3,21,1)</f>
        <v>.</v>
      </c>
      <c r="V22" s="441" t="str">
        <f>+MID('Input data'!$F$3,22,1)</f>
        <v>r</v>
      </c>
      <c r="W22" s="441" t="str">
        <f>+MID('Input data'!$F$3,23,1)</f>
        <v>.</v>
      </c>
      <c r="X22" s="441" t="str">
        <f>+MID('Input data'!$F$3,24,1)</f>
        <v>o</v>
      </c>
      <c r="Y22" s="441" t="str">
        <f>+MID('Input data'!$F$3,25,1)</f>
        <v>.</v>
      </c>
      <c r="Z22" s="441" t="str">
        <f>+MID('Input data'!$F$3,26,1)</f>
        <v xml:space="preserve"> </v>
      </c>
      <c r="AA22" s="441" t="str">
        <f>+MID('Input data'!$F$3,27,1)</f>
        <v xml:space="preserve">
</v>
      </c>
      <c r="AB22" s="441" t="str">
        <f>+MID('Input data'!$F$3,28,1)</f>
        <v/>
      </c>
      <c r="AC22" s="441" t="str">
        <f>+MID('Input data'!$F$3,29,1)</f>
        <v/>
      </c>
      <c r="AD22" s="441" t="str">
        <f>+MID('Input data'!$F$3,30,1)</f>
        <v/>
      </c>
      <c r="AE22" s="441" t="str">
        <f>+MID('Input data'!$F$3,31,1)</f>
        <v/>
      </c>
      <c r="AF22" s="441" t="str">
        <f>+MID('Input data'!$F$3,32,1)</f>
        <v/>
      </c>
      <c r="AG22" s="441" t="str">
        <f>+MID('Input data'!$F$3,33,1)</f>
        <v/>
      </c>
      <c r="AH22" s="441" t="str">
        <f>+MID('Input data'!$F$3,34,1)</f>
        <v/>
      </c>
      <c r="AI22" s="441" t="str">
        <f>+MID('Input data'!$F$3,35,1)</f>
        <v/>
      </c>
      <c r="AJ22" s="441" t="str">
        <f>+MID('Input data'!$F$3,36,1)</f>
        <v/>
      </c>
      <c r="AK22" s="448" t="str">
        <f>+MID('Input data'!$F$3,37,1)</f>
        <v/>
      </c>
    </row>
    <row r="23" spans="1:37" ht="19.5" customHeight="1">
      <c r="A23" s="449" t="str">
        <f>+MID('Input data'!$F$3,38,1)</f>
        <v/>
      </c>
      <c r="B23" s="441" t="str">
        <f>+MID('Input data'!$F$3,39,1)</f>
        <v/>
      </c>
      <c r="C23" s="441" t="str">
        <f>+MID('Input data'!$F$3,40,1)</f>
        <v/>
      </c>
      <c r="D23" s="441" t="str">
        <f>+MID('Input data'!$F$3,41,1)</f>
        <v/>
      </c>
      <c r="E23" s="441" t="str">
        <f>+MID('Input data'!$F$3,42,1)</f>
        <v/>
      </c>
      <c r="F23" s="441" t="str">
        <f>+MID('Input data'!$F$3,43,1)</f>
        <v/>
      </c>
      <c r="G23" s="441" t="str">
        <f>+MID('Input data'!$F$3,44,1)</f>
        <v/>
      </c>
      <c r="H23" s="441" t="str">
        <f>+MID('Input data'!$F$3,45,1)</f>
        <v/>
      </c>
      <c r="I23" s="441" t="str">
        <f>+MID('Input data'!$F$3,46,1)</f>
        <v/>
      </c>
      <c r="J23" s="441" t="str">
        <f>+MID('Input data'!$F$3,47,1)</f>
        <v/>
      </c>
      <c r="K23" s="441" t="str">
        <f>+MID('Input data'!$F$3,48,1)</f>
        <v/>
      </c>
      <c r="L23" s="441" t="str">
        <f>+MID('Input data'!$F$3,49,1)</f>
        <v/>
      </c>
      <c r="M23" s="441" t="str">
        <f>+MID('Input data'!$F$3,50,1)</f>
        <v/>
      </c>
      <c r="N23" s="441" t="str">
        <f>+MID('Input data'!$F$3,51,1)</f>
        <v/>
      </c>
      <c r="O23" s="441" t="str">
        <f>+MID('Input data'!$F$3,52,1)</f>
        <v/>
      </c>
      <c r="P23" s="441" t="str">
        <f>+MID('Input data'!$F$3,53,1)</f>
        <v/>
      </c>
      <c r="Q23" s="441" t="str">
        <f>+MID('Input data'!$F$3,54,1)</f>
        <v/>
      </c>
      <c r="R23" s="441" t="str">
        <f>+MID('Input data'!$F$3,55,1)</f>
        <v/>
      </c>
      <c r="S23" s="441" t="str">
        <f>+MID('Input data'!$F$3,56,1)</f>
        <v/>
      </c>
      <c r="T23" s="441" t="str">
        <f>+MID('Input data'!$F$3,57,1)</f>
        <v/>
      </c>
      <c r="U23" s="441" t="str">
        <f>+MID('Input data'!$F$3,58,1)</f>
        <v/>
      </c>
      <c r="V23" s="441" t="str">
        <f>+MID('Input data'!$F$3,59,1)</f>
        <v/>
      </c>
      <c r="W23" s="441" t="str">
        <f>+MID('Input data'!$F$3,60,1)</f>
        <v/>
      </c>
      <c r="X23" s="441" t="str">
        <f>+MID('Input data'!$F$3,61,1)</f>
        <v/>
      </c>
      <c r="Y23" s="441" t="str">
        <f>+MID('Input data'!$F$3,62,1)</f>
        <v/>
      </c>
      <c r="Z23" s="441" t="str">
        <f>+MID('Input data'!$F$3,63,1)</f>
        <v/>
      </c>
      <c r="AA23" s="441" t="str">
        <f>+MID('Input data'!$F$3,64,1)</f>
        <v/>
      </c>
      <c r="AB23" s="441" t="str">
        <f>+MID('Input data'!$F$3,65,1)</f>
        <v/>
      </c>
      <c r="AC23" s="441" t="str">
        <f>+MID('Input data'!$F$3,66,1)</f>
        <v/>
      </c>
      <c r="AD23" s="441" t="str">
        <f>+MID('Input data'!$F$3,67,1)</f>
        <v/>
      </c>
      <c r="AE23" s="441" t="str">
        <f>+MID('Input data'!$F$3,68,1)</f>
        <v/>
      </c>
      <c r="AF23" s="441" t="str">
        <f>+MID('Input data'!$F$3,69,1)</f>
        <v/>
      </c>
      <c r="AG23" s="441" t="str">
        <f>+MID('Input data'!$F$3,70,1)</f>
        <v/>
      </c>
      <c r="AH23" s="441" t="str">
        <f>+MID('Input data'!$F$3,71,1)</f>
        <v/>
      </c>
      <c r="AI23" s="441" t="str">
        <f>+MID('Input data'!$F$3,72,1)</f>
        <v/>
      </c>
      <c r="AJ23" s="441" t="str">
        <f>+MID('Input data'!$F$3,73,1)</f>
        <v/>
      </c>
      <c r="AK23" s="448" t="str">
        <f>+MID('Input data'!$F$3,74,1)</f>
        <v/>
      </c>
    </row>
    <row r="24" spans="1:37" ht="14.25" customHeight="1">
      <c r="A24" s="461"/>
      <c r="B24" s="460"/>
      <c r="C24" s="460"/>
      <c r="D24" s="460"/>
      <c r="E24" s="460"/>
      <c r="F24" s="460"/>
      <c r="G24" s="460"/>
      <c r="H24" s="460"/>
      <c r="I24" s="460"/>
      <c r="J24" s="460"/>
      <c r="K24" s="460"/>
      <c r="L24" s="460"/>
      <c r="M24" s="460"/>
      <c r="N24" s="460"/>
      <c r="O24" s="460"/>
      <c r="P24" s="460"/>
      <c r="Q24" s="460"/>
      <c r="R24" s="460"/>
      <c r="S24" s="460"/>
      <c r="T24" s="460"/>
      <c r="U24" s="460"/>
      <c r="V24" s="460"/>
      <c r="W24" s="459"/>
      <c r="X24" s="459"/>
      <c r="Y24" s="459"/>
      <c r="Z24" s="459"/>
      <c r="AA24" s="459"/>
      <c r="AB24" s="459"/>
      <c r="AC24" s="459"/>
      <c r="AD24" s="459"/>
      <c r="AE24" s="459"/>
      <c r="AF24" s="459"/>
      <c r="AG24" s="459"/>
      <c r="AH24" s="459"/>
      <c r="AI24" s="459"/>
      <c r="AJ24" s="459"/>
      <c r="AK24" s="458"/>
    </row>
    <row r="25" spans="1:37" ht="19.5" hidden="1" customHeight="1">
      <c r="A25" s="457"/>
      <c r="B25" s="456"/>
      <c r="C25" s="456"/>
      <c r="D25" s="456"/>
      <c r="E25" s="456"/>
      <c r="F25" s="456"/>
      <c r="G25" s="456" t="e">
        <f>+MID('Input data'!#REF!,7,1)</f>
        <v>#REF!</v>
      </c>
      <c r="H25" s="456" t="e">
        <f>+MID('Input data'!#REF!,8,1)</f>
        <v>#REF!</v>
      </c>
      <c r="I25" s="456" t="e">
        <f>+MID('Input data'!#REF!,9,1)</f>
        <v>#REF!</v>
      </c>
      <c r="J25" s="456" t="e">
        <f>+MID('Input data'!#REF!,10,1)</f>
        <v>#REF!</v>
      </c>
      <c r="K25" s="456" t="e">
        <f>+MID('Input data'!#REF!,11,1)</f>
        <v>#REF!</v>
      </c>
      <c r="L25" s="456" t="e">
        <f>+MID('Input data'!#REF!,12,1)</f>
        <v>#REF!</v>
      </c>
      <c r="M25" s="456" t="e">
        <f>+MID('Input data'!#REF!,13,1)</f>
        <v>#REF!</v>
      </c>
      <c r="N25" s="456" t="e">
        <f>+MID('Input data'!#REF!,14,1)</f>
        <v>#REF!</v>
      </c>
      <c r="O25" s="456" t="e">
        <f>+MID('Input data'!#REF!,15,1)</f>
        <v>#REF!</v>
      </c>
      <c r="P25" s="456" t="e">
        <f>+MID('Input data'!#REF!,16,1)</f>
        <v>#REF!</v>
      </c>
      <c r="Q25" s="456" t="e">
        <f>+MID('Input data'!#REF!,17,1)</f>
        <v>#REF!</v>
      </c>
      <c r="R25" s="456" t="e">
        <f>+MID('Input data'!#REF!,18,1)</f>
        <v>#REF!</v>
      </c>
      <c r="S25" s="456" t="e">
        <f>+MID('Input data'!#REF!,19,1)</f>
        <v>#REF!</v>
      </c>
      <c r="T25" s="456" t="e">
        <f>+MID('Input data'!#REF!,20,1)</f>
        <v>#REF!</v>
      </c>
      <c r="U25" s="456" t="e">
        <f>+MID('Input data'!#REF!,21,1)</f>
        <v>#REF!</v>
      </c>
      <c r="V25" s="456" t="e">
        <f>+MID('Input data'!#REF!,22,1)</f>
        <v>#REF!</v>
      </c>
      <c r="W25" s="456" t="e">
        <f>+MID('Input data'!#REF!,23,1)</f>
        <v>#REF!</v>
      </c>
      <c r="X25" s="456" t="e">
        <f>+MID('Input data'!#REF!,24,1)</f>
        <v>#REF!</v>
      </c>
      <c r="Y25" s="456" t="e">
        <f>+MID('Input data'!#REF!,25,1)</f>
        <v>#REF!</v>
      </c>
      <c r="Z25" s="456" t="e">
        <f>+MID('Input data'!#REF!,26,1)</f>
        <v>#REF!</v>
      </c>
      <c r="AA25" s="456" t="e">
        <f>+MID('Input data'!#REF!,27,1)</f>
        <v>#REF!</v>
      </c>
      <c r="AB25" s="456" t="e">
        <f>+MID('Input data'!#REF!,28,1)</f>
        <v>#REF!</v>
      </c>
      <c r="AC25" s="456" t="e">
        <f>+MID('Input data'!#REF!,29,1)</f>
        <v>#REF!</v>
      </c>
      <c r="AD25" s="456" t="e">
        <f>+MID('Input data'!#REF!,30,1)</f>
        <v>#REF!</v>
      </c>
      <c r="AE25" s="456" t="e">
        <f>+MID('Input data'!#REF!,31,1)</f>
        <v>#REF!</v>
      </c>
      <c r="AF25" s="456" t="e">
        <f>+MID('Input data'!#REF!,32,1)</f>
        <v>#REF!</v>
      </c>
      <c r="AG25" s="456" t="e">
        <f>+MID('Input data'!#REF!,33,1)</f>
        <v>#REF!</v>
      </c>
      <c r="AH25" s="456" t="e">
        <f>+MID('Input data'!#REF!,34,1)</f>
        <v>#REF!</v>
      </c>
      <c r="AI25" s="456" t="e">
        <f>+MID('Input data'!#REF!,35,1)</f>
        <v>#REF!</v>
      </c>
      <c r="AJ25" s="456" t="e">
        <f>+MID('Input data'!#REF!,36,1)</f>
        <v>#REF!</v>
      </c>
      <c r="AK25" s="455" t="e">
        <f>+MID('Input data'!#REF!,37,1)</f>
        <v>#REF!</v>
      </c>
    </row>
    <row r="26" spans="1:37" s="450" customFormat="1" ht="12" customHeight="1">
      <c r="A26" s="454" t="s">
        <v>1085</v>
      </c>
      <c r="B26" s="453"/>
      <c r="C26" s="453"/>
      <c r="D26" s="453"/>
      <c r="E26" s="453"/>
      <c r="F26" s="453"/>
      <c r="G26" s="453"/>
      <c r="H26" s="453"/>
      <c r="I26" s="453"/>
      <c r="J26" s="453"/>
      <c r="K26" s="453"/>
      <c r="L26" s="453"/>
      <c r="M26" s="453"/>
      <c r="N26" s="453"/>
      <c r="O26" s="453"/>
      <c r="P26" s="453"/>
      <c r="Q26" s="453"/>
      <c r="R26" s="453"/>
      <c r="S26" s="453"/>
      <c r="T26" s="453"/>
      <c r="U26" s="453"/>
      <c r="V26" s="453"/>
      <c r="W26" s="452"/>
      <c r="X26" s="452"/>
      <c r="Y26" s="452"/>
      <c r="Z26" s="452"/>
      <c r="AA26" s="452"/>
      <c r="AB26" s="452"/>
      <c r="AC26" s="452"/>
      <c r="AD26" s="452"/>
      <c r="AE26" s="452"/>
      <c r="AF26" s="452"/>
      <c r="AG26" s="452"/>
      <c r="AH26" s="452"/>
      <c r="AI26" s="452"/>
      <c r="AJ26" s="452"/>
      <c r="AK26" s="451"/>
    </row>
    <row r="27" spans="1:37">
      <c r="A27" s="446" t="s">
        <v>1086</v>
      </c>
      <c r="B27" s="1033"/>
      <c r="C27" s="1033"/>
      <c r="D27" s="1033"/>
      <c r="E27" s="1033"/>
      <c r="F27" s="1033"/>
      <c r="G27" s="1033"/>
      <c r="H27" s="1033"/>
      <c r="I27" s="1033"/>
      <c r="J27" s="1033"/>
      <c r="K27" s="1033"/>
      <c r="L27" s="1033"/>
      <c r="M27" s="1033"/>
      <c r="N27" s="1033"/>
      <c r="O27" s="1033"/>
      <c r="P27" s="1033"/>
      <c r="Q27" s="1033"/>
      <c r="R27" s="1033"/>
      <c r="S27" s="1033"/>
      <c r="T27" s="1033"/>
      <c r="U27" s="1033"/>
      <c r="V27" s="1033"/>
      <c r="W27" s="399"/>
      <c r="X27" s="399"/>
      <c r="Y27" s="399"/>
      <c r="Z27" s="399"/>
      <c r="AA27" s="399"/>
      <c r="AB27" s="1033"/>
      <c r="AC27" s="399"/>
      <c r="AD27" s="402" t="s">
        <v>1087</v>
      </c>
      <c r="AE27" s="399"/>
      <c r="AF27" s="399"/>
      <c r="AG27" s="399"/>
      <c r="AH27" s="399"/>
      <c r="AI27" s="399"/>
      <c r="AJ27" s="399"/>
      <c r="AK27" s="398"/>
    </row>
    <row r="28" spans="1:37" ht="19.5" customHeight="1">
      <c r="A28" s="449" t="str">
        <f>+LEFT('Input data'!$C$28,1)</f>
        <v>O</v>
      </c>
      <c r="B28" s="441" t="str">
        <f>+MID('Input data'!$C$28,2,1)</f>
        <v>d</v>
      </c>
      <c r="C28" s="441" t="str">
        <f>+MID('Input data'!$C$28,3,1)</f>
        <v>b</v>
      </c>
      <c r="D28" s="441" t="str">
        <f>+MID('Input data'!$C$28,4,1)</f>
        <v>o</v>
      </c>
      <c r="E28" s="441" t="str">
        <f>+MID('Input data'!$C$28,5,1)</f>
        <v>r</v>
      </c>
      <c r="F28" s="441" t="str">
        <f>+MID('Input data'!$C$28,6,1)</f>
        <v>á</v>
      </c>
      <c r="G28" s="441" t="str">
        <f>+MID('Input data'!$C$28,7,1)</f>
        <v>r</v>
      </c>
      <c r="H28" s="441" t="str">
        <f>+MID('Input data'!$C$28,8,1)</f>
        <v>s</v>
      </c>
      <c r="I28" s="441" t="str">
        <f>+MID('Input data'!$C$28,9,1)</f>
        <v>k</v>
      </c>
      <c r="J28" s="441" t="str">
        <f>+MID('Input data'!$C$28,10,1)</f>
        <v>a</v>
      </c>
      <c r="K28" s="441" t="str">
        <f>+MID('Input data'!$C$28,11,1)</f>
        <v/>
      </c>
      <c r="L28" s="441" t="str">
        <f>+MID('Input data'!$C$28,12,1)</f>
        <v/>
      </c>
      <c r="M28" s="441" t="str">
        <f>+MID('Input data'!$C$28,13,1)</f>
        <v/>
      </c>
      <c r="N28" s="441" t="str">
        <f>+MID('Input data'!$C$28,14,1)</f>
        <v/>
      </c>
      <c r="O28" s="441" t="str">
        <f>+MID('Input data'!$C$28,15,1)</f>
        <v/>
      </c>
      <c r="P28" s="441" t="str">
        <f>+MID('Input data'!$C$28,16,1)</f>
        <v/>
      </c>
      <c r="Q28" s="441" t="str">
        <f>+MID('Input data'!$C$28,17,1)</f>
        <v/>
      </c>
      <c r="R28" s="441" t="str">
        <f>+MID('Input data'!$C$28,18,1)</f>
        <v/>
      </c>
      <c r="S28" s="441" t="str">
        <f>+MID('Input data'!$C$28,19,1)</f>
        <v/>
      </c>
      <c r="T28" s="441" t="str">
        <f>+MID('Input data'!$C$28,20,1)</f>
        <v/>
      </c>
      <c r="U28" s="441" t="str">
        <f>+MID('Input data'!$C$28,21,1)</f>
        <v/>
      </c>
      <c r="V28" s="441" t="str">
        <f>+MID('Input data'!$C$28,22,1)</f>
        <v/>
      </c>
      <c r="W28" s="441" t="str">
        <f>+MID('Input data'!$C$28,23,1)</f>
        <v/>
      </c>
      <c r="X28" s="441" t="str">
        <f>+MID('Input data'!$C$28,24,1)</f>
        <v/>
      </c>
      <c r="Y28" s="441" t="str">
        <f>+MID('Input data'!$C$28,25,1)</f>
        <v/>
      </c>
      <c r="Z28" s="441" t="str">
        <f>+MID('Input data'!$C$28,26,1)</f>
        <v/>
      </c>
      <c r="AA28" s="441" t="str">
        <f>+MID('Input data'!$C$28,27,1)</f>
        <v/>
      </c>
      <c r="AB28" s="441" t="str">
        <f>+MID('Input data'!$C$28,28,1)</f>
        <v/>
      </c>
      <c r="AC28" s="443"/>
      <c r="AD28" s="441" t="str">
        <f>+LEFT('Input data'!$C$30,1)</f>
        <v>5</v>
      </c>
      <c r="AE28" s="441" t="str">
        <f>+MID('Input data'!$C$30,2,1)</f>
        <v>2</v>
      </c>
      <c r="AF28" s="441" t="str">
        <f>+MID('Input data'!$C$30,3,1)</f>
        <v/>
      </c>
      <c r="AG28" s="441" t="str">
        <f>+MID('Input data'!$C$30,4,1)</f>
        <v/>
      </c>
      <c r="AH28" s="441" t="str">
        <f>+MID('Input data'!$C$30,5,1)</f>
        <v/>
      </c>
      <c r="AI28" s="441" t="str">
        <f>+MID('Input data'!$C$30,6,1)</f>
        <v/>
      </c>
      <c r="AJ28" s="441" t="str">
        <f>+MID('Input data'!$C$30,7,1)</f>
        <v/>
      </c>
      <c r="AK28" s="448" t="str">
        <f>+MID('Input data'!$C$30,8,1)</f>
        <v/>
      </c>
    </row>
    <row r="29" spans="1:37">
      <c r="A29" s="446" t="s">
        <v>1088</v>
      </c>
      <c r="B29" s="1033"/>
      <c r="C29" s="1033"/>
      <c r="D29" s="1033"/>
      <c r="E29" s="1033"/>
      <c r="F29" s="1033"/>
      <c r="H29" s="445" t="s">
        <v>1089</v>
      </c>
      <c r="I29" s="445"/>
      <c r="J29" s="445"/>
      <c r="K29" s="445"/>
      <c r="L29" s="445"/>
      <c r="M29" s="445"/>
      <c r="N29" s="445"/>
      <c r="O29" s="445"/>
      <c r="P29" s="445"/>
      <c r="Q29" s="445"/>
      <c r="R29" s="445"/>
      <c r="S29" s="445"/>
      <c r="T29" s="445"/>
      <c r="U29" s="445"/>
      <c r="V29" s="445"/>
      <c r="W29" s="445"/>
      <c r="X29" s="445"/>
      <c r="Y29" s="445"/>
      <c r="Z29" s="445"/>
      <c r="AA29" s="445"/>
      <c r="AB29" s="445"/>
      <c r="AC29" s="445"/>
      <c r="AD29" s="445"/>
      <c r="AE29" s="399"/>
      <c r="AF29" s="399"/>
      <c r="AG29" s="399"/>
      <c r="AH29" s="399"/>
      <c r="AI29" s="399"/>
      <c r="AJ29" s="399"/>
      <c r="AK29" s="398"/>
    </row>
    <row r="30" spans="1:37" s="447" customFormat="1" ht="19.5" customHeight="1">
      <c r="A30" s="449" t="str">
        <f>+LEFT('Input data'!$C$32,1)</f>
        <v>8</v>
      </c>
      <c r="B30" s="441" t="str">
        <f>+MID('Input data'!$C$32,2,1)</f>
        <v>3</v>
      </c>
      <c r="C30" s="441" t="str">
        <f>+MID('Input data'!$C$32,3,1)</f>
        <v>1</v>
      </c>
      <c r="D30" s="441" t="str">
        <f>+MID('Input data'!$C$32,4,1)</f>
        <v xml:space="preserve"> </v>
      </c>
      <c r="E30" s="441" t="str">
        <f>+MID('Input data'!$C$32,5,1)</f>
        <v>0</v>
      </c>
      <c r="F30" s="441" t="str">
        <f>+MID('Input data'!$C$32,6,1)</f>
        <v>2</v>
      </c>
      <c r="H30" s="441" t="str">
        <f>+LEFT('Input data'!$C$34,1)</f>
        <v>B</v>
      </c>
      <c r="I30" s="441" t="str">
        <f>+MID('Input data'!$C$34,2,1)</f>
        <v>r</v>
      </c>
      <c r="J30" s="441" t="str">
        <f>+MID('Input data'!$C$34,3,1)</f>
        <v>a</v>
      </c>
      <c r="K30" s="441" t="str">
        <f>+MID('Input data'!$C$34,4,1)</f>
        <v>t</v>
      </c>
      <c r="L30" s="441" t="str">
        <f>+MID('Input data'!$C$34,5,1)</f>
        <v>i</v>
      </c>
      <c r="M30" s="441" t="str">
        <f>+MID('Input data'!$C$34,6,1)</f>
        <v>s</v>
      </c>
      <c r="N30" s="441" t="str">
        <f>+MID('Input data'!$C$34,7,1)</f>
        <v>l</v>
      </c>
      <c r="O30" s="441" t="str">
        <f>+MID('Input data'!$C$34,8,1)</f>
        <v>a</v>
      </c>
      <c r="P30" s="441" t="str">
        <f>+MID('Input data'!$C$34,9,1)</f>
        <v>v</v>
      </c>
      <c r="Q30" s="441" t="str">
        <f>+MID('Input data'!$C$34,10,1)</f>
        <v>a</v>
      </c>
      <c r="R30" s="441" t="str">
        <f>+MID('Input data'!$C$34,11,1)</f>
        <v xml:space="preserve"> </v>
      </c>
      <c r="S30" s="441" t="str">
        <f>+MID('Input data'!$C$34,13,1)</f>
        <v/>
      </c>
      <c r="T30" s="441" t="str">
        <f>+MID('Input data'!$C$34,14,1)</f>
        <v/>
      </c>
      <c r="U30" s="441" t="str">
        <f>+MID('Input data'!$C$34,15,1)</f>
        <v/>
      </c>
      <c r="V30" s="441" t="str">
        <f>+MID('Input data'!$C$34,16,1)</f>
        <v/>
      </c>
      <c r="W30" s="441" t="str">
        <f>+MID('Input data'!$C$34,17,1)</f>
        <v/>
      </c>
      <c r="X30" s="441" t="str">
        <f>+MID('Input data'!$C$34,18,1)</f>
        <v/>
      </c>
      <c r="Y30" s="441" t="str">
        <f>+MID('Input data'!$C$34,19,1)</f>
        <v/>
      </c>
      <c r="Z30" s="441" t="str">
        <f>+MID('Input data'!$C$34,20,1)</f>
        <v/>
      </c>
      <c r="AA30" s="441" t="str">
        <f>+MID('Input data'!$C$34,21,1)</f>
        <v/>
      </c>
      <c r="AB30" s="441" t="str">
        <f>+MID('Input data'!$C$34,22,1)</f>
        <v/>
      </c>
      <c r="AC30" s="441" t="str">
        <f>+MID('Input data'!$C$34,23,1)</f>
        <v/>
      </c>
      <c r="AD30" s="441" t="str">
        <f>+MID('Input data'!$C$34,24,1)</f>
        <v/>
      </c>
      <c r="AE30" s="441" t="str">
        <f>+MID('Input data'!$C$34,25,1)</f>
        <v/>
      </c>
      <c r="AF30" s="441" t="str">
        <f>+MID('Input data'!$C$34,26,1)</f>
        <v/>
      </c>
      <c r="AG30" s="441" t="str">
        <f>+MID('Input data'!$C$34,27,1)</f>
        <v/>
      </c>
      <c r="AH30" s="441" t="str">
        <f>+MID('Input data'!$C$34,28,1)</f>
        <v/>
      </c>
      <c r="AI30" s="441" t="str">
        <f>+MID('Input data'!$C$34,29,1)</f>
        <v/>
      </c>
      <c r="AJ30" s="441" t="str">
        <f>+MID('Input data'!$C$34,30,1)</f>
        <v/>
      </c>
      <c r="AK30" s="448" t="str">
        <f>+MID('Input data'!$C$34,31,1)</f>
        <v/>
      </c>
    </row>
    <row r="31" spans="1:37" s="447" customFormat="1" ht="12.75" customHeight="1">
      <c r="A31" s="446" t="s">
        <v>2245</v>
      </c>
      <c r="B31" s="441"/>
      <c r="C31" s="441"/>
      <c r="D31" s="441"/>
      <c r="E31" s="441"/>
      <c r="F31" s="441"/>
      <c r="G31" s="441"/>
      <c r="H31" s="441"/>
      <c r="I31" s="441"/>
      <c r="J31" s="441"/>
      <c r="K31" s="441"/>
      <c r="L31" s="441"/>
      <c r="M31" s="441"/>
      <c r="N31" s="441"/>
      <c r="O31" s="441"/>
      <c r="P31" s="441"/>
      <c r="Q31" s="441"/>
      <c r="R31" s="441"/>
      <c r="S31" s="441"/>
      <c r="T31" s="441"/>
      <c r="U31" s="441"/>
      <c r="V31" s="441"/>
      <c r="W31" s="441"/>
      <c r="X31" s="441"/>
      <c r="Y31" s="441"/>
      <c r="Z31" s="441"/>
      <c r="AA31" s="441"/>
      <c r="AB31" s="441"/>
      <c r="AC31" s="441"/>
      <c r="AD31" s="441"/>
      <c r="AE31" s="441"/>
      <c r="AF31" s="441"/>
      <c r="AG31" s="441"/>
      <c r="AH31" s="441"/>
      <c r="AI31" s="441"/>
      <c r="AJ31" s="441"/>
      <c r="AK31" s="448"/>
    </row>
    <row r="32" spans="1:37" s="447" customFormat="1" ht="19.5" customHeight="1">
      <c r="A32" s="449" t="str">
        <f>+LEFT('Input data'!$F$22,1)</f>
        <v>O</v>
      </c>
      <c r="B32" s="441" t="str">
        <f>+MID('Input data'!$F$22,2,1)</f>
        <v>k</v>
      </c>
      <c r="C32" s="441" t="str">
        <f>+MID('Input data'!$F$22,3,1)</f>
        <v>r</v>
      </c>
      <c r="D32" s="441" t="str">
        <f>+MID('Input data'!$F$22,4,1)</f>
        <v>e</v>
      </c>
      <c r="E32" s="441" t="str">
        <f>+MID('Input data'!$F$22,5,1)</f>
        <v>s</v>
      </c>
      <c r="F32" s="441" t="str">
        <f>+MID('Input data'!$F$22,6,1)</f>
        <v>n</v>
      </c>
      <c r="G32" s="441" t="str">
        <f>+MID('Input data'!$F$22,7,1)</f>
        <v>ý</v>
      </c>
      <c r="H32" s="441" t="str">
        <f>+MID('Input data'!$F$22,8,1)</f>
        <v xml:space="preserve"> </v>
      </c>
      <c r="I32" s="441" t="str">
        <f>+MID('Input data'!$F$22,9,1)</f>
        <v>s</v>
      </c>
      <c r="J32" s="441" t="str">
        <f>+MID('Input data'!$F$22,10,1)</f>
        <v>ú</v>
      </c>
      <c r="K32" s="441" t="str">
        <f>+MID('Input data'!$F$22,11,1)</f>
        <v>d</v>
      </c>
      <c r="L32" s="441" t="str">
        <f>+MID('Input data'!$F$22,12,1)</f>
        <v xml:space="preserve"> </v>
      </c>
      <c r="M32" s="441" t="str">
        <f>+MID('Input data'!$F$22,13,1)</f>
        <v>B</v>
      </c>
      <c r="N32" s="441" t="str">
        <f>+MID('Input data'!$F$22,14,1)</f>
        <v>r</v>
      </c>
      <c r="O32" s="441" t="str">
        <f>+MID('Input data'!$F$22,15,1)</f>
        <v>a</v>
      </c>
      <c r="P32" s="441" t="str">
        <f>+MID('Input data'!$F$22,16,1)</f>
        <v>t</v>
      </c>
      <c r="Q32" s="441" t="str">
        <f>+MID('Input data'!$F$22,17,1)</f>
        <v>i</v>
      </c>
      <c r="R32" s="441" t="str">
        <f>+MID('Input data'!$F$22,18,1)</f>
        <v>s</v>
      </c>
      <c r="S32" s="441" t="str">
        <f>+MID('Input data'!$F$22,19,1)</f>
        <v>l</v>
      </c>
      <c r="T32" s="441" t="str">
        <f>+MID('Input data'!$F$22,20,1)</f>
        <v>a</v>
      </c>
      <c r="U32" s="441" t="str">
        <f>+MID('Input data'!$F$22,21,1)</f>
        <v>v</v>
      </c>
      <c r="V32" s="441" t="str">
        <f>+MID('Input data'!$F$22,22,1)</f>
        <v>a</v>
      </c>
      <c r="W32" s="441" t="str">
        <f>+MID('Input data'!$F$22,23,1)</f>
        <v xml:space="preserve"> </v>
      </c>
      <c r="X32" s="441" t="str">
        <f>+MID('Input data'!$F$22,24,1)</f>
        <v>I</v>
      </c>
      <c r="Y32" s="441" t="str">
        <f>+MID('Input data'!$F$22,25,1)</f>
        <v>.</v>
      </c>
      <c r="Z32" s="441" t="str">
        <f>+MID('Input data'!$F$22,26,1)</f>
        <v xml:space="preserve">
</v>
      </c>
      <c r="AA32" s="441" t="str">
        <f>+MID('Input data'!$F$22,27,1)</f>
        <v>O</v>
      </c>
      <c r="AB32" s="441" t="str">
        <f>+MID('Input data'!$F$22,28,1)</f>
        <v>d</v>
      </c>
      <c r="AC32" s="441" t="str">
        <f>+MID('Input data'!$F$22,29,1)</f>
        <v>d</v>
      </c>
      <c r="AD32" s="441" t="str">
        <f>+MID('Input data'!$F$22,30,1)</f>
        <v>i</v>
      </c>
      <c r="AE32" s="441" t="str">
        <f>+MID('Input data'!$F$22,31,1)</f>
        <v>e</v>
      </c>
      <c r="AF32" s="441" t="str">
        <f>+MID('Input data'!$F$22,32,1)</f>
        <v>l</v>
      </c>
      <c r="AG32" s="441" t="str">
        <f>+MID('Input data'!$F$22,33,1)</f>
        <v xml:space="preserve"> </v>
      </c>
      <c r="AH32" s="441" t="str">
        <f>+MID('Input data'!$F$22,34,1)</f>
        <v>S</v>
      </c>
      <c r="AI32" s="441" t="str">
        <f>+MID('Input data'!$F$22,35,1)</f>
        <v>r</v>
      </c>
      <c r="AJ32" s="441" t="str">
        <f>+MID('Input data'!$F$22,36,1)</f>
        <v>o</v>
      </c>
      <c r="AK32" s="448" t="str">
        <f>+MID('Input data'!$F$22,37,1)</f>
        <v>,</v>
      </c>
    </row>
    <row r="33" spans="1:37" s="447" customFormat="1" ht="19.5" customHeight="1">
      <c r="A33" s="449" t="str">
        <f>+MID('Input data'!$F$22,38,1)</f>
        <v xml:space="preserve"> </v>
      </c>
      <c r="B33" s="441" t="str">
        <f>+MID('Input data'!$F$22,39,1)</f>
        <v>v</v>
      </c>
      <c r="C33" s="441" t="str">
        <f>+MID('Input data'!$F$22,40,1)</f>
        <v>l</v>
      </c>
      <c r="D33" s="441" t="str">
        <f>+MID('Input data'!$F$22,41,1)</f>
        <v>o</v>
      </c>
      <c r="E33" s="441" t="str">
        <f>+MID('Input data'!$F$22,42,1)</f>
        <v>ž</v>
      </c>
      <c r="F33" s="441" t="str">
        <f>+MID('Input data'!$F$22,43,1)</f>
        <v>k</v>
      </c>
      <c r="G33" s="441" t="str">
        <f>+MID('Input data'!$F$22,44,1)</f>
        <v>a</v>
      </c>
      <c r="H33" s="441" t="str">
        <f>+MID('Input data'!$F$22,45,1)</f>
        <v xml:space="preserve"> </v>
      </c>
      <c r="I33" s="441" t="str">
        <f>+MID('Input data'!$F$22,46,1)</f>
        <v>č</v>
      </c>
      <c r="J33" s="441" t="str">
        <f>+MID('Input data'!$F$22,47,1)</f>
        <v>.</v>
      </c>
      <c r="K33" s="441" t="str">
        <f>+MID('Input data'!$F$22,48,1)</f>
        <v xml:space="preserve"> </v>
      </c>
      <c r="L33" s="441" t="str">
        <f>+MID('Input data'!$F$22,49,1)</f>
        <v>6</v>
      </c>
      <c r="M33" s="441" t="str">
        <f>+MID('Input data'!$F$22,50,1)</f>
        <v>3</v>
      </c>
      <c r="N33" s="441" t="str">
        <f>+MID('Input data'!$F$22,51,1)</f>
        <v>7</v>
      </c>
      <c r="O33" s="441" t="str">
        <f>+MID('Input data'!$F$22,52,1)</f>
        <v>4</v>
      </c>
      <c r="P33" s="441" t="str">
        <f>+MID('Input data'!$F$22,53,1)</f>
        <v>/</v>
      </c>
      <c r="Q33" s="441" t="str">
        <f>+MID('Input data'!$F$22,54,1)</f>
        <v>B</v>
      </c>
      <c r="R33" s="441" t="str">
        <f>+MID('Input data'!$F$22,55,1)</f>
        <v/>
      </c>
      <c r="S33" s="441" t="str">
        <f>+MID('Input data'!$F$22,56,1)</f>
        <v/>
      </c>
      <c r="T33" s="441" t="str">
        <f>+MID('Input data'!$F$22,57,1)</f>
        <v/>
      </c>
      <c r="U33" s="441" t="str">
        <f>+MID('Input data'!$F$22,58,1)</f>
        <v/>
      </c>
      <c r="V33" s="441" t="str">
        <f>+MID('Input data'!$F$22,59,1)</f>
        <v/>
      </c>
      <c r="W33" s="441" t="str">
        <f>+MID('Input data'!$F$22,60,1)</f>
        <v/>
      </c>
      <c r="X33" s="441" t="str">
        <f>+MID('Input data'!$F$22,61,1)</f>
        <v/>
      </c>
      <c r="Y33" s="441" t="str">
        <f>+MID('Input data'!$F$22,62,1)</f>
        <v/>
      </c>
      <c r="Z33" s="441" t="str">
        <f>+MID('Input data'!$F$22,63,1)</f>
        <v/>
      </c>
      <c r="AA33" s="441" t="str">
        <f>+MID('Input data'!$F$22,64,1)</f>
        <v/>
      </c>
      <c r="AB33" s="441" t="str">
        <f>+MID('Input data'!$F$22,65,1)</f>
        <v/>
      </c>
      <c r="AC33" s="441" t="str">
        <f>+MID('Input data'!$F$22,66,1)</f>
        <v/>
      </c>
      <c r="AD33" s="441" t="str">
        <f>+MID('Input data'!$F$22,67,1)</f>
        <v/>
      </c>
      <c r="AE33" s="441" t="str">
        <f>+MID('Input data'!$F$22,68,1)</f>
        <v/>
      </c>
      <c r="AF33" s="441" t="str">
        <f>+MID('Input data'!$F$22,69,1)</f>
        <v/>
      </c>
      <c r="AG33" s="441" t="str">
        <f>+MID('Input data'!$F$22,70,1)</f>
        <v/>
      </c>
      <c r="AH33" s="441" t="str">
        <f>+MID('Input data'!$F$22,71,1)</f>
        <v/>
      </c>
      <c r="AI33" s="441" t="str">
        <f>+MID('Input data'!$F$22,72,1)</f>
        <v/>
      </c>
      <c r="AJ33" s="441" t="str">
        <f>+MID('Input data'!$F$22,73,1)</f>
        <v/>
      </c>
      <c r="AK33" s="448" t="str">
        <f>+MID('Input data'!$F$22,74,1)</f>
        <v/>
      </c>
    </row>
    <row r="34" spans="1:37">
      <c r="A34" s="446" t="s">
        <v>2251</v>
      </c>
      <c r="B34" s="1033"/>
      <c r="C34" s="1033"/>
      <c r="D34" s="1033"/>
      <c r="E34" s="1033"/>
      <c r="F34" s="1033"/>
      <c r="G34" s="445"/>
      <c r="H34" s="445"/>
      <c r="I34" s="445"/>
      <c r="J34" s="445"/>
      <c r="K34" s="445"/>
      <c r="L34" s="445"/>
      <c r="M34" s="445"/>
      <c r="N34" s="1033"/>
      <c r="O34" s="445" t="s">
        <v>2252</v>
      </c>
      <c r="P34" s="445"/>
      <c r="Q34" s="445"/>
      <c r="R34" s="445"/>
      <c r="S34" s="445"/>
      <c r="T34" s="445"/>
      <c r="U34" s="445"/>
      <c r="V34" s="445"/>
      <c r="W34" s="445"/>
      <c r="X34" s="445"/>
      <c r="Y34" s="445"/>
      <c r="Z34" s="445"/>
      <c r="AA34" s="445"/>
      <c r="AB34" s="445"/>
      <c r="AC34" s="445"/>
      <c r="AD34" s="445"/>
      <c r="AE34" s="399"/>
      <c r="AF34" s="399"/>
      <c r="AG34" s="399"/>
      <c r="AH34" s="399"/>
      <c r="AI34" s="399"/>
      <c r="AJ34" s="399"/>
      <c r="AK34" s="398"/>
    </row>
    <row r="35" spans="1:37" ht="19.5" customHeight="1">
      <c r="A35" s="444">
        <v>0</v>
      </c>
      <c r="B35" s="441" t="str">
        <f>+LEFT('Input data'!$C$36,1)</f>
        <v>2</v>
      </c>
      <c r="C35" s="441" t="str">
        <f>+MID('Input data'!$C$36,2,1)</f>
        <v/>
      </c>
      <c r="D35" s="441" t="str">
        <f>+MID('Input data'!$C$36,3,1)</f>
        <v/>
      </c>
      <c r="E35" s="441" t="s">
        <v>1092</v>
      </c>
      <c r="F35" s="441" t="str">
        <f>+LEFT('Input data'!$C$38,1)</f>
        <v>4</v>
      </c>
      <c r="G35" s="441" t="str">
        <f>+MID('Input data'!$C$38,2,1)</f>
        <v>8</v>
      </c>
      <c r="H35" s="441" t="str">
        <f>+MID('Input data'!$C$38,3,1)</f>
        <v>2</v>
      </c>
      <c r="I35" s="441" t="str">
        <f>+MID('Input data'!$C$38,4,1)</f>
        <v>0</v>
      </c>
      <c r="J35" s="441" t="str">
        <f>+MID('Input data'!$C$38,5,1)</f>
        <v>5</v>
      </c>
      <c r="K35" s="441" t="str">
        <f>+MID('Input data'!$C$38,6,1)</f>
        <v>2</v>
      </c>
      <c r="L35" s="441" t="str">
        <f>+MID('Input data'!$C$38,7,1)</f>
        <v>1</v>
      </c>
      <c r="M35" s="441" t="str">
        <f>+MID('Input data'!$C$38,8,1)</f>
        <v>0</v>
      </c>
      <c r="N35" s="443"/>
      <c r="O35" s="442">
        <v>0</v>
      </c>
      <c r="P35" s="441" t="str">
        <f>+LEFT('Input data'!$C$36,1)</f>
        <v>2</v>
      </c>
      <c r="Q35" s="441" t="str">
        <f>+MID('Input data'!$C$36,2,1)</f>
        <v/>
      </c>
      <c r="R35" s="441" t="str">
        <f>+MID('Input data'!$C$36,3,1)</f>
        <v/>
      </c>
      <c r="S35" s="441" t="s">
        <v>1092</v>
      </c>
      <c r="T35" s="441" t="str">
        <f>+LEFT('Input data'!$C$40,1)</f>
        <v>4</v>
      </c>
      <c r="U35" s="441" t="str">
        <f>+MID('Input data'!$C$40,2,1)</f>
        <v>8</v>
      </c>
      <c r="V35" s="441" t="str">
        <f>+MID('Input data'!$C$40,3,1)</f>
        <v>2</v>
      </c>
      <c r="W35" s="441" t="str">
        <f>+MID('Input data'!$C$40,4,1)</f>
        <v>0</v>
      </c>
      <c r="X35" s="441" t="str">
        <f>+MID('Input data'!$C$40,5,1)</f>
        <v>5</v>
      </c>
      <c r="Y35" s="441" t="str">
        <f>+MID('Input data'!$C$40,6,1)</f>
        <v>2</v>
      </c>
      <c r="Z35" s="441" t="str">
        <f>+MID('Input data'!$C$40,7,1)</f>
        <v>3</v>
      </c>
      <c r="AA35" s="441" t="str">
        <f>+MID('Input data'!$C$40,8,1)</f>
        <v>1</v>
      </c>
      <c r="AB35" s="441"/>
      <c r="AC35" s="441"/>
      <c r="AD35" s="441"/>
      <c r="AE35" s="399"/>
      <c r="AF35" s="399"/>
      <c r="AG35" s="399" t="s">
        <v>1093</v>
      </c>
      <c r="AH35" s="399"/>
      <c r="AI35" s="399"/>
      <c r="AJ35" s="399"/>
      <c r="AK35" s="398"/>
    </row>
    <row r="36" spans="1:37" s="391" customFormat="1">
      <c r="A36" s="403" t="s">
        <v>1094</v>
      </c>
      <c r="B36" s="402"/>
      <c r="C36" s="402"/>
      <c r="D36" s="402"/>
      <c r="E36" s="402"/>
      <c r="F36" s="402"/>
      <c r="G36" s="402"/>
      <c r="H36" s="402"/>
      <c r="I36" s="402"/>
      <c r="J36" s="402"/>
      <c r="K36" s="402"/>
      <c r="L36" s="402"/>
      <c r="M36" s="402"/>
      <c r="N36" s="402"/>
      <c r="O36" s="402"/>
      <c r="P36" s="402"/>
      <c r="Q36" s="402"/>
      <c r="R36" s="402"/>
      <c r="S36" s="402"/>
      <c r="T36" s="402"/>
      <c r="U36" s="402"/>
      <c r="V36" s="402"/>
      <c r="W36" s="399"/>
      <c r="X36" s="399"/>
      <c r="Y36" s="399"/>
      <c r="Z36" s="399"/>
      <c r="AA36" s="399"/>
      <c r="AB36" s="399"/>
      <c r="AC36" s="399"/>
      <c r="AD36" s="399"/>
      <c r="AE36" s="399"/>
      <c r="AF36" s="399"/>
      <c r="AG36" s="399"/>
      <c r="AH36" s="399"/>
      <c r="AI36" s="399"/>
      <c r="AJ36" s="399"/>
      <c r="AK36" s="398"/>
    </row>
    <row r="37" spans="1:37" ht="19.5" customHeight="1" thickBot="1">
      <c r="A37" s="440" t="str">
        <f>+LEFT('Input data'!$B$42,1)</f>
        <v>a</v>
      </c>
      <c r="B37" s="439" t="str">
        <f>+MID('Input data'!$B$42,2,1)</f>
        <v>c</v>
      </c>
      <c r="C37" s="439" t="str">
        <f>+MID('Input data'!$B$42,3,1)</f>
        <v>c</v>
      </c>
      <c r="D37" s="439" t="str">
        <f>+MID('Input data'!$B$42,4,1)</f>
        <v>o</v>
      </c>
      <c r="E37" s="439" t="str">
        <f>+MID('Input data'!$B$42,5,1)</f>
        <v>u</v>
      </c>
      <c r="F37" s="439" t="str">
        <f>+MID('Input data'!$B$42,6,1)</f>
        <v>n</v>
      </c>
      <c r="G37" s="439" t="str">
        <f>+MID('Input data'!$B$42,7,1)</f>
        <v>t</v>
      </c>
      <c r="H37" s="439" t="str">
        <f>+MID('Input data'!$B$42,8,1)</f>
        <v>i</v>
      </c>
      <c r="I37" s="439" t="str">
        <f>+MID('Input data'!$B$42,9,1)</f>
        <v>n</v>
      </c>
      <c r="J37" s="439" t="str">
        <f>+MID('Input data'!$B$42,10,1)</f>
        <v>g</v>
      </c>
      <c r="K37" s="439" t="str">
        <f>+MID('Input data'!$B$42,11,1)</f>
        <v>@</v>
      </c>
      <c r="L37" s="439" t="str">
        <f>+MID('Input data'!$B$42,12,1)</f>
        <v>o</v>
      </c>
      <c r="M37" s="439" t="str">
        <f>+MID('Input data'!$B$42,13,1)</f>
        <v>p</v>
      </c>
      <c r="N37" s="439" t="str">
        <f>+MID('Input data'!$B$42,14,1)</f>
        <v>t</v>
      </c>
      <c r="O37" s="439" t="str">
        <f>+MID('Input data'!$B$42,15,1)</f>
        <v>o</v>
      </c>
      <c r="P37" s="439" t="str">
        <f>+MID('Input data'!$B$42,16,1)</f>
        <v>c</v>
      </c>
      <c r="Q37" s="439" t="str">
        <f>+MID('Input data'!$B$42,17,1)</f>
        <v>o</v>
      </c>
      <c r="R37" s="439" t="str">
        <f>+MID('Input data'!$B$42,18,1)</f>
        <v>n</v>
      </c>
      <c r="S37" s="439" t="str">
        <f>+MID('Input data'!$B$42,19,1)</f>
        <v>.</v>
      </c>
      <c r="T37" s="439" t="str">
        <f>+MID('Input data'!$B$42,20,1)</f>
        <v>s</v>
      </c>
      <c r="U37" s="439" t="str">
        <f>+MID('Input data'!$B$42,21,1)</f>
        <v>k</v>
      </c>
      <c r="V37" s="439" t="str">
        <f>+MID('Input data'!$B$42,22,1)</f>
        <v/>
      </c>
      <c r="W37" s="439" t="str">
        <f>+MID('Input data'!$B$42,23,1)</f>
        <v/>
      </c>
      <c r="X37" s="439" t="str">
        <f>+MID('Input data'!$B$42,24,1)</f>
        <v/>
      </c>
      <c r="Y37" s="439" t="str">
        <f>+MID('Input data'!$B$42,25,1)</f>
        <v/>
      </c>
      <c r="Z37" s="439" t="str">
        <f>+MID('Input data'!$B$42,26,1)</f>
        <v/>
      </c>
      <c r="AA37" s="439" t="str">
        <f>+MID('Input data'!$B$42,27,1)</f>
        <v/>
      </c>
      <c r="AB37" s="439" t="str">
        <f>+MID('Input data'!$B$42,28,1)</f>
        <v/>
      </c>
      <c r="AC37" s="439" t="str">
        <f>+MID('Input data'!$B$42,29,1)</f>
        <v/>
      </c>
      <c r="AD37" s="439" t="str">
        <f>+MID('Input data'!$B$42,30,1)</f>
        <v/>
      </c>
      <c r="AE37" s="439" t="str">
        <f>+MID('Input data'!$B$42,31,1)</f>
        <v/>
      </c>
      <c r="AF37" s="439" t="str">
        <f>+MID('Input data'!$B$42,32,1)</f>
        <v/>
      </c>
      <c r="AG37" s="439" t="str">
        <f>+MID('Input data'!$B$42,33,1)</f>
        <v/>
      </c>
      <c r="AH37" s="439" t="str">
        <f>+MID('Input data'!$B$42,34,1)</f>
        <v/>
      </c>
      <c r="AI37" s="439" t="str">
        <f>+MID('Input data'!$B$42,35,1)</f>
        <v/>
      </c>
      <c r="AJ37" s="439" t="str">
        <f>+MID('Input data'!$B$42,36,1)</f>
        <v/>
      </c>
      <c r="AK37" s="438" t="str">
        <f>+MID('Input data'!$B$42,37,1)</f>
        <v/>
      </c>
    </row>
    <row r="38" spans="1:37" s="391" customFormat="1" ht="3.75" customHeight="1" thickBot="1">
      <c r="W38" s="392"/>
      <c r="X38" s="392"/>
      <c r="Y38" s="392"/>
      <c r="Z38" s="392"/>
      <c r="AA38" s="392"/>
      <c r="AB38" s="392"/>
      <c r="AC38" s="392"/>
      <c r="AD38" s="392"/>
      <c r="AE38" s="392"/>
      <c r="AF38" s="392"/>
      <c r="AG38" s="392"/>
      <c r="AH38" s="392"/>
      <c r="AI38" s="392"/>
      <c r="AJ38" s="392"/>
      <c r="AK38" s="392"/>
    </row>
    <row r="39" spans="1:37" s="434" customFormat="1" ht="12.75" customHeight="1">
      <c r="A39" s="437" t="s">
        <v>1095</v>
      </c>
      <c r="B39" s="436"/>
      <c r="C39" s="436"/>
      <c r="D39" s="436"/>
      <c r="E39" s="436"/>
      <c r="F39" s="436"/>
      <c r="G39" s="436"/>
      <c r="H39" s="436"/>
      <c r="I39" s="436"/>
      <c r="J39" s="436"/>
      <c r="K39" s="435"/>
      <c r="L39" s="1051" t="s">
        <v>1099</v>
      </c>
      <c r="M39" s="436"/>
      <c r="N39" s="436"/>
      <c r="O39" s="436"/>
      <c r="P39" s="436"/>
      <c r="Q39" s="436"/>
      <c r="R39" s="436"/>
      <c r="S39" s="436"/>
      <c r="T39" s="436"/>
      <c r="U39" s="436"/>
      <c r="V39" s="435"/>
      <c r="W39" s="1610" t="s">
        <v>2244</v>
      </c>
      <c r="X39" s="1610"/>
      <c r="Y39" s="1610"/>
      <c r="Z39" s="1610"/>
      <c r="AA39" s="1610"/>
      <c r="AB39" s="1610"/>
      <c r="AC39" s="1610"/>
      <c r="AD39" s="1610"/>
      <c r="AE39" s="1610"/>
      <c r="AF39" s="1610"/>
      <c r="AG39" s="1610"/>
      <c r="AH39" s="1610"/>
      <c r="AI39" s="1610"/>
      <c r="AJ39" s="1610"/>
      <c r="AK39" s="1611"/>
    </row>
    <row r="40" spans="1:37" s="391" customFormat="1" ht="31.5" customHeight="1">
      <c r="A40" s="420" t="str">
        <f>MID(TEXT('Input data'!$F$34,"dd.mm.yyyy"),1,1)</f>
        <v>1</v>
      </c>
      <c r="B40" s="419" t="str">
        <f>MID(TEXT('Input data'!$F$34,"dd.mm.yyyy"),2,1)</f>
        <v>5</v>
      </c>
      <c r="C40" s="418" t="s">
        <v>1063</v>
      </c>
      <c r="D40" s="419" t="str">
        <f>MID(TEXT('Input data'!$F$34,"dd.mm.yyyy"),4,1)</f>
        <v>0</v>
      </c>
      <c r="E40" s="419" t="str">
        <f>MID(TEXT('Input data'!$F$34,"dd.mm.yyyy"),5,1)</f>
        <v>5</v>
      </c>
      <c r="F40" s="418" t="s">
        <v>1063</v>
      </c>
      <c r="G40" s="417" t="str">
        <f>MID(TEXT('Input data'!$F$34,"dd.mm.yyyy"),7,1)</f>
        <v>2</v>
      </c>
      <c r="H40" s="417" t="str">
        <f>MID(TEXT('Input data'!$F$34,"dd.mm.yyyy"),8,1)</f>
        <v>0</v>
      </c>
      <c r="I40" s="417" t="str">
        <f>MID(TEXT('Input data'!$F$34,"dd.mm.yyyy"),9,1)</f>
        <v>1</v>
      </c>
      <c r="J40" s="417" t="str">
        <f>MID(TEXT('Input data'!$F$34,"dd.mm.yyyy"),10,1)</f>
        <v>8</v>
      </c>
      <c r="K40" s="433"/>
      <c r="L40" s="419" t="str">
        <f>IF('Input data'!$F$36="","",LEFT(TEXT('Input data'!$F$36,"dd.mm.yyyy"),1))</f>
        <v/>
      </c>
      <c r="M40" s="419" t="str">
        <f>IF('Input data'!$F$36="","",MID(TEXT('Input data'!$F$36,"dd.mm.yyyy"),2,1))</f>
        <v/>
      </c>
      <c r="N40" s="418" t="s">
        <v>1063</v>
      </c>
      <c r="O40" s="419" t="str">
        <f>IF('Input data'!$F$36="","",MID(TEXT('Input data'!$F$36,"dd.mm.yyyy"),4,1))</f>
        <v/>
      </c>
      <c r="P40" s="419" t="str">
        <f>IF('Input data'!$F$36="","",MID(TEXT('Input data'!$F$36,"dd.mm.yyyy"),5,1))</f>
        <v/>
      </c>
      <c r="Q40" s="418" t="s">
        <v>1063</v>
      </c>
      <c r="R40" s="417" t="str">
        <f>IF('Input data'!$F$36="","",MID(TEXT('Input data'!$F$36,"dd.mm.yyyy"),7,1))</f>
        <v/>
      </c>
      <c r="S40" s="417" t="str">
        <f>IF('Input data'!$F$36="","",MID(TEXT('Input data'!$F$36,"dd.mm.yyyy"),8,1))</f>
        <v/>
      </c>
      <c r="T40" s="417" t="str">
        <f>IF('Input data'!$F$36="","",MID(TEXT('Input data'!$F$36,"dd.mm.yyyy"),9,1))</f>
        <v/>
      </c>
      <c r="U40" s="417" t="str">
        <f>IF('Input data'!$F$36="","",MID(TEXT('Input data'!$F$36,"dd.mm.yyyy"),10,1))</f>
        <v/>
      </c>
      <c r="V40" s="433"/>
      <c r="W40" s="1612"/>
      <c r="X40" s="1612"/>
      <c r="Y40" s="1612"/>
      <c r="Z40" s="1612"/>
      <c r="AA40" s="1612"/>
      <c r="AB40" s="1612"/>
      <c r="AC40" s="1612"/>
      <c r="AD40" s="1612"/>
      <c r="AE40" s="1612"/>
      <c r="AF40" s="1612"/>
      <c r="AG40" s="1612"/>
      <c r="AH40" s="1612"/>
      <c r="AI40" s="1612"/>
      <c r="AJ40" s="1612"/>
      <c r="AK40" s="1613"/>
    </row>
    <row r="41" spans="1:37" s="391" customFormat="1" ht="13.5" customHeight="1">
      <c r="A41" s="403"/>
      <c r="B41" s="402"/>
      <c r="C41" s="402"/>
      <c r="D41" s="402"/>
      <c r="E41" s="402"/>
      <c r="F41" s="402"/>
      <c r="G41" s="428"/>
      <c r="H41" s="428"/>
      <c r="I41" s="428"/>
      <c r="J41" s="428"/>
      <c r="K41" s="427"/>
      <c r="L41" s="402"/>
      <c r="M41" s="402"/>
      <c r="N41" s="402"/>
      <c r="O41" s="402"/>
      <c r="P41" s="402"/>
      <c r="Q41" s="402"/>
      <c r="R41" s="428"/>
      <c r="S41" s="428"/>
      <c r="T41" s="428"/>
      <c r="U41" s="428"/>
      <c r="V41" s="427"/>
      <c r="W41" s="1614"/>
      <c r="X41" s="1615"/>
      <c r="Y41" s="1615"/>
      <c r="Z41" s="1615"/>
      <c r="AA41" s="1615"/>
      <c r="AB41" s="1615"/>
      <c r="AC41" s="1615"/>
      <c r="AD41" s="1615"/>
      <c r="AE41" s="1615"/>
      <c r="AF41" s="1615"/>
      <c r="AG41" s="1615"/>
      <c r="AH41" s="1615"/>
      <c r="AI41" s="1615"/>
      <c r="AJ41" s="1615"/>
      <c r="AK41" s="1616"/>
    </row>
    <row r="42" spans="1:37" s="391" customFormat="1" ht="15.75" customHeight="1" thickBot="1">
      <c r="A42" s="396"/>
      <c r="B42" s="395"/>
      <c r="C42" s="395"/>
      <c r="D42" s="395"/>
      <c r="E42" s="395"/>
      <c r="F42" s="395"/>
      <c r="G42" s="1052"/>
      <c r="H42" s="1052"/>
      <c r="I42" s="1052"/>
      <c r="J42" s="1052"/>
      <c r="K42" s="1053"/>
      <c r="L42" s="1054"/>
      <c r="M42" s="1054"/>
      <c r="N42" s="1054"/>
      <c r="O42" s="1054"/>
      <c r="P42" s="1054"/>
      <c r="Q42" s="1054"/>
      <c r="R42" s="1054"/>
      <c r="S42" s="395"/>
      <c r="T42" s="1055"/>
      <c r="U42" s="1055"/>
      <c r="V42" s="1056"/>
      <c r="W42" s="1617"/>
      <c r="X42" s="1618"/>
      <c r="Y42" s="1618"/>
      <c r="Z42" s="1618"/>
      <c r="AA42" s="1618"/>
      <c r="AB42" s="1618"/>
      <c r="AC42" s="1618"/>
      <c r="AD42" s="1618"/>
      <c r="AE42" s="1618"/>
      <c r="AF42" s="1618"/>
      <c r="AG42" s="1618"/>
      <c r="AH42" s="1618"/>
      <c r="AI42" s="1618"/>
      <c r="AJ42" s="1618"/>
      <c r="AK42" s="1619"/>
    </row>
    <row r="43" spans="1:37" s="397" customFormat="1" ht="5.25" customHeight="1" thickBot="1">
      <c r="A43" s="400"/>
      <c r="B43" s="400"/>
      <c r="C43" s="400"/>
      <c r="D43" s="400"/>
      <c r="E43" s="400"/>
      <c r="F43" s="400"/>
      <c r="G43" s="400"/>
      <c r="H43" s="400"/>
      <c r="I43" s="400"/>
      <c r="J43" s="400"/>
      <c r="K43" s="400"/>
      <c r="L43" s="1038"/>
      <c r="M43" s="1038"/>
      <c r="N43" s="1038"/>
      <c r="O43" s="1038"/>
      <c r="P43" s="1038"/>
      <c r="Q43" s="1038"/>
      <c r="R43" s="1038"/>
      <c r="S43" s="1038"/>
      <c r="T43" s="1038"/>
      <c r="U43" s="1038"/>
      <c r="V43" s="1038"/>
      <c r="W43" s="1038"/>
      <c r="X43" s="1038"/>
      <c r="Y43" s="1038"/>
      <c r="Z43" s="1038"/>
      <c r="AA43" s="1038"/>
      <c r="AB43" s="1038"/>
      <c r="AC43" s="1039"/>
      <c r="AD43" s="1039"/>
      <c r="AE43" s="1039"/>
      <c r="AF43" s="1039"/>
      <c r="AG43" s="1039"/>
      <c r="AH43" s="1039"/>
      <c r="AI43" s="1039"/>
      <c r="AJ43" s="1039"/>
      <c r="AK43" s="1039"/>
    </row>
    <row r="44" spans="1:37" s="397" customFormat="1">
      <c r="B44" s="409" t="s">
        <v>1100</v>
      </c>
      <c r="C44" s="408"/>
      <c r="D44" s="408"/>
      <c r="E44" s="408"/>
      <c r="F44" s="408"/>
      <c r="G44" s="408"/>
      <c r="H44" s="408"/>
      <c r="I44" s="408"/>
      <c r="J44" s="408"/>
      <c r="K44" s="408"/>
      <c r="L44" s="408"/>
      <c r="M44" s="408"/>
      <c r="N44" s="408"/>
      <c r="O44" s="408"/>
      <c r="P44" s="408"/>
      <c r="Q44" s="408"/>
      <c r="R44" s="408"/>
      <c r="S44" s="408"/>
      <c r="T44" s="408"/>
      <c r="U44" s="408"/>
      <c r="V44" s="408"/>
      <c r="W44" s="407"/>
      <c r="X44" s="407"/>
      <c r="Y44" s="407"/>
      <c r="Z44" s="407"/>
      <c r="AA44" s="407"/>
      <c r="AB44" s="407"/>
      <c r="AC44" s="407"/>
      <c r="AD44" s="407"/>
      <c r="AE44" s="407"/>
      <c r="AF44" s="407"/>
      <c r="AG44" s="407"/>
      <c r="AH44" s="407"/>
      <c r="AI44" s="407"/>
      <c r="AJ44" s="406"/>
      <c r="AK44" s="392"/>
    </row>
    <row r="45" spans="1:37" s="397" customFormat="1">
      <c r="B45" s="401"/>
      <c r="C45" s="400"/>
      <c r="D45" s="400"/>
      <c r="E45" s="400"/>
      <c r="F45" s="400"/>
      <c r="G45" s="400"/>
      <c r="H45" s="400"/>
      <c r="I45" s="400"/>
      <c r="J45" s="400"/>
      <c r="K45" s="400"/>
      <c r="L45" s="400"/>
      <c r="M45" s="400"/>
      <c r="N45" s="400"/>
      <c r="O45" s="400"/>
      <c r="P45" s="400"/>
      <c r="Q45" s="400"/>
      <c r="R45" s="400"/>
      <c r="S45" s="400"/>
      <c r="T45" s="400"/>
      <c r="U45" s="400"/>
      <c r="V45" s="400"/>
      <c r="W45" s="399"/>
      <c r="X45" s="399"/>
      <c r="Y45" s="399"/>
      <c r="Z45" s="399"/>
      <c r="AA45" s="399"/>
      <c r="AB45" s="399"/>
      <c r="AC45" s="399"/>
      <c r="AD45" s="399"/>
      <c r="AE45" s="399"/>
      <c r="AF45" s="399"/>
      <c r="AG45" s="399"/>
      <c r="AH45" s="399"/>
      <c r="AI45" s="399"/>
      <c r="AJ45" s="398"/>
      <c r="AK45" s="392"/>
    </row>
    <row r="46" spans="1:37" ht="12.75" customHeight="1">
      <c r="B46" s="405"/>
      <c r="C46" s="1033"/>
      <c r="D46" s="1033"/>
      <c r="E46" s="1033"/>
      <c r="F46" s="1033"/>
      <c r="G46" s="1033"/>
      <c r="H46" s="1033"/>
      <c r="I46" s="1033"/>
      <c r="J46" s="1033"/>
      <c r="K46" s="1033"/>
      <c r="L46" s="1033"/>
      <c r="M46" s="1033"/>
      <c r="N46" s="1033"/>
      <c r="O46" s="1033"/>
      <c r="P46" s="1033"/>
      <c r="Q46" s="1033"/>
      <c r="R46" s="1033"/>
      <c r="S46" s="1033"/>
      <c r="T46" s="1033"/>
      <c r="U46" s="1033"/>
      <c r="V46" s="1033"/>
      <c r="W46" s="399"/>
      <c r="X46" s="399"/>
      <c r="Y46" s="399"/>
      <c r="Z46" s="399"/>
      <c r="AA46" s="399"/>
      <c r="AB46" s="399"/>
      <c r="AC46" s="399"/>
      <c r="AD46" s="399"/>
      <c r="AE46" s="399"/>
      <c r="AF46" s="399"/>
      <c r="AG46" s="399"/>
      <c r="AH46" s="399"/>
      <c r="AI46" s="399"/>
      <c r="AJ46" s="398"/>
      <c r="AK46" s="392"/>
    </row>
    <row r="47" spans="1:37" s="391" customFormat="1">
      <c r="B47" s="403"/>
      <c r="C47" s="402"/>
      <c r="D47" s="402"/>
      <c r="E47" s="402"/>
      <c r="F47" s="402"/>
      <c r="G47" s="402"/>
      <c r="H47" s="402"/>
      <c r="I47" s="402"/>
      <c r="J47" s="402"/>
      <c r="K47" s="402"/>
      <c r="L47" s="402"/>
      <c r="M47" s="402"/>
      <c r="N47" s="402"/>
      <c r="O47" s="402"/>
      <c r="P47" s="402"/>
      <c r="Q47" s="402"/>
      <c r="R47" s="402"/>
      <c r="S47" s="402"/>
      <c r="T47" s="402"/>
      <c r="U47" s="402"/>
      <c r="V47" s="402"/>
      <c r="W47" s="399"/>
      <c r="X47" s="399"/>
      <c r="Y47" s="399"/>
      <c r="Z47" s="399"/>
      <c r="AA47" s="399"/>
      <c r="AB47" s="399"/>
      <c r="AC47" s="399"/>
      <c r="AD47" s="399"/>
      <c r="AE47" s="399"/>
      <c r="AF47" s="399"/>
      <c r="AG47" s="399"/>
      <c r="AH47" s="399"/>
      <c r="AI47" s="399"/>
      <c r="AJ47" s="398"/>
      <c r="AK47" s="392"/>
    </row>
    <row r="48" spans="1:37" s="391" customFormat="1">
      <c r="B48" s="403"/>
      <c r="C48" s="402"/>
      <c r="D48" s="402"/>
      <c r="E48" s="402"/>
      <c r="F48" s="402"/>
      <c r="G48" s="402"/>
      <c r="H48" s="402"/>
      <c r="I48" s="402"/>
      <c r="J48" s="402"/>
      <c r="K48" s="402"/>
      <c r="L48" s="402"/>
      <c r="M48" s="402"/>
      <c r="N48" s="402"/>
      <c r="O48" s="402"/>
      <c r="P48" s="402"/>
      <c r="Q48" s="402"/>
      <c r="R48" s="402"/>
      <c r="S48" s="402"/>
      <c r="T48" s="402"/>
      <c r="U48" s="402"/>
      <c r="V48" s="402"/>
      <c r="W48" s="399"/>
      <c r="X48" s="399"/>
      <c r="Y48" s="399"/>
      <c r="Z48" s="399"/>
      <c r="AA48" s="399"/>
      <c r="AB48" s="399"/>
      <c r="AC48" s="399"/>
      <c r="AD48" s="399"/>
      <c r="AE48" s="399"/>
      <c r="AF48" s="399"/>
      <c r="AG48" s="399"/>
      <c r="AH48" s="399"/>
      <c r="AI48" s="399"/>
      <c r="AJ48" s="398"/>
      <c r="AK48" s="392"/>
    </row>
    <row r="49" spans="2:37" s="397" customFormat="1">
      <c r="B49" s="401"/>
      <c r="C49" s="400"/>
      <c r="D49" s="400"/>
      <c r="E49" s="400"/>
      <c r="F49" s="400"/>
      <c r="G49" s="400"/>
      <c r="H49" s="400"/>
      <c r="I49" s="400"/>
      <c r="J49" s="400"/>
      <c r="K49" s="400"/>
      <c r="L49" s="400"/>
      <c r="M49" s="400"/>
      <c r="N49" s="400"/>
      <c r="O49" s="400"/>
      <c r="P49" s="400"/>
      <c r="Q49" s="400"/>
      <c r="R49" s="400"/>
      <c r="S49" s="400"/>
      <c r="T49" s="400"/>
      <c r="U49" s="400"/>
      <c r="V49" s="400"/>
      <c r="W49" s="399"/>
      <c r="X49" s="399"/>
      <c r="Y49" s="399"/>
      <c r="Z49" s="399"/>
      <c r="AA49" s="399"/>
      <c r="AB49" s="399"/>
      <c r="AC49" s="399"/>
      <c r="AD49" s="399"/>
      <c r="AE49" s="399"/>
      <c r="AF49" s="399"/>
      <c r="AG49" s="399"/>
      <c r="AH49" s="399"/>
      <c r="AI49" s="399"/>
      <c r="AJ49" s="398"/>
      <c r="AK49" s="392"/>
    </row>
    <row r="50" spans="2:37" s="397" customFormat="1">
      <c r="B50" s="401"/>
      <c r="C50" s="400"/>
      <c r="D50" s="400"/>
      <c r="E50" s="400"/>
      <c r="F50" s="400"/>
      <c r="G50" s="400"/>
      <c r="H50" s="400"/>
      <c r="I50" s="400"/>
      <c r="J50" s="400"/>
      <c r="K50" s="400"/>
      <c r="L50" s="400"/>
      <c r="M50" s="400"/>
      <c r="N50" s="400"/>
      <c r="O50" s="400"/>
      <c r="P50" s="400"/>
      <c r="Q50" s="400"/>
      <c r="R50" s="400"/>
      <c r="S50" s="400"/>
      <c r="T50" s="400"/>
      <c r="U50" s="400"/>
      <c r="V50" s="400"/>
      <c r="W50" s="399"/>
      <c r="X50" s="399"/>
      <c r="Y50" s="399"/>
      <c r="Z50" s="399"/>
      <c r="AA50" s="399"/>
      <c r="AB50" s="399"/>
      <c r="AC50" s="399"/>
      <c r="AD50" s="399"/>
      <c r="AE50" s="399"/>
      <c r="AF50" s="399"/>
      <c r="AG50" s="399"/>
      <c r="AH50" s="399"/>
      <c r="AI50" s="399"/>
      <c r="AJ50" s="398"/>
      <c r="AK50" s="392"/>
    </row>
    <row r="51" spans="2:37" s="397" customFormat="1">
      <c r="B51" s="401"/>
      <c r="C51" s="400"/>
      <c r="D51" s="400"/>
      <c r="E51" s="400"/>
      <c r="F51" s="400"/>
      <c r="G51" s="400"/>
      <c r="H51" s="400"/>
      <c r="I51" s="400"/>
      <c r="J51" s="400"/>
      <c r="K51" s="400"/>
      <c r="L51" s="400"/>
      <c r="M51" s="400"/>
      <c r="N51" s="400"/>
      <c r="O51" s="400"/>
      <c r="P51" s="400"/>
      <c r="Q51" s="400"/>
      <c r="R51" s="400"/>
      <c r="S51" s="400"/>
      <c r="T51" s="400"/>
      <c r="U51" s="400"/>
      <c r="V51" s="400"/>
      <c r="W51" s="399"/>
      <c r="X51" s="399"/>
      <c r="Y51" s="399"/>
      <c r="Z51" s="399"/>
      <c r="AA51" s="399"/>
      <c r="AB51" s="399"/>
      <c r="AC51" s="399"/>
      <c r="AD51" s="399"/>
      <c r="AE51" s="399"/>
      <c r="AF51" s="399"/>
      <c r="AG51" s="399"/>
      <c r="AH51" s="399"/>
      <c r="AI51" s="399"/>
      <c r="AJ51" s="398"/>
      <c r="AK51" s="392"/>
    </row>
    <row r="52" spans="2:37" s="397" customFormat="1">
      <c r="B52" s="401"/>
      <c r="C52" s="400"/>
      <c r="D52" s="400"/>
      <c r="E52" s="400"/>
      <c r="F52" s="400"/>
      <c r="G52" s="400"/>
      <c r="H52" s="400"/>
      <c r="I52" s="400"/>
      <c r="J52" s="400"/>
      <c r="K52" s="400"/>
      <c r="L52" s="400"/>
      <c r="M52" s="400"/>
      <c r="N52" s="400"/>
      <c r="O52" s="400"/>
      <c r="P52" s="400"/>
      <c r="Q52" s="400"/>
      <c r="R52" s="400"/>
      <c r="S52" s="400"/>
      <c r="T52" s="400"/>
      <c r="U52" s="400"/>
      <c r="V52" s="400"/>
      <c r="W52" s="399"/>
      <c r="X52" s="399"/>
      <c r="Y52" s="399"/>
      <c r="Z52" s="399"/>
      <c r="AA52" s="399"/>
      <c r="AB52" s="399"/>
      <c r="AC52" s="399"/>
      <c r="AD52" s="399"/>
      <c r="AE52" s="399"/>
      <c r="AF52" s="399"/>
      <c r="AG52" s="399"/>
      <c r="AH52" s="399"/>
      <c r="AI52" s="399"/>
      <c r="AJ52" s="398"/>
      <c r="AK52" s="392"/>
    </row>
    <row r="53" spans="2:37" s="397" customFormat="1" ht="13.5" thickBot="1">
      <c r="B53" s="412"/>
      <c r="C53" s="411"/>
      <c r="D53" s="411"/>
      <c r="E53" s="411"/>
      <c r="F53" s="411"/>
      <c r="G53" s="395" t="s">
        <v>1101</v>
      </c>
      <c r="H53" s="411"/>
      <c r="I53" s="411"/>
      <c r="J53" s="411"/>
      <c r="K53" s="411"/>
      <c r="L53" s="411"/>
      <c r="M53" s="411"/>
      <c r="N53" s="411"/>
      <c r="O53" s="411"/>
      <c r="P53" s="411"/>
      <c r="Q53" s="411"/>
      <c r="R53" s="411"/>
      <c r="S53" s="411"/>
      <c r="T53" s="411"/>
      <c r="U53" s="395" t="s">
        <v>1102</v>
      </c>
      <c r="V53" s="411"/>
      <c r="W53" s="394"/>
      <c r="X53" s="394"/>
      <c r="Y53" s="394"/>
      <c r="Z53" s="394"/>
      <c r="AA53" s="394"/>
      <c r="AB53" s="394"/>
      <c r="AC53" s="394"/>
      <c r="AD53" s="394"/>
      <c r="AE53" s="394"/>
      <c r="AF53" s="394"/>
      <c r="AG53" s="394"/>
      <c r="AH53" s="394"/>
      <c r="AI53" s="394"/>
      <c r="AJ53" s="393"/>
      <c r="AK53" s="392"/>
    </row>
    <row r="54" spans="2:37" s="391" customFormat="1" ht="4.5" customHeight="1">
      <c r="B54" s="402"/>
      <c r="C54" s="402"/>
      <c r="D54" s="402"/>
      <c r="E54" s="402"/>
      <c r="F54" s="402"/>
      <c r="G54" s="402"/>
      <c r="H54" s="402"/>
      <c r="I54" s="402"/>
      <c r="J54" s="402"/>
      <c r="K54" s="402"/>
      <c r="L54" s="402"/>
      <c r="M54" s="402"/>
      <c r="N54" s="402"/>
      <c r="O54" s="402"/>
      <c r="P54" s="402"/>
      <c r="Q54" s="402"/>
      <c r="R54" s="402"/>
      <c r="S54" s="402"/>
      <c r="T54" s="402"/>
      <c r="U54" s="402"/>
      <c r="V54" s="402"/>
      <c r="W54" s="399"/>
      <c r="X54" s="399"/>
      <c r="Y54" s="399"/>
      <c r="Z54" s="399"/>
      <c r="AA54" s="399"/>
      <c r="AB54" s="399"/>
      <c r="AC54" s="399"/>
      <c r="AD54" s="399"/>
      <c r="AE54" s="399"/>
      <c r="AF54" s="399"/>
      <c r="AG54" s="399"/>
      <c r="AH54" s="399"/>
      <c r="AI54" s="399"/>
      <c r="AJ54" s="399"/>
      <c r="AK54" s="392"/>
    </row>
  </sheetData>
  <mergeCells count="2">
    <mergeCell ref="W39:AK40"/>
    <mergeCell ref="W41:AK42"/>
  </mergeCells>
  <pageMargins left="0.39370078740157483" right="0.39370078740157483" top="0.35433070866141736" bottom="0.35433070866141736" header="0.23622047244094491" footer="0.23622047244094491"/>
  <pageSetup scale="92" orientation="portrait" r:id="rId1"/>
  <headerFooter alignWithMargins="0">
    <oddFooter>&amp;LMF SR č. 18009/2014&amp;RStrana 1</odd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92D050"/>
  </sheetPr>
  <dimension ref="A1:O252"/>
  <sheetViews>
    <sheetView showGridLines="0" view="pageBreakPreview" topLeftCell="A110" zoomScaleNormal="100" zoomScaleSheetLayoutView="100" workbookViewId="0">
      <selection activeCell="H120" sqref="H120"/>
    </sheetView>
  </sheetViews>
  <sheetFormatPr defaultColWidth="9.140625" defaultRowHeight="11.25"/>
  <cols>
    <col min="1" max="1" width="5.5703125" style="1179" customWidth="1"/>
    <col min="2" max="2" width="16.85546875" style="1179" customWidth="1"/>
    <col min="3" max="3" width="0.85546875" style="1179" customWidth="1"/>
    <col min="4" max="4" width="3.7109375" style="1179" customWidth="1"/>
    <col min="5" max="5" width="3.5703125" style="1179" customWidth="1"/>
    <col min="6" max="6" width="12.42578125" style="1179" customWidth="1"/>
    <col min="7" max="7" width="12.140625" style="1179" customWidth="1"/>
    <col min="8" max="8" width="0.85546875" style="1179" customWidth="1"/>
    <col min="9" max="9" width="14.7109375" style="1179" customWidth="1"/>
    <col min="10" max="10" width="3.5703125" style="1179" customWidth="1"/>
    <col min="11" max="11" width="10.5703125" style="1179" customWidth="1"/>
    <col min="12" max="12" width="14.42578125" style="1179" customWidth="1"/>
    <col min="13" max="16384" width="9.140625" style="1179"/>
  </cols>
  <sheetData>
    <row r="1" spans="1:15" ht="15" customHeight="1">
      <c r="A1" s="1178"/>
      <c r="B1" s="502"/>
      <c r="C1" s="445"/>
      <c r="G1" s="1180"/>
      <c r="H1" s="1180"/>
      <c r="I1" s="1180"/>
      <c r="J1" s="1180"/>
      <c r="K1" s="1180"/>
    </row>
    <row r="2" spans="1:15" ht="21.75" customHeight="1">
      <c r="A2" s="1178"/>
      <c r="B2" s="1166" t="s">
        <v>2399</v>
      </c>
      <c r="C2" s="1169"/>
      <c r="D2" s="525" t="s">
        <v>1231</v>
      </c>
      <c r="E2" s="1322" t="str">
        <f>"  "&amp;'SK Cover sheet'!A11&amp;"  "&amp;'SK Cover sheet'!B11&amp;"  "&amp;'SK Cover sheet'!C11&amp;"  "&amp;'SK Cover sheet'!D11&amp;"  "&amp;'SK Cover sheet'!E11&amp;"  "&amp;'SK Cover sheet'!F11&amp;"  "&amp;'SK Cover sheet'!G11&amp;"  "&amp;'SK Cover sheet'!H11&amp;"  "&amp;'SK Cover sheet'!I11&amp;"  "&amp;'SK Cover sheet'!J11</f>
        <v xml:space="preserve">  2  0  2  0  3  1  9  8  2  9</v>
      </c>
      <c r="F2" s="523"/>
      <c r="G2" s="522"/>
      <c r="H2" s="1205"/>
      <c r="I2" s="1213" t="s">
        <v>1074</v>
      </c>
      <c r="J2" s="1210" t="str">
        <f>"  "&amp;'SK Cover sheet'!A13&amp;"  "&amp;'SK Cover sheet'!B13&amp;"  "&amp;'SK Cover sheet'!C13&amp;"  "&amp;'SK Cover sheet'!D13&amp;"  "&amp;'SK Cover sheet'!E13&amp;"  "&amp;'SK Cover sheet'!F13&amp;"  "&amp;'SK Cover sheet'!G13&amp;"  "&amp;'SK Cover sheet'!H13&amp;" "</f>
        <v xml:space="preserve">  3  1  3  6  5  5  0  7 </v>
      </c>
      <c r="K2" s="1211"/>
      <c r="L2" s="1212"/>
    </row>
    <row r="3" spans="1:15" ht="2.25" customHeight="1" thickBot="1">
      <c r="A3" s="1356"/>
      <c r="B3" s="1180"/>
      <c r="C3" s="1180"/>
      <c r="D3" s="1180"/>
      <c r="E3" s="1180"/>
      <c r="F3" s="1180"/>
      <c r="G3" s="1180"/>
      <c r="H3" s="1180"/>
      <c r="I3" s="1180"/>
      <c r="J3" s="1180"/>
      <c r="K3" s="1180"/>
      <c r="L3" s="1180"/>
    </row>
    <row r="4" spans="1:15" s="1181" customFormat="1" ht="11.25" customHeight="1">
      <c r="A4" s="1631" t="s">
        <v>1137</v>
      </c>
      <c r="B4" s="1633" t="s">
        <v>1181</v>
      </c>
      <c r="C4" s="1324"/>
      <c r="D4" s="1635" t="s">
        <v>1135</v>
      </c>
      <c r="E4" s="1638" t="s">
        <v>2</v>
      </c>
      <c r="F4" s="1639"/>
      <c r="G4" s="1639"/>
      <c r="H4" s="1639"/>
      <c r="I4" s="1639"/>
      <c r="J4" s="1640"/>
      <c r="K4" s="1641" t="s">
        <v>1180</v>
      </c>
      <c r="L4" s="1642"/>
    </row>
    <row r="5" spans="1:15" s="1181" customFormat="1" ht="11.25" customHeight="1">
      <c r="A5" s="1632"/>
      <c r="B5" s="1634"/>
      <c r="C5" s="1317"/>
      <c r="D5" s="1636"/>
      <c r="E5" s="1645">
        <v>1</v>
      </c>
      <c r="F5" s="1634" t="s">
        <v>1179</v>
      </c>
      <c r="G5" s="1620"/>
      <c r="H5" s="1299"/>
      <c r="I5" s="1646" t="s">
        <v>1178</v>
      </c>
      <c r="J5" s="1647"/>
      <c r="K5" s="1643"/>
      <c r="L5" s="1644"/>
    </row>
    <row r="6" spans="1:15" s="1181" customFormat="1" ht="12" customHeight="1">
      <c r="A6" s="1632"/>
      <c r="B6" s="1634"/>
      <c r="C6" s="1295"/>
      <c r="D6" s="1637"/>
      <c r="E6" s="1645"/>
      <c r="F6" s="1634" t="s">
        <v>1177</v>
      </c>
      <c r="G6" s="1620"/>
      <c r="H6" s="1299"/>
      <c r="I6" s="1646"/>
      <c r="J6" s="1647"/>
      <c r="K6" s="1620" t="s">
        <v>1176</v>
      </c>
      <c r="L6" s="1621"/>
    </row>
    <row r="7" spans="1:15" s="1183" customFormat="1" ht="27.95" customHeight="1">
      <c r="A7" s="1622"/>
      <c r="B7" s="1623" t="s">
        <v>2403</v>
      </c>
      <c r="C7" s="1309"/>
      <c r="D7" s="1624" t="s">
        <v>522</v>
      </c>
      <c r="E7" s="1626">
        <f>BS!D10</f>
        <v>5888095</v>
      </c>
      <c r="F7" s="1626"/>
      <c r="G7" s="1627"/>
      <c r="H7" s="1300"/>
      <c r="I7" s="1628">
        <f>E7-E8</f>
        <v>4805868</v>
      </c>
      <c r="J7" s="1628"/>
      <c r="K7" s="1629"/>
      <c r="L7" s="1182"/>
    </row>
    <row r="8" spans="1:15" s="1183" customFormat="1" ht="27.95" customHeight="1">
      <c r="A8" s="1622"/>
      <c r="B8" s="1623"/>
      <c r="C8" s="1310"/>
      <c r="D8" s="1625"/>
      <c r="E8" s="1626">
        <f>BS!E10</f>
        <v>1082227</v>
      </c>
      <c r="F8" s="1626"/>
      <c r="G8" s="1627"/>
      <c r="H8" s="1300"/>
      <c r="I8" s="1300"/>
      <c r="J8" s="1627">
        <f>BS!G10</f>
        <v>4632339</v>
      </c>
      <c r="K8" s="1628"/>
      <c r="L8" s="1630"/>
      <c r="O8" s="1183" t="s">
        <v>1093</v>
      </c>
    </row>
    <row r="9" spans="1:15" s="1183" customFormat="1" ht="27.95" customHeight="1">
      <c r="A9" s="1622" t="s">
        <v>523</v>
      </c>
      <c r="B9" s="1623" t="s">
        <v>2401</v>
      </c>
      <c r="C9" s="1309"/>
      <c r="D9" s="1624" t="s">
        <v>525</v>
      </c>
      <c r="E9" s="1626">
        <f>BS!D11</f>
        <v>3096481</v>
      </c>
      <c r="F9" s="1626"/>
      <c r="G9" s="1627"/>
      <c r="H9" s="1300"/>
      <c r="I9" s="1628">
        <f>E9-E10</f>
        <v>2030208</v>
      </c>
      <c r="J9" s="1628"/>
      <c r="K9" s="1629"/>
      <c r="L9" s="1182"/>
    </row>
    <row r="10" spans="1:15" s="1183" customFormat="1" ht="27.95" customHeight="1">
      <c r="A10" s="1622"/>
      <c r="B10" s="1623"/>
      <c r="C10" s="1310"/>
      <c r="D10" s="1625"/>
      <c r="E10" s="1626">
        <f>BS!E11</f>
        <v>1066273</v>
      </c>
      <c r="F10" s="1626"/>
      <c r="G10" s="1627"/>
      <c r="H10" s="1300"/>
      <c r="I10" s="1300"/>
      <c r="J10" s="1627">
        <f>BS!G11</f>
        <v>2030475</v>
      </c>
      <c r="K10" s="1628"/>
      <c r="L10" s="1630"/>
    </row>
    <row r="11" spans="1:15" s="1183" customFormat="1" ht="27.95" customHeight="1">
      <c r="A11" s="1648" t="s">
        <v>526</v>
      </c>
      <c r="B11" s="1650" t="s">
        <v>2402</v>
      </c>
      <c r="C11" s="1214"/>
      <c r="D11" s="1624" t="s">
        <v>528</v>
      </c>
      <c r="E11" s="1626">
        <f>BS!D12</f>
        <v>2251280</v>
      </c>
      <c r="F11" s="1626"/>
      <c r="G11" s="1627"/>
      <c r="H11" s="1300"/>
      <c r="I11" s="1628">
        <f>E11-E12</f>
        <v>1524352</v>
      </c>
      <c r="J11" s="1628"/>
      <c r="K11" s="1629"/>
      <c r="L11" s="1182"/>
    </row>
    <row r="12" spans="1:15" s="1183" customFormat="1" ht="27.95" customHeight="1">
      <c r="A12" s="1649"/>
      <c r="B12" s="1651"/>
      <c r="C12" s="1215"/>
      <c r="D12" s="1625"/>
      <c r="E12" s="1626">
        <f>BS!E12</f>
        <v>726928</v>
      </c>
      <c r="F12" s="1626"/>
      <c r="G12" s="1627"/>
      <c r="H12" s="1300"/>
      <c r="I12" s="1300"/>
      <c r="J12" s="1627">
        <f>BS!G12</f>
        <v>1848316</v>
      </c>
      <c r="K12" s="1628"/>
      <c r="L12" s="1630"/>
    </row>
    <row r="13" spans="1:15" s="1181" customFormat="1" ht="27.95" customHeight="1">
      <c r="A13" s="1663" t="s">
        <v>529</v>
      </c>
      <c r="B13" s="1654" t="s">
        <v>2404</v>
      </c>
      <c r="C13" s="1303"/>
      <c r="D13" s="1656" t="s">
        <v>531</v>
      </c>
      <c r="E13" s="1658">
        <f>BS!D13</f>
        <v>39396</v>
      </c>
      <c r="F13" s="1658"/>
      <c r="G13" s="1659"/>
      <c r="H13" s="1298"/>
      <c r="I13" s="1660">
        <f>E13-E14</f>
        <v>23628</v>
      </c>
      <c r="J13" s="1660"/>
      <c r="K13" s="1661"/>
      <c r="L13" s="1185"/>
    </row>
    <row r="14" spans="1:15" s="1181" customFormat="1" ht="27.95" customHeight="1">
      <c r="A14" s="1664"/>
      <c r="B14" s="1655"/>
      <c r="C14" s="1304"/>
      <c r="D14" s="1657"/>
      <c r="E14" s="1658">
        <f>BS!E13</f>
        <v>15768</v>
      </c>
      <c r="F14" s="1658"/>
      <c r="G14" s="1659"/>
      <c r="H14" s="1298"/>
      <c r="I14" s="1298"/>
      <c r="J14" s="1659">
        <f>BS!G13</f>
        <v>31512</v>
      </c>
      <c r="K14" s="1660"/>
      <c r="L14" s="1662"/>
    </row>
    <row r="15" spans="1:15" s="1181" customFormat="1" ht="27.95" customHeight="1">
      <c r="A15" s="1652" t="s">
        <v>532</v>
      </c>
      <c r="B15" s="1654" t="s">
        <v>2405</v>
      </c>
      <c r="C15" s="1303"/>
      <c r="D15" s="1656" t="s">
        <v>534</v>
      </c>
      <c r="E15" s="1658">
        <f>BS!D14</f>
        <v>0</v>
      </c>
      <c r="F15" s="1658"/>
      <c r="G15" s="1659"/>
      <c r="H15" s="1298"/>
      <c r="I15" s="1660">
        <f>E15-E16</f>
        <v>0</v>
      </c>
      <c r="J15" s="1660"/>
      <c r="K15" s="1661"/>
      <c r="L15" s="1185"/>
    </row>
    <row r="16" spans="1:15" s="1181" customFormat="1" ht="27.95" customHeight="1">
      <c r="A16" s="1653"/>
      <c r="B16" s="1655"/>
      <c r="C16" s="1304"/>
      <c r="D16" s="1657"/>
      <c r="E16" s="1658">
        <f>BS!E14</f>
        <v>0</v>
      </c>
      <c r="F16" s="1658"/>
      <c r="G16" s="1659"/>
      <c r="H16" s="1298"/>
      <c r="I16" s="1298"/>
      <c r="J16" s="1659">
        <f>BS!G14</f>
        <v>0</v>
      </c>
      <c r="K16" s="1660"/>
      <c r="L16" s="1662"/>
    </row>
    <row r="17" spans="1:12" s="1181" customFormat="1" ht="27.95" customHeight="1">
      <c r="A17" s="1652" t="s">
        <v>535</v>
      </c>
      <c r="B17" s="1654" t="s">
        <v>2406</v>
      </c>
      <c r="C17" s="1303"/>
      <c r="D17" s="1656" t="s">
        <v>537</v>
      </c>
      <c r="E17" s="1658">
        <f>BS!D15</f>
        <v>0</v>
      </c>
      <c r="F17" s="1658"/>
      <c r="G17" s="1659"/>
      <c r="H17" s="1298"/>
      <c r="I17" s="1660">
        <f>E17-E18</f>
        <v>0</v>
      </c>
      <c r="J17" s="1660"/>
      <c r="K17" s="1661"/>
      <c r="L17" s="1185"/>
    </row>
    <row r="18" spans="1:12" s="1181" customFormat="1" ht="27.95" customHeight="1">
      <c r="A18" s="1653"/>
      <c r="B18" s="1655"/>
      <c r="C18" s="1304"/>
      <c r="D18" s="1657"/>
      <c r="E18" s="1658">
        <f>BS!E15</f>
        <v>0</v>
      </c>
      <c r="F18" s="1658"/>
      <c r="G18" s="1659"/>
      <c r="H18" s="1298"/>
      <c r="I18" s="1298"/>
      <c r="J18" s="1659">
        <f>BS!G15</f>
        <v>0</v>
      </c>
      <c r="K18" s="1660"/>
      <c r="L18" s="1662"/>
    </row>
    <row r="19" spans="1:12" s="1181" customFormat="1" ht="27.95" customHeight="1">
      <c r="A19" s="1652" t="s">
        <v>538</v>
      </c>
      <c r="B19" s="1654" t="s">
        <v>2407</v>
      </c>
      <c r="C19" s="1303"/>
      <c r="D19" s="1656" t="s">
        <v>540</v>
      </c>
      <c r="E19" s="1658">
        <f>BS!D16</f>
        <v>2211884</v>
      </c>
      <c r="F19" s="1658"/>
      <c r="G19" s="1659"/>
      <c r="H19" s="1298"/>
      <c r="I19" s="1660">
        <f>E19-E20</f>
        <v>1500724</v>
      </c>
      <c r="J19" s="1660"/>
      <c r="K19" s="1661"/>
      <c r="L19" s="1185"/>
    </row>
    <row r="20" spans="1:12" s="1181" customFormat="1" ht="27.95" customHeight="1">
      <c r="A20" s="1653"/>
      <c r="B20" s="1655"/>
      <c r="C20" s="1304"/>
      <c r="D20" s="1657"/>
      <c r="E20" s="1658">
        <f>BS!E16</f>
        <v>711160</v>
      </c>
      <c r="F20" s="1658"/>
      <c r="G20" s="1659"/>
      <c r="H20" s="1298"/>
      <c r="I20" s="1298"/>
      <c r="J20" s="1659">
        <f>BS!G16</f>
        <v>1816804</v>
      </c>
      <c r="K20" s="1660"/>
      <c r="L20" s="1662"/>
    </row>
    <row r="21" spans="1:12" s="1181" customFormat="1" ht="27.95" customHeight="1">
      <c r="A21" s="1652" t="s">
        <v>541</v>
      </c>
      <c r="B21" s="1654" t="s">
        <v>2408</v>
      </c>
      <c r="C21" s="1303"/>
      <c r="D21" s="1656" t="s">
        <v>543</v>
      </c>
      <c r="E21" s="1658">
        <f>BS!D17</f>
        <v>0</v>
      </c>
      <c r="F21" s="1658"/>
      <c r="G21" s="1659"/>
      <c r="H21" s="1298"/>
      <c r="I21" s="1660">
        <f>E21-E22</f>
        <v>0</v>
      </c>
      <c r="J21" s="1660"/>
      <c r="K21" s="1661"/>
      <c r="L21" s="1185"/>
    </row>
    <row r="22" spans="1:12" s="1181" customFormat="1" ht="27.95" customHeight="1">
      <c r="A22" s="1653"/>
      <c r="B22" s="1655"/>
      <c r="C22" s="1304"/>
      <c r="D22" s="1657"/>
      <c r="E22" s="1658">
        <f>BS!E17</f>
        <v>0</v>
      </c>
      <c r="F22" s="1658"/>
      <c r="G22" s="1659"/>
      <c r="H22" s="1298"/>
      <c r="I22" s="1298"/>
      <c r="J22" s="1659">
        <f>BS!G17</f>
        <v>0</v>
      </c>
      <c r="K22" s="1660"/>
      <c r="L22" s="1662"/>
    </row>
    <row r="23" spans="1:12" s="1181" customFormat="1" ht="27.95" customHeight="1">
      <c r="A23" s="1652" t="s">
        <v>544</v>
      </c>
      <c r="B23" s="1654" t="s">
        <v>2409</v>
      </c>
      <c r="C23" s="1303"/>
      <c r="D23" s="1656" t="s">
        <v>546</v>
      </c>
      <c r="E23" s="1658">
        <f>BS!D18</f>
        <v>0</v>
      </c>
      <c r="F23" s="1658"/>
      <c r="G23" s="1659"/>
      <c r="H23" s="1298"/>
      <c r="I23" s="1660">
        <f>E23-E24</f>
        <v>0</v>
      </c>
      <c r="J23" s="1660"/>
      <c r="K23" s="1661"/>
      <c r="L23" s="1185"/>
    </row>
    <row r="24" spans="1:12" s="1181" customFormat="1" ht="27.95" customHeight="1">
      <c r="A24" s="1653"/>
      <c r="B24" s="1655"/>
      <c r="C24" s="1304"/>
      <c r="D24" s="1657"/>
      <c r="E24" s="1658">
        <f>BS!E18</f>
        <v>0</v>
      </c>
      <c r="F24" s="1658"/>
      <c r="G24" s="1659"/>
      <c r="H24" s="1298"/>
      <c r="I24" s="1298"/>
      <c r="J24" s="1659">
        <f>BS!G18</f>
        <v>0</v>
      </c>
      <c r="K24" s="1660"/>
      <c r="L24" s="1662"/>
    </row>
    <row r="25" spans="1:12" s="1181" customFormat="1" ht="27.95" customHeight="1">
      <c r="A25" s="1652" t="s">
        <v>547</v>
      </c>
      <c r="B25" s="1654" t="s">
        <v>2410</v>
      </c>
      <c r="C25" s="1303"/>
      <c r="D25" s="1656" t="s">
        <v>549</v>
      </c>
      <c r="E25" s="1658">
        <f>BS!D19</f>
        <v>0</v>
      </c>
      <c r="F25" s="1658"/>
      <c r="G25" s="1659"/>
      <c r="H25" s="1298"/>
      <c r="I25" s="1660">
        <f>E25-E26</f>
        <v>0</v>
      </c>
      <c r="J25" s="1660"/>
      <c r="K25" s="1661"/>
      <c r="L25" s="1185"/>
    </row>
    <row r="26" spans="1:12" s="1181" customFormat="1" ht="27.95" customHeight="1">
      <c r="A26" s="1653"/>
      <c r="B26" s="1655"/>
      <c r="C26" s="1304"/>
      <c r="D26" s="1657"/>
      <c r="E26" s="1658">
        <f>BS!E19</f>
        <v>0</v>
      </c>
      <c r="F26" s="1658"/>
      <c r="G26" s="1659"/>
      <c r="H26" s="1298"/>
      <c r="I26" s="1298"/>
      <c r="J26" s="1659">
        <f>BS!G19</f>
        <v>0</v>
      </c>
      <c r="K26" s="1660"/>
      <c r="L26" s="1662"/>
    </row>
    <row r="27" spans="1:12" s="1183" customFormat="1" ht="27.95" customHeight="1">
      <c r="A27" s="1665" t="s">
        <v>550</v>
      </c>
      <c r="B27" s="1667" t="s">
        <v>2411</v>
      </c>
      <c r="C27" s="1309"/>
      <c r="D27" s="1624" t="s">
        <v>552</v>
      </c>
      <c r="E27" s="1626">
        <f>BS!D20</f>
        <v>845201</v>
      </c>
      <c r="F27" s="1626"/>
      <c r="G27" s="1627"/>
      <c r="H27" s="1300"/>
      <c r="I27" s="1628">
        <f>E27-E28</f>
        <v>505856</v>
      </c>
      <c r="J27" s="1628"/>
      <c r="K27" s="1629"/>
      <c r="L27" s="1182"/>
    </row>
    <row r="28" spans="1:12" s="1183" customFormat="1" ht="27.95" customHeight="1">
      <c r="A28" s="1666"/>
      <c r="B28" s="1668"/>
      <c r="C28" s="1310"/>
      <c r="D28" s="1625"/>
      <c r="E28" s="1626">
        <f>BS!E20</f>
        <v>339345</v>
      </c>
      <c r="F28" s="1626"/>
      <c r="G28" s="1627"/>
      <c r="H28" s="1300"/>
      <c r="I28" s="1300"/>
      <c r="J28" s="1627">
        <f>BS!G20</f>
        <v>182159</v>
      </c>
      <c r="K28" s="1628"/>
      <c r="L28" s="1630"/>
    </row>
    <row r="29" spans="1:12" s="1181" customFormat="1" ht="27.95" customHeight="1">
      <c r="A29" s="1663" t="s">
        <v>553</v>
      </c>
      <c r="B29" s="1654" t="s">
        <v>2639</v>
      </c>
      <c r="C29" s="1303"/>
      <c r="D29" s="1656" t="s">
        <v>555</v>
      </c>
      <c r="E29" s="1658">
        <f>BS!D21</f>
        <v>0</v>
      </c>
      <c r="F29" s="1658"/>
      <c r="G29" s="1659"/>
      <c r="H29" s="1298"/>
      <c r="I29" s="1660">
        <f>E29-E30</f>
        <v>0</v>
      </c>
      <c r="J29" s="1660"/>
      <c r="K29" s="1661"/>
      <c r="L29" s="1185"/>
    </row>
    <row r="30" spans="1:12" s="1181" customFormat="1" ht="27.95" customHeight="1">
      <c r="A30" s="1664"/>
      <c r="B30" s="1655"/>
      <c r="C30" s="1304"/>
      <c r="D30" s="1657"/>
      <c r="E30" s="1658">
        <f>BS!E21</f>
        <v>0</v>
      </c>
      <c r="F30" s="1658"/>
      <c r="G30" s="1659"/>
      <c r="H30" s="1298"/>
      <c r="I30" s="1298"/>
      <c r="J30" s="1659">
        <f>BS!G21</f>
        <v>0</v>
      </c>
      <c r="K30" s="1660"/>
      <c r="L30" s="1662"/>
    </row>
    <row r="31" spans="1:12" s="1181" customFormat="1" ht="27.95" customHeight="1">
      <c r="A31" s="1652" t="s">
        <v>532</v>
      </c>
      <c r="B31" s="1654" t="s">
        <v>2412</v>
      </c>
      <c r="C31" s="1303"/>
      <c r="D31" s="1656" t="s">
        <v>557</v>
      </c>
      <c r="E31" s="1658">
        <f>BS!D22</f>
        <v>364187</v>
      </c>
      <c r="F31" s="1658"/>
      <c r="G31" s="1659"/>
      <c r="H31" s="1298"/>
      <c r="I31" s="1660">
        <f>E31-E32</f>
        <v>358240</v>
      </c>
      <c r="J31" s="1660"/>
      <c r="K31" s="1661"/>
      <c r="L31" s="1185"/>
    </row>
    <row r="32" spans="1:12" s="1181" customFormat="1" ht="27.95" customHeight="1">
      <c r="A32" s="1653"/>
      <c r="B32" s="1655"/>
      <c r="C32" s="1304"/>
      <c r="D32" s="1657"/>
      <c r="E32" s="1658">
        <f>BS!E22</f>
        <v>5947</v>
      </c>
      <c r="F32" s="1658"/>
      <c r="G32" s="1659"/>
      <c r="H32" s="1298"/>
      <c r="I32" s="1298"/>
      <c r="J32" s="1659">
        <f>BS!G22</f>
        <v>0</v>
      </c>
      <c r="K32" s="1660"/>
      <c r="L32" s="1662"/>
    </row>
    <row r="33" spans="1:12" ht="27.95" customHeight="1">
      <c r="A33" s="1653" t="s">
        <v>535</v>
      </c>
      <c r="B33" s="1654" t="s">
        <v>2413</v>
      </c>
      <c r="C33" s="1303"/>
      <c r="D33" s="1656" t="s">
        <v>559</v>
      </c>
      <c r="E33" s="1658">
        <f>BS!D23</f>
        <v>481014</v>
      </c>
      <c r="F33" s="1658"/>
      <c r="G33" s="1659"/>
      <c r="H33" s="1298"/>
      <c r="I33" s="1660">
        <f>E33-E34</f>
        <v>147616</v>
      </c>
      <c r="J33" s="1660"/>
      <c r="K33" s="1661"/>
      <c r="L33" s="1185"/>
    </row>
    <row r="34" spans="1:12" ht="33" customHeight="1" thickBot="1">
      <c r="A34" s="1670"/>
      <c r="B34" s="1671"/>
      <c r="C34" s="1351"/>
      <c r="D34" s="1672"/>
      <c r="E34" s="1673">
        <f>BS!E23</f>
        <v>333398</v>
      </c>
      <c r="F34" s="1673"/>
      <c r="G34" s="1674"/>
      <c r="H34" s="1352"/>
      <c r="I34" s="1352"/>
      <c r="J34" s="1674">
        <f>BS!G23</f>
        <v>182159</v>
      </c>
      <c r="K34" s="1675"/>
      <c r="L34" s="1676"/>
    </row>
    <row r="35" spans="1:12" ht="11.25" customHeight="1">
      <c r="A35" s="1631" t="s">
        <v>1137</v>
      </c>
      <c r="B35" s="1633" t="s">
        <v>1181</v>
      </c>
      <c r="C35" s="1324"/>
      <c r="D35" s="1635" t="s">
        <v>1135</v>
      </c>
      <c r="E35" s="1639" t="s">
        <v>2</v>
      </c>
      <c r="F35" s="1639"/>
      <c r="G35" s="1639"/>
      <c r="H35" s="1639"/>
      <c r="I35" s="1639"/>
      <c r="J35" s="1640"/>
      <c r="K35" s="1641" t="s">
        <v>1180</v>
      </c>
      <c r="L35" s="1642"/>
    </row>
    <row r="36" spans="1:12" ht="11.25" customHeight="1">
      <c r="A36" s="1632"/>
      <c r="B36" s="1634"/>
      <c r="C36" s="1317"/>
      <c r="D36" s="1636"/>
      <c r="E36" s="1677">
        <v>1</v>
      </c>
      <c r="F36" s="1634" t="s">
        <v>1179</v>
      </c>
      <c r="G36" s="1620"/>
      <c r="H36" s="1299"/>
      <c r="I36" s="1646" t="s">
        <v>1178</v>
      </c>
      <c r="J36" s="1647"/>
      <c r="K36" s="1643"/>
      <c r="L36" s="1644"/>
    </row>
    <row r="37" spans="1:12" ht="12" customHeight="1">
      <c r="A37" s="1632"/>
      <c r="B37" s="1634"/>
      <c r="C37" s="1295"/>
      <c r="D37" s="1637"/>
      <c r="E37" s="1677"/>
      <c r="F37" s="1634" t="s">
        <v>1177</v>
      </c>
      <c r="G37" s="1620"/>
      <c r="H37" s="1299"/>
      <c r="I37" s="1646"/>
      <c r="J37" s="1647"/>
      <c r="K37" s="1620" t="s">
        <v>1176</v>
      </c>
      <c r="L37" s="1621"/>
    </row>
    <row r="38" spans="1:12" ht="27.95" customHeight="1">
      <c r="A38" s="1669" t="s">
        <v>538</v>
      </c>
      <c r="B38" s="1654" t="s">
        <v>2414</v>
      </c>
      <c r="C38" s="1303"/>
      <c r="D38" s="1656" t="s">
        <v>561</v>
      </c>
      <c r="E38" s="1658">
        <f>BS!D24</f>
        <v>0</v>
      </c>
      <c r="F38" s="1658"/>
      <c r="G38" s="1659"/>
      <c r="H38" s="1314"/>
      <c r="I38" s="1659">
        <f>E38-E39</f>
        <v>0</v>
      </c>
      <c r="J38" s="1660"/>
      <c r="K38" s="1661"/>
      <c r="L38" s="1353"/>
    </row>
    <row r="39" spans="1:12" ht="27.95" customHeight="1">
      <c r="A39" s="1669"/>
      <c r="B39" s="1655"/>
      <c r="C39" s="1304"/>
      <c r="D39" s="1657"/>
      <c r="E39" s="1661">
        <f>BS!E24</f>
        <v>0</v>
      </c>
      <c r="F39" s="1658"/>
      <c r="G39" s="1659"/>
      <c r="H39" s="1298"/>
      <c r="I39" s="1306"/>
      <c r="J39" s="1659">
        <f>BS!G24</f>
        <v>0</v>
      </c>
      <c r="K39" s="1660"/>
      <c r="L39" s="1662"/>
    </row>
    <row r="40" spans="1:12" ht="27.95" customHeight="1">
      <c r="A40" s="1653" t="s">
        <v>541</v>
      </c>
      <c r="B40" s="1678" t="s">
        <v>2415</v>
      </c>
      <c r="C40" s="1303"/>
      <c r="D40" s="1656" t="s">
        <v>563</v>
      </c>
      <c r="E40" s="1661">
        <f>BS!D25</f>
        <v>0</v>
      </c>
      <c r="F40" s="1658"/>
      <c r="G40" s="1659"/>
      <c r="H40" s="1307"/>
      <c r="I40" s="1659">
        <f>E40-E41</f>
        <v>0</v>
      </c>
      <c r="J40" s="1660"/>
      <c r="K40" s="1661"/>
      <c r="L40" s="1185"/>
    </row>
    <row r="41" spans="1:12" ht="27.95" customHeight="1">
      <c r="A41" s="1669"/>
      <c r="B41" s="1679"/>
      <c r="C41" s="1304"/>
      <c r="D41" s="1657"/>
      <c r="E41" s="1661">
        <f>BS!E25</f>
        <v>0</v>
      </c>
      <c r="F41" s="1658"/>
      <c r="G41" s="1659"/>
      <c r="H41" s="1298"/>
      <c r="I41" s="1306"/>
      <c r="J41" s="1659">
        <f>BS!G25</f>
        <v>0</v>
      </c>
      <c r="K41" s="1660"/>
      <c r="L41" s="1662"/>
    </row>
    <row r="42" spans="1:12" ht="27.95" customHeight="1">
      <c r="A42" s="1653" t="s">
        <v>544</v>
      </c>
      <c r="B42" s="1678" t="s">
        <v>2416</v>
      </c>
      <c r="C42" s="1303"/>
      <c r="D42" s="1656" t="s">
        <v>565</v>
      </c>
      <c r="E42" s="1661">
        <f>BS!D26</f>
        <v>0</v>
      </c>
      <c r="F42" s="1658"/>
      <c r="G42" s="1659"/>
      <c r="H42" s="1307"/>
      <c r="I42" s="1659">
        <f>E42-E43</f>
        <v>0</v>
      </c>
      <c r="J42" s="1660"/>
      <c r="K42" s="1661"/>
      <c r="L42" s="1185"/>
    </row>
    <row r="43" spans="1:12" ht="27.95" customHeight="1">
      <c r="A43" s="1669"/>
      <c r="B43" s="1679"/>
      <c r="C43" s="1304"/>
      <c r="D43" s="1657"/>
      <c r="E43" s="1661">
        <f>BS!E26</f>
        <v>0</v>
      </c>
      <c r="F43" s="1658"/>
      <c r="G43" s="1659"/>
      <c r="H43" s="1298"/>
      <c r="I43" s="1306"/>
      <c r="J43" s="1659">
        <f>BS!G26</f>
        <v>0</v>
      </c>
      <c r="K43" s="1660"/>
      <c r="L43" s="1662"/>
    </row>
    <row r="44" spans="1:12" ht="27.95" customHeight="1">
      <c r="A44" s="1653" t="s">
        <v>547</v>
      </c>
      <c r="B44" s="1678" t="s">
        <v>2642</v>
      </c>
      <c r="C44" s="1303"/>
      <c r="D44" s="1656" t="s">
        <v>567</v>
      </c>
      <c r="E44" s="1661">
        <f>BS!D27</f>
        <v>0</v>
      </c>
      <c r="F44" s="1658"/>
      <c r="G44" s="1659"/>
      <c r="H44" s="1307"/>
      <c r="I44" s="1659">
        <f>E44-E45</f>
        <v>0</v>
      </c>
      <c r="J44" s="1660"/>
      <c r="K44" s="1661"/>
      <c r="L44" s="1185"/>
    </row>
    <row r="45" spans="1:12" ht="27.95" customHeight="1">
      <c r="A45" s="1669"/>
      <c r="B45" s="1679"/>
      <c r="C45" s="1304"/>
      <c r="D45" s="1657"/>
      <c r="E45" s="1661">
        <f>BS!E27</f>
        <v>0</v>
      </c>
      <c r="F45" s="1658"/>
      <c r="G45" s="1659"/>
      <c r="H45" s="1298"/>
      <c r="I45" s="1306"/>
      <c r="J45" s="1659">
        <f>BS!G27</f>
        <v>0</v>
      </c>
      <c r="K45" s="1660"/>
      <c r="L45" s="1662"/>
    </row>
    <row r="46" spans="1:12" ht="27.95" customHeight="1">
      <c r="A46" s="1653" t="s">
        <v>568</v>
      </c>
      <c r="B46" s="1678" t="s">
        <v>2643</v>
      </c>
      <c r="C46" s="1303"/>
      <c r="D46" s="1656" t="s">
        <v>570</v>
      </c>
      <c r="E46" s="1661">
        <f>BS!D28</f>
        <v>0</v>
      </c>
      <c r="F46" s="1658"/>
      <c r="G46" s="1659"/>
      <c r="H46" s="1307"/>
      <c r="I46" s="1659">
        <f>E46-E47</f>
        <v>0</v>
      </c>
      <c r="J46" s="1660"/>
      <c r="K46" s="1661"/>
      <c r="L46" s="1185"/>
    </row>
    <row r="47" spans="1:12" ht="27.95" customHeight="1">
      <c r="A47" s="1669"/>
      <c r="B47" s="1679"/>
      <c r="C47" s="1304"/>
      <c r="D47" s="1657"/>
      <c r="E47" s="1661">
        <f>BS!E28</f>
        <v>0</v>
      </c>
      <c r="F47" s="1658"/>
      <c r="G47" s="1659"/>
      <c r="H47" s="1298"/>
      <c r="I47" s="1306"/>
      <c r="J47" s="1659">
        <f>BS!G28</f>
        <v>0</v>
      </c>
      <c r="K47" s="1660"/>
      <c r="L47" s="1662"/>
    </row>
    <row r="48" spans="1:12" ht="27.95" customHeight="1">
      <c r="A48" s="1653" t="s">
        <v>571</v>
      </c>
      <c r="B48" s="1678" t="s">
        <v>2417</v>
      </c>
      <c r="C48" s="1303"/>
      <c r="D48" s="1656" t="s">
        <v>573</v>
      </c>
      <c r="E48" s="1661">
        <f>BS!D29</f>
        <v>0</v>
      </c>
      <c r="F48" s="1658"/>
      <c r="G48" s="1659"/>
      <c r="H48" s="1307"/>
      <c r="I48" s="1659">
        <f>E48-E49</f>
        <v>0</v>
      </c>
      <c r="J48" s="1660"/>
      <c r="K48" s="1661"/>
      <c r="L48" s="1185"/>
    </row>
    <row r="49" spans="1:12" ht="27.95" customHeight="1">
      <c r="A49" s="1669"/>
      <c r="B49" s="1679"/>
      <c r="C49" s="1304"/>
      <c r="D49" s="1657"/>
      <c r="E49" s="1661">
        <f>BS!E29</f>
        <v>0</v>
      </c>
      <c r="F49" s="1658"/>
      <c r="G49" s="1659"/>
      <c r="H49" s="1298"/>
      <c r="I49" s="1306"/>
      <c r="J49" s="1659">
        <f>BS!G29</f>
        <v>0</v>
      </c>
      <c r="K49" s="1660"/>
      <c r="L49" s="1662"/>
    </row>
    <row r="50" spans="1:12" ht="27.95" customHeight="1">
      <c r="A50" s="1680" t="s">
        <v>574</v>
      </c>
      <c r="B50" s="1650" t="s">
        <v>2418</v>
      </c>
      <c r="C50" s="1221"/>
      <c r="D50" s="1624" t="s">
        <v>576</v>
      </c>
      <c r="E50" s="1626">
        <f>BS!D30</f>
        <v>0</v>
      </c>
      <c r="F50" s="1626"/>
      <c r="G50" s="1627"/>
      <c r="H50" s="1313"/>
      <c r="I50" s="1627">
        <f>E50-E51</f>
        <v>0</v>
      </c>
      <c r="J50" s="1628"/>
      <c r="K50" s="1629"/>
      <c r="L50" s="1182"/>
    </row>
    <row r="51" spans="1:12" ht="27.95" customHeight="1">
      <c r="A51" s="1681"/>
      <c r="B51" s="1651"/>
      <c r="C51" s="1215"/>
      <c r="D51" s="1625"/>
      <c r="E51" s="1626">
        <f>BS!E30</f>
        <v>0</v>
      </c>
      <c r="F51" s="1626"/>
      <c r="G51" s="1627"/>
      <c r="H51" s="1300"/>
      <c r="I51" s="1312"/>
      <c r="J51" s="1627">
        <f>BS!G30</f>
        <v>0</v>
      </c>
      <c r="K51" s="1628"/>
      <c r="L51" s="1630"/>
    </row>
    <row r="52" spans="1:12" s="1187" customFormat="1" ht="27.95" customHeight="1">
      <c r="A52" s="1653" t="s">
        <v>577</v>
      </c>
      <c r="B52" s="1654" t="s">
        <v>2419</v>
      </c>
      <c r="C52" s="1303"/>
      <c r="D52" s="1656" t="s">
        <v>579</v>
      </c>
      <c r="E52" s="1658">
        <f>BS!D31</f>
        <v>0</v>
      </c>
      <c r="F52" s="1658"/>
      <c r="G52" s="1659"/>
      <c r="H52" s="1307"/>
      <c r="I52" s="1659">
        <f>E52-E53</f>
        <v>0</v>
      </c>
      <c r="J52" s="1660"/>
      <c r="K52" s="1661"/>
      <c r="L52" s="1185"/>
    </row>
    <row r="53" spans="1:12" s="1187" customFormat="1" ht="27.95" customHeight="1">
      <c r="A53" s="1669"/>
      <c r="B53" s="1655"/>
      <c r="C53" s="1304"/>
      <c r="D53" s="1657"/>
      <c r="E53" s="1658">
        <f>BS!E31</f>
        <v>0</v>
      </c>
      <c r="F53" s="1658"/>
      <c r="G53" s="1659"/>
      <c r="H53" s="1298"/>
      <c r="I53" s="1306"/>
      <c r="J53" s="1659">
        <f>BS!G31</f>
        <v>0</v>
      </c>
      <c r="K53" s="1660"/>
      <c r="L53" s="1662"/>
    </row>
    <row r="54" spans="1:12" ht="27.95" customHeight="1">
      <c r="A54" s="1653" t="s">
        <v>532</v>
      </c>
      <c r="B54" s="1654" t="s">
        <v>2420</v>
      </c>
      <c r="C54" s="1303"/>
      <c r="D54" s="1656" t="s">
        <v>581</v>
      </c>
      <c r="E54" s="1658">
        <f>BS!D32</f>
        <v>0</v>
      </c>
      <c r="F54" s="1658"/>
      <c r="G54" s="1659"/>
      <c r="H54" s="1307"/>
      <c r="I54" s="1659">
        <f>E54-E55</f>
        <v>0</v>
      </c>
      <c r="J54" s="1660"/>
      <c r="K54" s="1661"/>
      <c r="L54" s="1185"/>
    </row>
    <row r="55" spans="1:12" ht="27.95" customHeight="1">
      <c r="A55" s="1669"/>
      <c r="B55" s="1655"/>
      <c r="C55" s="1304"/>
      <c r="D55" s="1657"/>
      <c r="E55" s="1658">
        <f>BS!E32</f>
        <v>0</v>
      </c>
      <c r="F55" s="1658"/>
      <c r="G55" s="1659"/>
      <c r="H55" s="1298"/>
      <c r="I55" s="1306"/>
      <c r="J55" s="1659">
        <f>BS!G32</f>
        <v>0</v>
      </c>
      <c r="K55" s="1660"/>
      <c r="L55" s="1662"/>
    </row>
    <row r="56" spans="1:12" ht="27.95" customHeight="1">
      <c r="A56" s="1653" t="s">
        <v>535</v>
      </c>
      <c r="B56" s="1654" t="s">
        <v>2421</v>
      </c>
      <c r="C56" s="1303"/>
      <c r="D56" s="1656" t="s">
        <v>583</v>
      </c>
      <c r="E56" s="1658">
        <f>BS!D33</f>
        <v>0</v>
      </c>
      <c r="F56" s="1658"/>
      <c r="G56" s="1659"/>
      <c r="H56" s="1307"/>
      <c r="I56" s="1659">
        <f>E56-E57</f>
        <v>0</v>
      </c>
      <c r="J56" s="1660"/>
      <c r="K56" s="1661"/>
      <c r="L56" s="1185"/>
    </row>
    <row r="57" spans="1:12" ht="27.95" customHeight="1">
      <c r="A57" s="1669"/>
      <c r="B57" s="1655"/>
      <c r="C57" s="1304"/>
      <c r="D57" s="1657"/>
      <c r="E57" s="1658">
        <f>BS!E33</f>
        <v>0</v>
      </c>
      <c r="F57" s="1658"/>
      <c r="G57" s="1659"/>
      <c r="H57" s="1298"/>
      <c r="I57" s="1306"/>
      <c r="J57" s="1659">
        <f>BS!G33</f>
        <v>0</v>
      </c>
      <c r="K57" s="1660"/>
      <c r="L57" s="1662"/>
    </row>
    <row r="58" spans="1:12" ht="27.95" customHeight="1">
      <c r="A58" s="1653" t="s">
        <v>538</v>
      </c>
      <c r="B58" s="1654" t="s">
        <v>2422</v>
      </c>
      <c r="C58" s="1303"/>
      <c r="D58" s="1656" t="s">
        <v>585</v>
      </c>
      <c r="E58" s="1658">
        <f>BS!D34</f>
        <v>0</v>
      </c>
      <c r="F58" s="1658"/>
      <c r="G58" s="1659"/>
      <c r="H58" s="1307"/>
      <c r="I58" s="1659">
        <f>E58-E59</f>
        <v>0</v>
      </c>
      <c r="J58" s="1660"/>
      <c r="K58" s="1661"/>
      <c r="L58" s="1185"/>
    </row>
    <row r="59" spans="1:12" ht="27.95" customHeight="1">
      <c r="A59" s="1669"/>
      <c r="B59" s="1655"/>
      <c r="C59" s="1304"/>
      <c r="D59" s="1657"/>
      <c r="E59" s="1658">
        <f>BS!E34</f>
        <v>0</v>
      </c>
      <c r="F59" s="1658"/>
      <c r="G59" s="1659"/>
      <c r="H59" s="1298"/>
      <c r="I59" s="1306"/>
      <c r="J59" s="1659">
        <f>BS!G34</f>
        <v>0</v>
      </c>
      <c r="K59" s="1660"/>
      <c r="L59" s="1662"/>
    </row>
    <row r="60" spans="1:12" ht="27.95" customHeight="1">
      <c r="A60" s="1653" t="s">
        <v>541</v>
      </c>
      <c r="B60" s="1654" t="s">
        <v>2423</v>
      </c>
      <c r="C60" s="1303"/>
      <c r="D60" s="1656" t="s">
        <v>587</v>
      </c>
      <c r="E60" s="1658">
        <f>BS!D35</f>
        <v>0</v>
      </c>
      <c r="F60" s="1658"/>
      <c r="G60" s="1659"/>
      <c r="H60" s="1307"/>
      <c r="I60" s="1659">
        <f>E60-E61</f>
        <v>0</v>
      </c>
      <c r="J60" s="1660"/>
      <c r="K60" s="1661"/>
      <c r="L60" s="1185"/>
    </row>
    <row r="61" spans="1:12" ht="27.95" customHeight="1">
      <c r="A61" s="1669"/>
      <c r="B61" s="1655"/>
      <c r="C61" s="1304"/>
      <c r="D61" s="1657"/>
      <c r="E61" s="1658">
        <f>BS!E35</f>
        <v>0</v>
      </c>
      <c r="F61" s="1658"/>
      <c r="G61" s="1659"/>
      <c r="H61" s="1298"/>
      <c r="I61" s="1306"/>
      <c r="J61" s="1659">
        <f>BS!G35</f>
        <v>0</v>
      </c>
      <c r="K61" s="1660"/>
      <c r="L61" s="1662"/>
    </row>
    <row r="62" spans="1:12" ht="27.95" customHeight="1">
      <c r="A62" s="1653" t="s">
        <v>544</v>
      </c>
      <c r="B62" s="1654" t="s">
        <v>2424</v>
      </c>
      <c r="C62" s="1303"/>
      <c r="D62" s="1656" t="s">
        <v>589</v>
      </c>
      <c r="E62" s="1658">
        <f>BS!D36</f>
        <v>0</v>
      </c>
      <c r="F62" s="1658"/>
      <c r="G62" s="1659"/>
      <c r="H62" s="1307"/>
      <c r="I62" s="1659">
        <f>E62-E63</f>
        <v>0</v>
      </c>
      <c r="J62" s="1660"/>
      <c r="K62" s="1661"/>
      <c r="L62" s="1185"/>
    </row>
    <row r="63" spans="1:12" ht="27.95" customHeight="1">
      <c r="A63" s="1669"/>
      <c r="B63" s="1655"/>
      <c r="C63" s="1304"/>
      <c r="D63" s="1657"/>
      <c r="E63" s="1658">
        <f>BS!E36</f>
        <v>0</v>
      </c>
      <c r="F63" s="1658"/>
      <c r="G63" s="1659"/>
      <c r="H63" s="1298"/>
      <c r="I63" s="1306"/>
      <c r="J63" s="1659">
        <f>BS!G36</f>
        <v>0</v>
      </c>
      <c r="K63" s="1660"/>
      <c r="L63" s="1662"/>
    </row>
    <row r="64" spans="1:12" ht="27.95" customHeight="1">
      <c r="A64" s="1669" t="s">
        <v>547</v>
      </c>
      <c r="B64" s="1654" t="s">
        <v>2644</v>
      </c>
      <c r="C64" s="1303"/>
      <c r="D64" s="1656" t="s">
        <v>591</v>
      </c>
      <c r="E64" s="1658">
        <f>BS!D37</f>
        <v>0</v>
      </c>
      <c r="F64" s="1658"/>
      <c r="G64" s="1659"/>
      <c r="H64" s="1307"/>
      <c r="I64" s="1659">
        <f>E64-E65</f>
        <v>0</v>
      </c>
      <c r="J64" s="1660"/>
      <c r="K64" s="1661"/>
      <c r="L64" s="1185"/>
    </row>
    <row r="65" spans="1:12" ht="27.75" customHeight="1" thickBot="1">
      <c r="A65" s="1670"/>
      <c r="B65" s="1671"/>
      <c r="C65" s="1351"/>
      <c r="D65" s="1672"/>
      <c r="E65" s="1673">
        <f>BS!E37</f>
        <v>0</v>
      </c>
      <c r="F65" s="1673"/>
      <c r="G65" s="1674"/>
      <c r="H65" s="1352"/>
      <c r="I65" s="1354"/>
      <c r="J65" s="1674">
        <f>BS!G37</f>
        <v>0</v>
      </c>
      <c r="K65" s="1675"/>
      <c r="L65" s="1676"/>
    </row>
    <row r="66" spans="1:12" ht="11.25" customHeight="1">
      <c r="A66" s="1631" t="s">
        <v>1137</v>
      </c>
      <c r="B66" s="1633" t="s">
        <v>1181</v>
      </c>
      <c r="C66" s="1324"/>
      <c r="D66" s="1635" t="s">
        <v>1135</v>
      </c>
      <c r="E66" s="1639" t="s">
        <v>2</v>
      </c>
      <c r="F66" s="1639"/>
      <c r="G66" s="1639"/>
      <c r="H66" s="1639"/>
      <c r="I66" s="1639"/>
      <c r="J66" s="1640"/>
      <c r="K66" s="1641" t="s">
        <v>1180</v>
      </c>
      <c r="L66" s="1642"/>
    </row>
    <row r="67" spans="1:12" ht="11.25" customHeight="1">
      <c r="A67" s="1632"/>
      <c r="B67" s="1634"/>
      <c r="C67" s="1317"/>
      <c r="D67" s="1636"/>
      <c r="E67" s="1677">
        <v>1</v>
      </c>
      <c r="F67" s="1634" t="s">
        <v>1179</v>
      </c>
      <c r="G67" s="1620"/>
      <c r="H67" s="1299"/>
      <c r="I67" s="1646" t="s">
        <v>1178</v>
      </c>
      <c r="J67" s="1647"/>
      <c r="K67" s="1643"/>
      <c r="L67" s="1644"/>
    </row>
    <row r="68" spans="1:12" ht="12" customHeight="1">
      <c r="A68" s="1632"/>
      <c r="B68" s="1634"/>
      <c r="C68" s="1295"/>
      <c r="D68" s="1637"/>
      <c r="E68" s="1677"/>
      <c r="F68" s="1634" t="s">
        <v>1177</v>
      </c>
      <c r="G68" s="1620"/>
      <c r="H68" s="1299"/>
      <c r="I68" s="1646"/>
      <c r="J68" s="1647"/>
      <c r="K68" s="1620" t="s">
        <v>1176</v>
      </c>
      <c r="L68" s="1621"/>
    </row>
    <row r="69" spans="1:12" ht="27.95" customHeight="1">
      <c r="A69" s="1669" t="s">
        <v>568</v>
      </c>
      <c r="B69" s="1684" t="s">
        <v>2426</v>
      </c>
      <c r="C69" s="1303"/>
      <c r="D69" s="1656" t="s">
        <v>593</v>
      </c>
      <c r="E69" s="1658">
        <f>BS!D38</f>
        <v>0</v>
      </c>
      <c r="F69" s="1658"/>
      <c r="G69" s="1659"/>
      <c r="H69" s="1307"/>
      <c r="I69" s="1659">
        <f>E69-E70</f>
        <v>0</v>
      </c>
      <c r="J69" s="1660"/>
      <c r="K69" s="1661"/>
      <c r="L69" s="1185"/>
    </row>
    <row r="70" spans="1:12" ht="30.75" customHeight="1">
      <c r="A70" s="1669"/>
      <c r="B70" s="1685"/>
      <c r="C70" s="1304"/>
      <c r="D70" s="1657"/>
      <c r="E70" s="1658">
        <f>BS!E38</f>
        <v>0</v>
      </c>
      <c r="F70" s="1658"/>
      <c r="G70" s="1659"/>
      <c r="H70" s="1298"/>
      <c r="I70" s="1306"/>
      <c r="J70" s="1659">
        <f>BS!G38</f>
        <v>0</v>
      </c>
      <c r="K70" s="1660"/>
      <c r="L70" s="1662"/>
    </row>
    <row r="71" spans="1:12" ht="27.95" customHeight="1">
      <c r="A71" s="1669" t="s">
        <v>571</v>
      </c>
      <c r="B71" s="1682" t="s">
        <v>2427</v>
      </c>
      <c r="C71" s="1245"/>
      <c r="D71" s="1656" t="s">
        <v>596</v>
      </c>
      <c r="E71" s="1658">
        <f>BS!D39</f>
        <v>0</v>
      </c>
      <c r="F71" s="1658"/>
      <c r="G71" s="1659"/>
      <c r="H71" s="1307"/>
      <c r="I71" s="1659">
        <f>E71-E72</f>
        <v>0</v>
      </c>
      <c r="J71" s="1660"/>
      <c r="K71" s="1661"/>
      <c r="L71" s="1185"/>
    </row>
    <row r="72" spans="1:12" ht="27.95" customHeight="1">
      <c r="A72" s="1669"/>
      <c r="B72" s="1683"/>
      <c r="C72" s="1246"/>
      <c r="D72" s="1657"/>
      <c r="E72" s="1658">
        <f>BS!E39</f>
        <v>0</v>
      </c>
      <c r="F72" s="1658"/>
      <c r="G72" s="1659"/>
      <c r="H72" s="1298"/>
      <c r="I72" s="1306"/>
      <c r="J72" s="1659">
        <f>BS!G39</f>
        <v>0</v>
      </c>
      <c r="K72" s="1660"/>
      <c r="L72" s="1662"/>
    </row>
    <row r="73" spans="1:12" s="1187" customFormat="1" ht="27.95" customHeight="1">
      <c r="A73" s="1669" t="s">
        <v>758</v>
      </c>
      <c r="B73" s="1682" t="s">
        <v>2428</v>
      </c>
      <c r="C73" s="1245"/>
      <c r="D73" s="1656" t="s">
        <v>599</v>
      </c>
      <c r="E73" s="1658">
        <f>BS!D40</f>
        <v>0</v>
      </c>
      <c r="F73" s="1658"/>
      <c r="G73" s="1659"/>
      <c r="H73" s="1307"/>
      <c r="I73" s="1659">
        <f>E73-E74</f>
        <v>0</v>
      </c>
      <c r="J73" s="1660"/>
      <c r="K73" s="1661"/>
      <c r="L73" s="1185"/>
    </row>
    <row r="74" spans="1:12" s="1187" customFormat="1" ht="27.95" customHeight="1">
      <c r="A74" s="1669"/>
      <c r="B74" s="1683"/>
      <c r="C74" s="1246"/>
      <c r="D74" s="1657"/>
      <c r="E74" s="1658">
        <f>BS!E40</f>
        <v>0</v>
      </c>
      <c r="F74" s="1658"/>
      <c r="G74" s="1659"/>
      <c r="H74" s="1298"/>
      <c r="I74" s="1306"/>
      <c r="J74" s="1659">
        <f>BS!G40</f>
        <v>0</v>
      </c>
      <c r="K74" s="1660"/>
      <c r="L74" s="1662"/>
    </row>
    <row r="75" spans="1:12" s="1187" customFormat="1" ht="27.95" customHeight="1">
      <c r="A75" s="1669" t="s">
        <v>761</v>
      </c>
      <c r="B75" s="1654" t="s">
        <v>2429</v>
      </c>
      <c r="C75" s="1303"/>
      <c r="D75" s="1656" t="s">
        <v>602</v>
      </c>
      <c r="E75" s="1658">
        <f>BS!D41</f>
        <v>0</v>
      </c>
      <c r="F75" s="1658"/>
      <c r="G75" s="1659"/>
      <c r="H75" s="1307"/>
      <c r="I75" s="1659">
        <f>E75-E76</f>
        <v>0</v>
      </c>
      <c r="J75" s="1660"/>
      <c r="K75" s="1661"/>
      <c r="L75" s="1185"/>
    </row>
    <row r="76" spans="1:12" s="1187" customFormat="1" ht="27.95" customHeight="1">
      <c r="A76" s="1669"/>
      <c r="B76" s="1655"/>
      <c r="C76" s="1304"/>
      <c r="D76" s="1657"/>
      <c r="E76" s="1658">
        <f>BS!E41</f>
        <v>0</v>
      </c>
      <c r="F76" s="1658"/>
      <c r="G76" s="1659"/>
      <c r="H76" s="1298"/>
      <c r="I76" s="1306"/>
      <c r="J76" s="1659">
        <f>BS!G41</f>
        <v>0</v>
      </c>
      <c r="K76" s="1660"/>
      <c r="L76" s="1662"/>
    </row>
    <row r="77" spans="1:12" ht="27.95" customHeight="1">
      <c r="A77" s="1681" t="s">
        <v>594</v>
      </c>
      <c r="B77" s="1667" t="s">
        <v>2430</v>
      </c>
      <c r="C77" s="1309"/>
      <c r="D77" s="1624" t="s">
        <v>604</v>
      </c>
      <c r="E77" s="1626">
        <f>BS!D42</f>
        <v>2785556</v>
      </c>
      <c r="F77" s="1626"/>
      <c r="G77" s="1627"/>
      <c r="H77" s="1313"/>
      <c r="I77" s="1627">
        <f>E77-E78</f>
        <v>2769602</v>
      </c>
      <c r="J77" s="1628"/>
      <c r="K77" s="1629"/>
      <c r="L77" s="1182"/>
    </row>
    <row r="78" spans="1:12" ht="27.95" customHeight="1">
      <c r="A78" s="1681"/>
      <c r="B78" s="1668"/>
      <c r="C78" s="1310"/>
      <c r="D78" s="1625"/>
      <c r="E78" s="1626">
        <f>BS!E42</f>
        <v>15954</v>
      </c>
      <c r="F78" s="1626"/>
      <c r="G78" s="1627"/>
      <c r="H78" s="1300"/>
      <c r="I78" s="1312"/>
      <c r="J78" s="1627">
        <f>BS!G42</f>
        <v>2597227</v>
      </c>
      <c r="K78" s="1628"/>
      <c r="L78" s="1630"/>
    </row>
    <row r="79" spans="1:12" ht="27.95" customHeight="1">
      <c r="A79" s="1681" t="s">
        <v>597</v>
      </c>
      <c r="B79" s="1667" t="s">
        <v>2431</v>
      </c>
      <c r="C79" s="1309"/>
      <c r="D79" s="1624" t="s">
        <v>606</v>
      </c>
      <c r="E79" s="1626">
        <f>BS!D43</f>
        <v>1035190</v>
      </c>
      <c r="F79" s="1626"/>
      <c r="G79" s="1627"/>
      <c r="H79" s="1313"/>
      <c r="I79" s="1627">
        <f>E79-E80</f>
        <v>1028966</v>
      </c>
      <c r="J79" s="1628"/>
      <c r="K79" s="1629"/>
      <c r="L79" s="1182"/>
    </row>
    <row r="80" spans="1:12" ht="27.95" customHeight="1">
      <c r="A80" s="1681"/>
      <c r="B80" s="1668"/>
      <c r="C80" s="1310"/>
      <c r="D80" s="1625"/>
      <c r="E80" s="1626">
        <f>BS!E43</f>
        <v>6224</v>
      </c>
      <c r="F80" s="1626"/>
      <c r="G80" s="1627"/>
      <c r="H80" s="1300"/>
      <c r="I80" s="1312"/>
      <c r="J80" s="1627">
        <f>BS!G43</f>
        <v>756698</v>
      </c>
      <c r="K80" s="1628"/>
      <c r="L80" s="1630"/>
    </row>
    <row r="81" spans="1:14" ht="27.95" customHeight="1">
      <c r="A81" s="1669" t="s">
        <v>600</v>
      </c>
      <c r="B81" s="1654" t="s">
        <v>2432</v>
      </c>
      <c r="C81" s="1303"/>
      <c r="D81" s="1656" t="s">
        <v>608</v>
      </c>
      <c r="E81" s="1658">
        <f>BS!D44</f>
        <v>493711</v>
      </c>
      <c r="F81" s="1658"/>
      <c r="G81" s="1659"/>
      <c r="H81" s="1307"/>
      <c r="I81" s="1659">
        <f>E81-E82</f>
        <v>487487</v>
      </c>
      <c r="J81" s="1660"/>
      <c r="K81" s="1661"/>
      <c r="L81" s="1185"/>
    </row>
    <row r="82" spans="1:14" ht="27.95" customHeight="1">
      <c r="A82" s="1669"/>
      <c r="B82" s="1655"/>
      <c r="C82" s="1304"/>
      <c r="D82" s="1657"/>
      <c r="E82" s="1658">
        <f>BS!E44</f>
        <v>6224</v>
      </c>
      <c r="F82" s="1658"/>
      <c r="G82" s="1659"/>
      <c r="H82" s="1298"/>
      <c r="I82" s="1306"/>
      <c r="J82" s="1659">
        <f>BS!G44</f>
        <v>286180</v>
      </c>
      <c r="K82" s="1660"/>
      <c r="L82" s="1662"/>
    </row>
    <row r="83" spans="1:14" ht="27.95" customHeight="1">
      <c r="A83" s="1669" t="s">
        <v>532</v>
      </c>
      <c r="B83" s="1654" t="s">
        <v>2433</v>
      </c>
      <c r="C83" s="1303"/>
      <c r="D83" s="1656" t="s">
        <v>610</v>
      </c>
      <c r="E83" s="1658">
        <f>BS!D45</f>
        <v>3950</v>
      </c>
      <c r="F83" s="1658"/>
      <c r="G83" s="1659"/>
      <c r="H83" s="1307"/>
      <c r="I83" s="1659">
        <f>E83-E84</f>
        <v>3950</v>
      </c>
      <c r="J83" s="1660"/>
      <c r="K83" s="1661"/>
      <c r="L83" s="1185"/>
    </row>
    <row r="84" spans="1:14" ht="27.95" customHeight="1">
      <c r="A84" s="1669"/>
      <c r="B84" s="1655"/>
      <c r="C84" s="1304"/>
      <c r="D84" s="1657"/>
      <c r="E84" s="1658">
        <f>BS!E45</f>
        <v>0</v>
      </c>
      <c r="F84" s="1658"/>
      <c r="G84" s="1659"/>
      <c r="H84" s="1298"/>
      <c r="I84" s="1306"/>
      <c r="J84" s="1659">
        <f>BS!G45</f>
        <v>3887</v>
      </c>
      <c r="K84" s="1660"/>
      <c r="L84" s="1662"/>
    </row>
    <row r="85" spans="1:14" ht="27.95" customHeight="1">
      <c r="A85" s="1669" t="s">
        <v>535</v>
      </c>
      <c r="B85" s="1654" t="s">
        <v>2434</v>
      </c>
      <c r="C85" s="1303"/>
      <c r="D85" s="1656" t="s">
        <v>612</v>
      </c>
      <c r="E85" s="1658">
        <f>BS!D46</f>
        <v>2326</v>
      </c>
      <c r="F85" s="1658"/>
      <c r="G85" s="1659"/>
      <c r="H85" s="1307"/>
      <c r="I85" s="1659">
        <f>E85-E86</f>
        <v>2326</v>
      </c>
      <c r="J85" s="1660"/>
      <c r="K85" s="1661"/>
      <c r="L85" s="1185"/>
    </row>
    <row r="86" spans="1:14" ht="27.95" customHeight="1">
      <c r="A86" s="1669"/>
      <c r="B86" s="1655"/>
      <c r="C86" s="1304"/>
      <c r="D86" s="1657"/>
      <c r="E86" s="1658">
        <f>BS!E46</f>
        <v>0</v>
      </c>
      <c r="F86" s="1658"/>
      <c r="G86" s="1659"/>
      <c r="H86" s="1298"/>
      <c r="I86" s="1306"/>
      <c r="J86" s="1659">
        <f>BS!G46</f>
        <v>2797</v>
      </c>
      <c r="K86" s="1660"/>
      <c r="L86" s="1662"/>
    </row>
    <row r="87" spans="1:14" ht="27.95" customHeight="1">
      <c r="A87" s="1669" t="s">
        <v>538</v>
      </c>
      <c r="B87" s="1654" t="s">
        <v>2435</v>
      </c>
      <c r="C87" s="1303"/>
      <c r="D87" s="1656" t="s">
        <v>615</v>
      </c>
      <c r="E87" s="1658">
        <f>BS!D47</f>
        <v>0</v>
      </c>
      <c r="F87" s="1658"/>
      <c r="G87" s="1659"/>
      <c r="H87" s="1307"/>
      <c r="I87" s="1659">
        <f>E87-E88</f>
        <v>0</v>
      </c>
      <c r="J87" s="1660"/>
      <c r="K87" s="1661"/>
      <c r="L87" s="1185"/>
    </row>
    <row r="88" spans="1:14" ht="27.95" customHeight="1">
      <c r="A88" s="1669"/>
      <c r="B88" s="1655"/>
      <c r="C88" s="1304"/>
      <c r="D88" s="1657"/>
      <c r="E88" s="1658">
        <f>BS!E47</f>
        <v>0</v>
      </c>
      <c r="F88" s="1658"/>
      <c r="G88" s="1659"/>
      <c r="H88" s="1298"/>
      <c r="I88" s="1306"/>
      <c r="J88" s="1659">
        <f>BS!G47</f>
        <v>0</v>
      </c>
      <c r="K88" s="1660"/>
      <c r="L88" s="1662"/>
    </row>
    <row r="89" spans="1:14" s="1187" customFormat="1" ht="27.95" customHeight="1">
      <c r="A89" s="1669" t="s">
        <v>541</v>
      </c>
      <c r="B89" s="1654" t="s">
        <v>2436</v>
      </c>
      <c r="C89" s="1303"/>
      <c r="D89" s="1656" t="s">
        <v>618</v>
      </c>
      <c r="E89" s="1658">
        <f>BS!D48</f>
        <v>535203</v>
      </c>
      <c r="F89" s="1658"/>
      <c r="G89" s="1659"/>
      <c r="H89" s="1307"/>
      <c r="I89" s="1659">
        <f>E89-E90</f>
        <v>535203</v>
      </c>
      <c r="J89" s="1660"/>
      <c r="K89" s="1661"/>
      <c r="L89" s="1185"/>
    </row>
    <row r="90" spans="1:14" s="1187" customFormat="1" ht="27.95" customHeight="1">
      <c r="A90" s="1669"/>
      <c r="B90" s="1655"/>
      <c r="C90" s="1304"/>
      <c r="D90" s="1657"/>
      <c r="E90" s="1658">
        <f>BS!E48</f>
        <v>0</v>
      </c>
      <c r="F90" s="1658"/>
      <c r="G90" s="1659"/>
      <c r="H90" s="1298"/>
      <c r="I90" s="1306"/>
      <c r="J90" s="1659">
        <f>BS!G48</f>
        <v>463834</v>
      </c>
      <c r="K90" s="1660"/>
      <c r="L90" s="1662"/>
    </row>
    <row r="91" spans="1:14" s="1187" customFormat="1" ht="27.95" customHeight="1">
      <c r="A91" s="1669" t="s">
        <v>544</v>
      </c>
      <c r="B91" s="1654" t="s">
        <v>2437</v>
      </c>
      <c r="C91" s="1303"/>
      <c r="D91" s="1656" t="s">
        <v>620</v>
      </c>
      <c r="E91" s="1658">
        <f>BS!D49</f>
        <v>0</v>
      </c>
      <c r="F91" s="1658"/>
      <c r="G91" s="1659"/>
      <c r="H91" s="1307"/>
      <c r="I91" s="1659">
        <f>E91-E92</f>
        <v>0</v>
      </c>
      <c r="J91" s="1660"/>
      <c r="K91" s="1661"/>
      <c r="L91" s="1185"/>
    </row>
    <row r="92" spans="1:14" s="1187" customFormat="1" ht="27.95" customHeight="1">
      <c r="A92" s="1669"/>
      <c r="B92" s="1655"/>
      <c r="C92" s="1304"/>
      <c r="D92" s="1657"/>
      <c r="E92" s="1658">
        <f>BS!E49</f>
        <v>0</v>
      </c>
      <c r="F92" s="1658"/>
      <c r="G92" s="1659"/>
      <c r="H92" s="1298"/>
      <c r="I92" s="1306"/>
      <c r="J92" s="1659">
        <f>BS!G49</f>
        <v>0</v>
      </c>
      <c r="K92" s="1660"/>
      <c r="L92" s="1662"/>
    </row>
    <row r="93" spans="1:14" ht="27.95" customHeight="1">
      <c r="A93" s="1681" t="s">
        <v>613</v>
      </c>
      <c r="B93" s="1667" t="s">
        <v>2438</v>
      </c>
      <c r="C93" s="1309"/>
      <c r="D93" s="1624" t="s">
        <v>622</v>
      </c>
      <c r="E93" s="1626">
        <f>BS!D50</f>
        <v>0</v>
      </c>
      <c r="F93" s="1626"/>
      <c r="G93" s="1627"/>
      <c r="H93" s="1313"/>
      <c r="I93" s="1627">
        <f>E93-E94</f>
        <v>0</v>
      </c>
      <c r="J93" s="1628"/>
      <c r="K93" s="1629"/>
      <c r="L93" s="1182"/>
    </row>
    <row r="94" spans="1:14" ht="27.95" customHeight="1">
      <c r="A94" s="1681"/>
      <c r="B94" s="1668"/>
      <c r="C94" s="1247"/>
      <c r="D94" s="1625"/>
      <c r="E94" s="1626">
        <f>BS!E50</f>
        <v>0</v>
      </c>
      <c r="F94" s="1626"/>
      <c r="G94" s="1627"/>
      <c r="H94" s="1300"/>
      <c r="I94" s="1312"/>
      <c r="J94" s="1627">
        <f>BS!G50</f>
        <v>0</v>
      </c>
      <c r="K94" s="1628"/>
      <c r="L94" s="1630"/>
    </row>
    <row r="95" spans="1:14" ht="27.95" customHeight="1">
      <c r="A95" s="1681" t="s">
        <v>616</v>
      </c>
      <c r="B95" s="1667" t="s">
        <v>2439</v>
      </c>
      <c r="C95" s="1309"/>
      <c r="D95" s="1624" t="s">
        <v>624</v>
      </c>
      <c r="E95" s="1658">
        <f>BS!D51</f>
        <v>0</v>
      </c>
      <c r="F95" s="1658"/>
      <c r="G95" s="1659"/>
      <c r="H95" s="1307"/>
      <c r="I95" s="1659">
        <f>E95-E96</f>
        <v>0</v>
      </c>
      <c r="J95" s="1660"/>
      <c r="K95" s="1661"/>
      <c r="L95" s="1185"/>
      <c r="N95" s="1179" t="s">
        <v>1093</v>
      </c>
    </row>
    <row r="96" spans="1:14" ht="27.95" customHeight="1" thickBot="1">
      <c r="A96" s="1741"/>
      <c r="B96" s="1742"/>
      <c r="C96" s="1355"/>
      <c r="D96" s="1743"/>
      <c r="E96" s="1673">
        <f>BS!E51</f>
        <v>0</v>
      </c>
      <c r="F96" s="1673"/>
      <c r="G96" s="1674"/>
      <c r="H96" s="1352"/>
      <c r="I96" s="1354"/>
      <c r="J96" s="1674">
        <f>BS!G51</f>
        <v>0</v>
      </c>
      <c r="K96" s="1675"/>
      <c r="L96" s="1676"/>
    </row>
    <row r="97" spans="1:12" ht="11.25" customHeight="1">
      <c r="A97" s="1731" t="s">
        <v>1137</v>
      </c>
      <c r="B97" s="1733" t="s">
        <v>1181</v>
      </c>
      <c r="C97" s="1357"/>
      <c r="D97" s="1635" t="s">
        <v>1135</v>
      </c>
      <c r="E97" s="1638" t="s">
        <v>2</v>
      </c>
      <c r="F97" s="1639"/>
      <c r="G97" s="1639"/>
      <c r="H97" s="1639"/>
      <c r="I97" s="1639"/>
      <c r="J97" s="1640"/>
      <c r="K97" s="1641" t="s">
        <v>1180</v>
      </c>
      <c r="L97" s="1642"/>
    </row>
    <row r="98" spans="1:12" ht="11.25" customHeight="1">
      <c r="A98" s="1732"/>
      <c r="B98" s="1734"/>
      <c r="C98" s="1218"/>
      <c r="D98" s="1636"/>
      <c r="E98" s="1736">
        <v>1</v>
      </c>
      <c r="F98" s="1620" t="s">
        <v>1179</v>
      </c>
      <c r="G98" s="1738"/>
      <c r="H98" s="1296"/>
      <c r="I98" s="1739" t="s">
        <v>1178</v>
      </c>
      <c r="J98" s="1740"/>
      <c r="K98" s="1643"/>
      <c r="L98" s="1644"/>
    </row>
    <row r="99" spans="1:12" ht="12" customHeight="1">
      <c r="A99" s="1702"/>
      <c r="B99" s="1735"/>
      <c r="C99" s="1296"/>
      <c r="D99" s="1637"/>
      <c r="E99" s="1737"/>
      <c r="F99" s="1620" t="s">
        <v>1177</v>
      </c>
      <c r="G99" s="1738"/>
      <c r="H99" s="1218"/>
      <c r="I99" s="1739"/>
      <c r="J99" s="1740"/>
      <c r="K99" s="1620" t="s">
        <v>1176</v>
      </c>
      <c r="L99" s="1621"/>
    </row>
    <row r="100" spans="1:12" ht="27.95" customHeight="1">
      <c r="A100" s="1669" t="s">
        <v>2270</v>
      </c>
      <c r="B100" s="1654" t="s">
        <v>2440</v>
      </c>
      <c r="C100" s="1249"/>
      <c r="D100" s="1656" t="s">
        <v>626</v>
      </c>
      <c r="E100" s="1658">
        <f>BS!D52</f>
        <v>0</v>
      </c>
      <c r="F100" s="1658"/>
      <c r="G100" s="1659"/>
      <c r="H100" s="1307"/>
      <c r="I100" s="1659">
        <f>E100-E101</f>
        <v>0</v>
      </c>
      <c r="J100" s="1660"/>
      <c r="K100" s="1661"/>
      <c r="L100" s="1185"/>
    </row>
    <row r="101" spans="1:12" ht="27.95" customHeight="1">
      <c r="A101" s="1669"/>
      <c r="B101" s="1655"/>
      <c r="C101" s="1222"/>
      <c r="D101" s="1657"/>
      <c r="E101" s="1658">
        <f>BS!E52</f>
        <v>0</v>
      </c>
      <c r="F101" s="1658"/>
      <c r="G101" s="1659"/>
      <c r="H101" s="1298"/>
      <c r="I101" s="1306"/>
      <c r="J101" s="1659">
        <f>BS!G52</f>
        <v>0</v>
      </c>
      <c r="K101" s="1660"/>
      <c r="L101" s="1662"/>
    </row>
    <row r="102" spans="1:12" ht="27.95" customHeight="1">
      <c r="A102" s="1669" t="s">
        <v>2271</v>
      </c>
      <c r="B102" s="1684" t="s">
        <v>2452</v>
      </c>
      <c r="C102" s="1303"/>
      <c r="D102" s="1656" t="s">
        <v>628</v>
      </c>
      <c r="E102" s="1658">
        <f>BS!D53</f>
        <v>0</v>
      </c>
      <c r="F102" s="1658"/>
      <c r="G102" s="1659"/>
      <c r="H102" s="1307"/>
      <c r="I102" s="1659">
        <f>E102-E103</f>
        <v>0</v>
      </c>
      <c r="J102" s="1660"/>
      <c r="K102" s="1661"/>
      <c r="L102" s="1185"/>
    </row>
    <row r="103" spans="1:12" ht="42" customHeight="1">
      <c r="A103" s="1669"/>
      <c r="B103" s="1685"/>
      <c r="C103" s="1304"/>
      <c r="D103" s="1657"/>
      <c r="E103" s="1658">
        <f>BS!E53</f>
        <v>0</v>
      </c>
      <c r="F103" s="1658"/>
      <c r="G103" s="1659"/>
      <c r="H103" s="1298"/>
      <c r="I103" s="1306"/>
      <c r="J103" s="1659">
        <f>BS!G53</f>
        <v>0</v>
      </c>
      <c r="K103" s="1660"/>
      <c r="L103" s="1662"/>
    </row>
    <row r="104" spans="1:12" ht="27.95" customHeight="1">
      <c r="A104" s="1669" t="s">
        <v>2272</v>
      </c>
      <c r="B104" s="1684" t="s">
        <v>2442</v>
      </c>
      <c r="C104" s="1303"/>
      <c r="D104" s="1656" t="s">
        <v>630</v>
      </c>
      <c r="E104" s="1658">
        <f>BS!D54</f>
        <v>0</v>
      </c>
      <c r="F104" s="1658"/>
      <c r="G104" s="1659"/>
      <c r="H104" s="1307"/>
      <c r="I104" s="1659">
        <f>E104-E105</f>
        <v>0</v>
      </c>
      <c r="J104" s="1660"/>
      <c r="K104" s="1661"/>
      <c r="L104" s="1185"/>
    </row>
    <row r="105" spans="1:12" ht="27.75" customHeight="1">
      <c r="A105" s="1669"/>
      <c r="B105" s="1685"/>
      <c r="C105" s="1304"/>
      <c r="D105" s="1657"/>
      <c r="E105" s="1658">
        <f>BS!E54</f>
        <v>0</v>
      </c>
      <c r="F105" s="1658"/>
      <c r="G105" s="1659"/>
      <c r="H105" s="1298"/>
      <c r="I105" s="1306"/>
      <c r="J105" s="1659">
        <f>BS!G54</f>
        <v>0</v>
      </c>
      <c r="K105" s="1660"/>
      <c r="L105" s="1662"/>
    </row>
    <row r="106" spans="1:12" ht="27.95" customHeight="1">
      <c r="A106" s="1669" t="s">
        <v>532</v>
      </c>
      <c r="B106" s="1682" t="s">
        <v>1120</v>
      </c>
      <c r="C106" s="1245"/>
      <c r="D106" s="1656" t="s">
        <v>633</v>
      </c>
      <c r="E106" s="1658">
        <f>BS!D55</f>
        <v>0</v>
      </c>
      <c r="F106" s="1658"/>
      <c r="G106" s="1659"/>
      <c r="H106" s="1307"/>
      <c r="I106" s="1659">
        <f>E106-E107</f>
        <v>0</v>
      </c>
      <c r="J106" s="1660"/>
      <c r="K106" s="1661"/>
      <c r="L106" s="1185"/>
    </row>
    <row r="107" spans="1:12" ht="27.95" customHeight="1">
      <c r="A107" s="1669"/>
      <c r="B107" s="1683"/>
      <c r="C107" s="1246"/>
      <c r="D107" s="1657"/>
      <c r="E107" s="1658">
        <f>BS!E55</f>
        <v>0</v>
      </c>
      <c r="F107" s="1658"/>
      <c r="G107" s="1659"/>
      <c r="H107" s="1298"/>
      <c r="I107" s="1306"/>
      <c r="J107" s="1659">
        <f>BS!G55</f>
        <v>0</v>
      </c>
      <c r="K107" s="1660"/>
      <c r="L107" s="1662"/>
    </row>
    <row r="108" spans="1:12" s="1187" customFormat="1" ht="27.95" customHeight="1">
      <c r="A108" s="1669" t="s">
        <v>535</v>
      </c>
      <c r="B108" s="1654" t="s">
        <v>2443</v>
      </c>
      <c r="C108" s="1303"/>
      <c r="D108" s="1656" t="s">
        <v>636</v>
      </c>
      <c r="E108" s="1658">
        <f>BS!D56</f>
        <v>0</v>
      </c>
      <c r="F108" s="1658"/>
      <c r="G108" s="1659"/>
      <c r="H108" s="1307"/>
      <c r="I108" s="1659">
        <f>E108-E109</f>
        <v>0</v>
      </c>
      <c r="J108" s="1660"/>
      <c r="K108" s="1661"/>
      <c r="L108" s="1185"/>
    </row>
    <row r="109" spans="1:12" s="1187" customFormat="1" ht="27.95" customHeight="1">
      <c r="A109" s="1669"/>
      <c r="B109" s="1655"/>
      <c r="C109" s="1304"/>
      <c r="D109" s="1657"/>
      <c r="E109" s="1658">
        <f>BS!E56</f>
        <v>0</v>
      </c>
      <c r="F109" s="1658"/>
      <c r="G109" s="1659"/>
      <c r="H109" s="1298"/>
      <c r="I109" s="1306"/>
      <c r="J109" s="1659">
        <f>BS!G56</f>
        <v>0</v>
      </c>
      <c r="K109" s="1660"/>
      <c r="L109" s="1662"/>
    </row>
    <row r="110" spans="1:12" s="1187" customFormat="1" ht="27.95" customHeight="1">
      <c r="A110" s="1669" t="s">
        <v>538</v>
      </c>
      <c r="B110" s="1654" t="s">
        <v>2444</v>
      </c>
      <c r="C110" s="1303"/>
      <c r="D110" s="1656" t="s">
        <v>637</v>
      </c>
      <c r="E110" s="1658">
        <f>BS!D57</f>
        <v>0</v>
      </c>
      <c r="F110" s="1658"/>
      <c r="G110" s="1659"/>
      <c r="H110" s="1307"/>
      <c r="I110" s="1659">
        <f>E110-E111</f>
        <v>0</v>
      </c>
      <c r="J110" s="1660"/>
      <c r="K110" s="1661"/>
      <c r="L110" s="1185"/>
    </row>
    <row r="111" spans="1:12" s="1187" customFormat="1" ht="27.95" customHeight="1">
      <c r="A111" s="1669"/>
      <c r="B111" s="1655"/>
      <c r="C111" s="1304"/>
      <c r="D111" s="1657"/>
      <c r="E111" s="1658">
        <f>BS!E57</f>
        <v>0</v>
      </c>
      <c r="F111" s="1658"/>
      <c r="G111" s="1659"/>
      <c r="H111" s="1298"/>
      <c r="I111" s="1306"/>
      <c r="J111" s="1659">
        <f>BS!G57</f>
        <v>0</v>
      </c>
      <c r="K111" s="1660"/>
      <c r="L111" s="1662"/>
    </row>
    <row r="112" spans="1:12" ht="27.95" customHeight="1">
      <c r="A112" s="1669" t="s">
        <v>541</v>
      </c>
      <c r="B112" s="1654" t="s">
        <v>2645</v>
      </c>
      <c r="C112" s="1303"/>
      <c r="D112" s="1656" t="s">
        <v>639</v>
      </c>
      <c r="E112" s="1658">
        <f>BS!D58</f>
        <v>0</v>
      </c>
      <c r="F112" s="1658"/>
      <c r="G112" s="1659"/>
      <c r="H112" s="1307"/>
      <c r="I112" s="1659">
        <f>E112-E113</f>
        <v>0</v>
      </c>
      <c r="J112" s="1660"/>
      <c r="K112" s="1661"/>
      <c r="L112" s="1185"/>
    </row>
    <row r="113" spans="1:12" ht="27.95" customHeight="1">
      <c r="A113" s="1669"/>
      <c r="B113" s="1655"/>
      <c r="C113" s="1304"/>
      <c r="D113" s="1657"/>
      <c r="E113" s="1658">
        <f>BS!E58</f>
        <v>0</v>
      </c>
      <c r="F113" s="1658"/>
      <c r="G113" s="1659"/>
      <c r="H113" s="1298"/>
      <c r="I113" s="1306"/>
      <c r="J113" s="1659">
        <f>BS!G58</f>
        <v>0</v>
      </c>
      <c r="K113" s="1660"/>
      <c r="L113" s="1662"/>
    </row>
    <row r="114" spans="1:12" ht="27.95" customHeight="1">
      <c r="A114" s="1669" t="s">
        <v>544</v>
      </c>
      <c r="B114" s="1654" t="s">
        <v>2446</v>
      </c>
      <c r="C114" s="1303"/>
      <c r="D114" s="1656" t="s">
        <v>640</v>
      </c>
      <c r="E114" s="1658">
        <f>BS!D59</f>
        <v>0</v>
      </c>
      <c r="F114" s="1658"/>
      <c r="G114" s="1659"/>
      <c r="H114" s="1307"/>
      <c r="I114" s="1659">
        <f>E114-E115</f>
        <v>0</v>
      </c>
      <c r="J114" s="1660"/>
      <c r="K114" s="1661"/>
      <c r="L114" s="1185"/>
    </row>
    <row r="115" spans="1:12" ht="27.95" customHeight="1">
      <c r="A115" s="1669"/>
      <c r="B115" s="1655"/>
      <c r="C115" s="1304"/>
      <c r="D115" s="1657"/>
      <c r="E115" s="1658">
        <f>BS!E59</f>
        <v>0</v>
      </c>
      <c r="F115" s="1658"/>
      <c r="G115" s="1659"/>
      <c r="H115" s="1298"/>
      <c r="I115" s="1306"/>
      <c r="J115" s="1659">
        <f>BS!G59</f>
        <v>0</v>
      </c>
      <c r="K115" s="1660"/>
      <c r="L115" s="1662"/>
    </row>
    <row r="116" spans="1:12" ht="27.95" customHeight="1">
      <c r="A116" s="1669" t="s">
        <v>547</v>
      </c>
      <c r="B116" s="1654" t="s">
        <v>2447</v>
      </c>
      <c r="C116" s="1303"/>
      <c r="D116" s="1656" t="s">
        <v>642</v>
      </c>
      <c r="E116" s="1658">
        <f>BS!D60</f>
        <v>0</v>
      </c>
      <c r="F116" s="1658"/>
      <c r="G116" s="1659"/>
      <c r="H116" s="1307"/>
      <c r="I116" s="1659">
        <f>E116-E117</f>
        <v>0</v>
      </c>
      <c r="J116" s="1660"/>
      <c r="K116" s="1661"/>
      <c r="L116" s="1185"/>
    </row>
    <row r="117" spans="1:12" ht="27.95" customHeight="1">
      <c r="A117" s="1669"/>
      <c r="B117" s="1655"/>
      <c r="C117" s="1304"/>
      <c r="D117" s="1657"/>
      <c r="E117" s="1658">
        <f>BS!E60</f>
        <v>0</v>
      </c>
      <c r="F117" s="1658"/>
      <c r="G117" s="1659"/>
      <c r="H117" s="1298"/>
      <c r="I117" s="1306"/>
      <c r="J117" s="1659">
        <f>BS!G60</f>
        <v>0</v>
      </c>
      <c r="K117" s="1660"/>
      <c r="L117" s="1662"/>
    </row>
    <row r="118" spans="1:12" ht="27.95" customHeight="1">
      <c r="A118" s="1669" t="s">
        <v>568</v>
      </c>
      <c r="B118" s="1654" t="s">
        <v>2448</v>
      </c>
      <c r="C118" s="1303"/>
      <c r="D118" s="1656" t="s">
        <v>644</v>
      </c>
      <c r="E118" s="1658">
        <f>BS!D61</f>
        <v>0</v>
      </c>
      <c r="F118" s="1658"/>
      <c r="G118" s="1659"/>
      <c r="H118" s="1307"/>
      <c r="I118" s="1659">
        <f>E118-E119</f>
        <v>0</v>
      </c>
      <c r="J118" s="1660"/>
      <c r="K118" s="1661"/>
      <c r="L118" s="1185"/>
    </row>
    <row r="119" spans="1:12" ht="27.95" customHeight="1">
      <c r="A119" s="1669"/>
      <c r="B119" s="1655"/>
      <c r="C119" s="1304"/>
      <c r="D119" s="1657"/>
      <c r="E119" s="1658">
        <f>BS!E61</f>
        <v>0</v>
      </c>
      <c r="F119" s="1658"/>
      <c r="G119" s="1659"/>
      <c r="H119" s="1298"/>
      <c r="I119" s="1306"/>
      <c r="J119" s="1659">
        <f>BS!G61</f>
        <v>0</v>
      </c>
      <c r="K119" s="1660"/>
      <c r="L119" s="1662"/>
    </row>
    <row r="120" spans="1:12" ht="27.95" customHeight="1">
      <c r="A120" s="1681" t="s">
        <v>631</v>
      </c>
      <c r="B120" s="1667" t="s">
        <v>2449</v>
      </c>
      <c r="C120" s="1309"/>
      <c r="D120" s="1624" t="s">
        <v>646</v>
      </c>
      <c r="E120" s="1626">
        <f>BS!D62</f>
        <v>1450453</v>
      </c>
      <c r="F120" s="1626"/>
      <c r="G120" s="1627"/>
      <c r="H120" s="1313"/>
      <c r="I120" s="1627">
        <f>E120-E121</f>
        <v>1440723</v>
      </c>
      <c r="J120" s="1628"/>
      <c r="K120" s="1629"/>
      <c r="L120" s="1182"/>
    </row>
    <row r="121" spans="1:12" ht="27.95" customHeight="1">
      <c r="A121" s="1681"/>
      <c r="B121" s="1668"/>
      <c r="C121" s="1310"/>
      <c r="D121" s="1625"/>
      <c r="E121" s="1626">
        <f>BS!E62</f>
        <v>9730</v>
      </c>
      <c r="F121" s="1626"/>
      <c r="G121" s="1627"/>
      <c r="H121" s="1300"/>
      <c r="I121" s="1312"/>
      <c r="J121" s="1627">
        <f>BS!G62</f>
        <v>1072219</v>
      </c>
      <c r="K121" s="1628"/>
      <c r="L121" s="1630"/>
    </row>
    <row r="122" spans="1:12" ht="27.95" customHeight="1">
      <c r="A122" s="1681" t="s">
        <v>634</v>
      </c>
      <c r="B122" s="1667" t="s">
        <v>2450</v>
      </c>
      <c r="C122" s="1309"/>
      <c r="D122" s="1624" t="s">
        <v>648</v>
      </c>
      <c r="E122" s="1658">
        <f>BS!D63</f>
        <v>1395498</v>
      </c>
      <c r="F122" s="1658"/>
      <c r="G122" s="1659"/>
      <c r="H122" s="1307"/>
      <c r="I122" s="1659">
        <f>E122-E123</f>
        <v>1395498</v>
      </c>
      <c r="J122" s="1660"/>
      <c r="K122" s="1661"/>
      <c r="L122" s="1185"/>
    </row>
    <row r="123" spans="1:12" ht="27.95" customHeight="1">
      <c r="A123" s="1681"/>
      <c r="B123" s="1668"/>
      <c r="C123" s="1310"/>
      <c r="D123" s="1625"/>
      <c r="E123" s="1658">
        <f>BS!E63</f>
        <v>0</v>
      </c>
      <c r="F123" s="1658"/>
      <c r="G123" s="1659"/>
      <c r="H123" s="1298"/>
      <c r="I123" s="1306"/>
      <c r="J123" s="1659">
        <f>BS!G63</f>
        <v>1026423</v>
      </c>
      <c r="K123" s="1660"/>
      <c r="L123" s="1662"/>
    </row>
    <row r="124" spans="1:12" ht="27.95" customHeight="1">
      <c r="A124" s="1669" t="s">
        <v>2270</v>
      </c>
      <c r="B124" s="1682" t="s">
        <v>2451</v>
      </c>
      <c r="C124" s="1245"/>
      <c r="D124" s="1656" t="s">
        <v>651</v>
      </c>
      <c r="E124" s="1658">
        <f>BS!D64</f>
        <v>134342</v>
      </c>
      <c r="F124" s="1658"/>
      <c r="G124" s="1659"/>
      <c r="H124" s="1307"/>
      <c r="I124" s="1659">
        <f>BS!F64</f>
        <v>134342</v>
      </c>
      <c r="J124" s="1660"/>
      <c r="K124" s="1661"/>
      <c r="L124" s="1185"/>
    </row>
    <row r="125" spans="1:12" ht="27.95" customHeight="1">
      <c r="A125" s="1669"/>
      <c r="B125" s="1683"/>
      <c r="C125" s="1246"/>
      <c r="D125" s="1657"/>
      <c r="E125" s="1658">
        <f>BS!E64</f>
        <v>0</v>
      </c>
      <c r="F125" s="1658"/>
      <c r="G125" s="1659"/>
      <c r="H125" s="1298"/>
      <c r="I125" s="1306"/>
      <c r="J125" s="1659">
        <f>BS!G64</f>
        <v>83568</v>
      </c>
      <c r="K125" s="1660"/>
      <c r="L125" s="1662"/>
    </row>
    <row r="126" spans="1:12" s="1187" customFormat="1" ht="27.95" customHeight="1">
      <c r="A126" s="1669" t="s">
        <v>2271</v>
      </c>
      <c r="B126" s="1684" t="s">
        <v>2452</v>
      </c>
      <c r="C126" s="1303"/>
      <c r="D126" s="1656" t="s">
        <v>654</v>
      </c>
      <c r="E126" s="1658">
        <f>BS!D65</f>
        <v>0</v>
      </c>
      <c r="F126" s="1658"/>
      <c r="G126" s="1659"/>
      <c r="H126" s="1307"/>
      <c r="I126" s="1659">
        <f>E126-E127</f>
        <v>0</v>
      </c>
      <c r="J126" s="1660"/>
      <c r="K126" s="1661"/>
      <c r="L126" s="1185"/>
    </row>
    <row r="127" spans="1:12" s="1187" customFormat="1" ht="41.25" customHeight="1" thickBot="1">
      <c r="A127" s="1670"/>
      <c r="B127" s="1686"/>
      <c r="C127" s="1351"/>
      <c r="D127" s="1672"/>
      <c r="E127" s="1673">
        <f>BS!E65</f>
        <v>0</v>
      </c>
      <c r="F127" s="1673"/>
      <c r="G127" s="1674"/>
      <c r="H127" s="1352"/>
      <c r="I127" s="1354"/>
      <c r="J127" s="1674">
        <f>BS!G65</f>
        <v>0</v>
      </c>
      <c r="K127" s="1675"/>
      <c r="L127" s="1676"/>
    </row>
    <row r="128" spans="1:12" ht="11.25" customHeight="1">
      <c r="A128" s="1631" t="s">
        <v>1137</v>
      </c>
      <c r="B128" s="1638" t="s">
        <v>1181</v>
      </c>
      <c r="C128" s="1358"/>
      <c r="D128" s="1689" t="s">
        <v>1135</v>
      </c>
      <c r="E128" s="1638" t="s">
        <v>2</v>
      </c>
      <c r="F128" s="1639"/>
      <c r="G128" s="1639"/>
      <c r="H128" s="1639"/>
      <c r="I128" s="1639"/>
      <c r="J128" s="1640"/>
      <c r="K128" s="1641" t="s">
        <v>1180</v>
      </c>
      <c r="L128" s="1642"/>
    </row>
    <row r="129" spans="1:12" ht="11.25" customHeight="1">
      <c r="A129" s="1632"/>
      <c r="B129" s="1620"/>
      <c r="C129" s="1254"/>
      <c r="D129" s="1690"/>
      <c r="E129" s="1645">
        <v>1</v>
      </c>
      <c r="F129" s="1634" t="s">
        <v>1179</v>
      </c>
      <c r="G129" s="1620"/>
      <c r="H129" s="1296"/>
      <c r="I129" s="1691" t="s">
        <v>1178</v>
      </c>
      <c r="J129" s="1647"/>
      <c r="K129" s="1643"/>
      <c r="L129" s="1644"/>
    </row>
    <row r="130" spans="1:12" ht="11.25" customHeight="1">
      <c r="A130" s="1632"/>
      <c r="B130" s="1620"/>
      <c r="C130" s="1297"/>
      <c r="D130" s="1690"/>
      <c r="E130" s="1645"/>
      <c r="F130" s="1634" t="s">
        <v>1177</v>
      </c>
      <c r="G130" s="1620"/>
      <c r="H130" s="1296"/>
      <c r="I130" s="1691"/>
      <c r="J130" s="1647"/>
      <c r="K130" s="1620" t="s">
        <v>1176</v>
      </c>
      <c r="L130" s="1621"/>
    </row>
    <row r="131" spans="1:12" s="1181" customFormat="1" ht="27.95" customHeight="1">
      <c r="A131" s="1669" t="s">
        <v>2272</v>
      </c>
      <c r="B131" s="1678" t="s">
        <v>2442</v>
      </c>
      <c r="C131" s="1248"/>
      <c r="D131" s="1687" t="s">
        <v>656</v>
      </c>
      <c r="E131" s="1658">
        <f>BS!D66</f>
        <v>1261156</v>
      </c>
      <c r="F131" s="1658"/>
      <c r="G131" s="1659"/>
      <c r="H131" s="1307"/>
      <c r="I131" s="1659">
        <f>E131-E132</f>
        <v>1261156</v>
      </c>
      <c r="J131" s="1660"/>
      <c r="K131" s="1661"/>
      <c r="L131" s="1185"/>
    </row>
    <row r="132" spans="1:12" s="1181" customFormat="1" ht="27.95" customHeight="1">
      <c r="A132" s="1669"/>
      <c r="B132" s="1679"/>
      <c r="C132" s="1244"/>
      <c r="D132" s="1688"/>
      <c r="E132" s="1658">
        <f>BS!E66</f>
        <v>0</v>
      </c>
      <c r="F132" s="1658"/>
      <c r="G132" s="1659"/>
      <c r="H132" s="1298"/>
      <c r="I132" s="1306"/>
      <c r="J132" s="1659">
        <f>BS!G66</f>
        <v>942855</v>
      </c>
      <c r="K132" s="1660"/>
      <c r="L132" s="1662"/>
    </row>
    <row r="133" spans="1:12" s="1181" customFormat="1" ht="27.95" customHeight="1">
      <c r="A133" s="1669" t="s">
        <v>532</v>
      </c>
      <c r="B133" s="1678" t="s">
        <v>2453</v>
      </c>
      <c r="C133" s="1248"/>
      <c r="D133" s="1687" t="s">
        <v>658</v>
      </c>
      <c r="E133" s="1658">
        <f>BS!D67</f>
        <v>0</v>
      </c>
      <c r="F133" s="1658"/>
      <c r="G133" s="1659"/>
      <c r="H133" s="1307"/>
      <c r="I133" s="1659">
        <f>E133-E134</f>
        <v>0</v>
      </c>
      <c r="J133" s="1660"/>
      <c r="K133" s="1661"/>
      <c r="L133" s="1185"/>
    </row>
    <row r="134" spans="1:12" ht="27.95" customHeight="1">
      <c r="A134" s="1669"/>
      <c r="B134" s="1679"/>
      <c r="C134" s="1244"/>
      <c r="D134" s="1688"/>
      <c r="E134" s="1658">
        <f>BS!E67</f>
        <v>0</v>
      </c>
      <c r="F134" s="1658"/>
      <c r="G134" s="1659"/>
      <c r="H134" s="1298"/>
      <c r="I134" s="1306"/>
      <c r="J134" s="1659">
        <f>BS!G67</f>
        <v>0</v>
      </c>
      <c r="K134" s="1660"/>
      <c r="L134" s="1662"/>
    </row>
    <row r="135" spans="1:12" ht="27.95" customHeight="1">
      <c r="A135" s="1669" t="s">
        <v>535</v>
      </c>
      <c r="B135" s="1678" t="s">
        <v>2443</v>
      </c>
      <c r="C135" s="1248"/>
      <c r="D135" s="1687" t="s">
        <v>660</v>
      </c>
      <c r="E135" s="1658">
        <f>BS!D68</f>
        <v>0</v>
      </c>
      <c r="F135" s="1658"/>
      <c r="G135" s="1659"/>
      <c r="H135" s="1307"/>
      <c r="I135" s="1659">
        <f>E135-E136</f>
        <v>0</v>
      </c>
      <c r="J135" s="1660"/>
      <c r="K135" s="1661"/>
      <c r="L135" s="1185"/>
    </row>
    <row r="136" spans="1:12" ht="27.95" customHeight="1">
      <c r="A136" s="1669"/>
      <c r="B136" s="1679"/>
      <c r="C136" s="1244"/>
      <c r="D136" s="1688"/>
      <c r="E136" s="1658">
        <f>BS!E68</f>
        <v>0</v>
      </c>
      <c r="F136" s="1658"/>
      <c r="G136" s="1659"/>
      <c r="H136" s="1298"/>
      <c r="I136" s="1306"/>
      <c r="J136" s="1659">
        <f>BS!G68</f>
        <v>0</v>
      </c>
      <c r="K136" s="1660"/>
      <c r="L136" s="1662"/>
    </row>
    <row r="137" spans="1:12" ht="27.95" customHeight="1">
      <c r="A137" s="1669" t="s">
        <v>538</v>
      </c>
      <c r="B137" s="1692" t="s">
        <v>2454</v>
      </c>
      <c r="C137" s="1248"/>
      <c r="D137" s="1687" t="s">
        <v>662</v>
      </c>
      <c r="E137" s="1658">
        <f>BS!D69</f>
        <v>0</v>
      </c>
      <c r="F137" s="1658"/>
      <c r="G137" s="1659"/>
      <c r="H137" s="1307"/>
      <c r="I137" s="1659">
        <f>E137-E138</f>
        <v>0</v>
      </c>
      <c r="J137" s="1660"/>
      <c r="K137" s="1661"/>
      <c r="L137" s="1185"/>
    </row>
    <row r="138" spans="1:12" ht="30.75" customHeight="1">
      <c r="A138" s="1669"/>
      <c r="B138" s="1693"/>
      <c r="C138" s="1244"/>
      <c r="D138" s="1688"/>
      <c r="E138" s="1658">
        <f>BS!E69</f>
        <v>0</v>
      </c>
      <c r="F138" s="1658"/>
      <c r="G138" s="1659"/>
      <c r="H138" s="1298"/>
      <c r="I138" s="1306"/>
      <c r="J138" s="1659">
        <f>BS!G69</f>
        <v>0</v>
      </c>
      <c r="K138" s="1660"/>
      <c r="L138" s="1662"/>
    </row>
    <row r="139" spans="1:12" ht="27.95" customHeight="1">
      <c r="A139" s="1669" t="s">
        <v>541</v>
      </c>
      <c r="B139" s="1678" t="s">
        <v>2455</v>
      </c>
      <c r="C139" s="1248"/>
      <c r="D139" s="1687" t="s">
        <v>665</v>
      </c>
      <c r="E139" s="1658">
        <f>BS!D70</f>
        <v>0</v>
      </c>
      <c r="F139" s="1658"/>
      <c r="G139" s="1659"/>
      <c r="H139" s="1307"/>
      <c r="I139" s="1659">
        <f>E139-E140</f>
        <v>0</v>
      </c>
      <c r="J139" s="1660"/>
      <c r="K139" s="1661"/>
      <c r="L139" s="1185"/>
    </row>
    <row r="140" spans="1:12" ht="27.95" customHeight="1">
      <c r="A140" s="1669"/>
      <c r="B140" s="1679"/>
      <c r="C140" s="1244"/>
      <c r="D140" s="1688"/>
      <c r="E140" s="1658">
        <f>BS!E70</f>
        <v>0</v>
      </c>
      <c r="F140" s="1658"/>
      <c r="G140" s="1659"/>
      <c r="H140" s="1298"/>
      <c r="I140" s="1306"/>
      <c r="J140" s="1659">
        <f>BS!G70</f>
        <v>0</v>
      </c>
      <c r="K140" s="1660"/>
      <c r="L140" s="1662"/>
    </row>
    <row r="141" spans="1:12" ht="27.95" customHeight="1">
      <c r="A141" s="1669" t="s">
        <v>544</v>
      </c>
      <c r="B141" s="1678" t="s">
        <v>2456</v>
      </c>
      <c r="C141" s="1248"/>
      <c r="D141" s="1687" t="s">
        <v>668</v>
      </c>
      <c r="E141" s="1658">
        <f>BS!D71</f>
        <v>0</v>
      </c>
      <c r="F141" s="1658"/>
      <c r="G141" s="1659"/>
      <c r="H141" s="1307"/>
      <c r="I141" s="1659">
        <f>E141-E142</f>
        <v>0</v>
      </c>
      <c r="J141" s="1660"/>
      <c r="K141" s="1661"/>
      <c r="L141" s="1185"/>
    </row>
    <row r="142" spans="1:12" ht="27.95" customHeight="1">
      <c r="A142" s="1669"/>
      <c r="B142" s="1679"/>
      <c r="C142" s="1244"/>
      <c r="D142" s="1688"/>
      <c r="E142" s="1658">
        <f>BS!E71</f>
        <v>0</v>
      </c>
      <c r="F142" s="1658"/>
      <c r="G142" s="1659"/>
      <c r="H142" s="1298"/>
      <c r="I142" s="1306"/>
      <c r="J142" s="1659">
        <f>BS!G71</f>
        <v>0</v>
      </c>
      <c r="K142" s="1660"/>
      <c r="L142" s="1662"/>
    </row>
    <row r="143" spans="1:12" ht="27.95" customHeight="1">
      <c r="A143" s="1669" t="s">
        <v>547</v>
      </c>
      <c r="B143" s="1678" t="s">
        <v>2457</v>
      </c>
      <c r="C143" s="1248"/>
      <c r="D143" s="1687" t="s">
        <v>670</v>
      </c>
      <c r="E143" s="1658">
        <f>BS!D72</f>
        <v>41600</v>
      </c>
      <c r="F143" s="1658"/>
      <c r="G143" s="1659"/>
      <c r="H143" s="1307"/>
      <c r="I143" s="1659">
        <f>E143-E144</f>
        <v>41600</v>
      </c>
      <c r="J143" s="1660"/>
      <c r="K143" s="1661"/>
      <c r="L143" s="1185"/>
    </row>
    <row r="144" spans="1:12" s="1187" customFormat="1" ht="27.95" customHeight="1">
      <c r="A144" s="1669"/>
      <c r="B144" s="1679"/>
      <c r="C144" s="1244"/>
      <c r="D144" s="1688"/>
      <c r="E144" s="1658">
        <f>BS!E72</f>
        <v>0</v>
      </c>
      <c r="F144" s="1658"/>
      <c r="G144" s="1659"/>
      <c r="H144" s="1298"/>
      <c r="I144" s="1306"/>
      <c r="J144" s="1659">
        <f>BS!G72</f>
        <v>34426</v>
      </c>
      <c r="K144" s="1660"/>
      <c r="L144" s="1662"/>
    </row>
    <row r="145" spans="1:12" s="1187" customFormat="1" ht="27.95" customHeight="1">
      <c r="A145" s="1669" t="s">
        <v>568</v>
      </c>
      <c r="B145" s="1678" t="s">
        <v>2446</v>
      </c>
      <c r="C145" s="1248"/>
      <c r="D145" s="1687" t="s">
        <v>672</v>
      </c>
      <c r="E145" s="1658">
        <f>BS!D73</f>
        <v>0</v>
      </c>
      <c r="F145" s="1658"/>
      <c r="G145" s="1659"/>
      <c r="H145" s="1307"/>
      <c r="I145" s="1659">
        <f>E145-E146</f>
        <v>0</v>
      </c>
      <c r="J145" s="1660"/>
      <c r="K145" s="1661"/>
      <c r="L145" s="1185"/>
    </row>
    <row r="146" spans="1:12" ht="27.95" customHeight="1">
      <c r="A146" s="1669"/>
      <c r="B146" s="1679"/>
      <c r="C146" s="1244"/>
      <c r="D146" s="1688"/>
      <c r="E146" s="1658">
        <f>BS!E73</f>
        <v>0</v>
      </c>
      <c r="F146" s="1658"/>
      <c r="G146" s="1659"/>
      <c r="H146" s="1298"/>
      <c r="I146" s="1306"/>
      <c r="J146" s="1659">
        <f>BS!G73</f>
        <v>0</v>
      </c>
      <c r="K146" s="1660"/>
      <c r="L146" s="1662"/>
    </row>
    <row r="147" spans="1:12" ht="27.95" customHeight="1">
      <c r="A147" s="1669" t="s">
        <v>571</v>
      </c>
      <c r="B147" s="1694" t="s">
        <v>2458</v>
      </c>
      <c r="C147" s="1256"/>
      <c r="D147" s="1687" t="s">
        <v>674</v>
      </c>
      <c r="E147" s="1658">
        <f>BS!D74</f>
        <v>13355</v>
      </c>
      <c r="F147" s="1658"/>
      <c r="G147" s="1659"/>
      <c r="H147" s="1307"/>
      <c r="I147" s="1659">
        <f>E147-E148</f>
        <v>3625</v>
      </c>
      <c r="J147" s="1660"/>
      <c r="K147" s="1661"/>
      <c r="L147" s="1185"/>
    </row>
    <row r="148" spans="1:12" s="1188" customFormat="1" ht="27.95" customHeight="1">
      <c r="A148" s="1669"/>
      <c r="B148" s="1695"/>
      <c r="C148" s="1257"/>
      <c r="D148" s="1688"/>
      <c r="E148" s="1658">
        <f>BS!E74</f>
        <v>9730</v>
      </c>
      <c r="F148" s="1658"/>
      <c r="G148" s="1659"/>
      <c r="H148" s="1298"/>
      <c r="I148" s="1306"/>
      <c r="J148" s="1659">
        <f>BS!G74</f>
        <v>11370</v>
      </c>
      <c r="K148" s="1660"/>
      <c r="L148" s="1662"/>
    </row>
    <row r="149" spans="1:12" s="1181" customFormat="1" ht="27.95" customHeight="1">
      <c r="A149" s="1681" t="s">
        <v>649</v>
      </c>
      <c r="B149" s="1696" t="s">
        <v>2459</v>
      </c>
      <c r="C149" s="1255"/>
      <c r="D149" s="1698" t="s">
        <v>681</v>
      </c>
      <c r="E149" s="1626">
        <f>BS!D75</f>
        <v>0</v>
      </c>
      <c r="F149" s="1626"/>
      <c r="G149" s="1627"/>
      <c r="H149" s="1313"/>
      <c r="I149" s="1627">
        <f>E149-E150</f>
        <v>0</v>
      </c>
      <c r="J149" s="1628"/>
      <c r="K149" s="1629"/>
      <c r="L149" s="1182"/>
    </row>
    <row r="150" spans="1:12" s="1181" customFormat="1" ht="27.95" customHeight="1">
      <c r="A150" s="1681"/>
      <c r="B150" s="1697"/>
      <c r="C150" s="1319"/>
      <c r="D150" s="1699"/>
      <c r="E150" s="1626">
        <f>BS!E75</f>
        <v>0</v>
      </c>
      <c r="F150" s="1626"/>
      <c r="G150" s="1627"/>
      <c r="H150" s="1300"/>
      <c r="I150" s="1312"/>
      <c r="J150" s="1627">
        <f>BS!G75</f>
        <v>0</v>
      </c>
      <c r="K150" s="1628"/>
      <c r="L150" s="1630"/>
    </row>
    <row r="151" spans="1:12" s="1181" customFormat="1" ht="27.95" customHeight="1">
      <c r="A151" s="1669" t="s">
        <v>652</v>
      </c>
      <c r="B151" s="1678" t="s">
        <v>2460</v>
      </c>
      <c r="C151" s="1248"/>
      <c r="D151" s="1687" t="s">
        <v>683</v>
      </c>
      <c r="E151" s="1658">
        <f>BS!D76</f>
        <v>0</v>
      </c>
      <c r="F151" s="1658"/>
      <c r="G151" s="1659"/>
      <c r="H151" s="1307"/>
      <c r="I151" s="1659">
        <f>E151-E152</f>
        <v>0</v>
      </c>
      <c r="J151" s="1660"/>
      <c r="K151" s="1661"/>
      <c r="L151" s="1185"/>
    </row>
    <row r="152" spans="1:12" ht="27.95" customHeight="1">
      <c r="A152" s="1669"/>
      <c r="B152" s="1679"/>
      <c r="C152" s="1244"/>
      <c r="D152" s="1688"/>
      <c r="E152" s="1658">
        <f>BS!E76</f>
        <v>0</v>
      </c>
      <c r="F152" s="1658"/>
      <c r="G152" s="1659"/>
      <c r="H152" s="1298"/>
      <c r="I152" s="1306"/>
      <c r="J152" s="1659">
        <f>BS!G76</f>
        <v>0</v>
      </c>
      <c r="K152" s="1660"/>
      <c r="L152" s="1662"/>
    </row>
    <row r="153" spans="1:12" ht="27.95" customHeight="1">
      <c r="A153" s="1669" t="s">
        <v>532</v>
      </c>
      <c r="B153" s="1692" t="s">
        <v>2461</v>
      </c>
      <c r="C153" s="1248"/>
      <c r="D153" s="1687" t="s">
        <v>685</v>
      </c>
      <c r="E153" s="1658">
        <f>BS!D77</f>
        <v>0</v>
      </c>
      <c r="F153" s="1658"/>
      <c r="G153" s="1659"/>
      <c r="H153" s="1307"/>
      <c r="I153" s="1659">
        <f>E153-E154</f>
        <v>0</v>
      </c>
      <c r="J153" s="1660"/>
      <c r="K153" s="1661"/>
      <c r="L153" s="1185"/>
    </row>
    <row r="154" spans="1:12" ht="39.75" customHeight="1">
      <c r="A154" s="1669"/>
      <c r="B154" s="1693"/>
      <c r="C154" s="1244"/>
      <c r="D154" s="1688"/>
      <c r="E154" s="1658">
        <f>BS!E78</f>
        <v>0</v>
      </c>
      <c r="F154" s="1658"/>
      <c r="G154" s="1659"/>
      <c r="H154" s="1298"/>
      <c r="I154" s="1306"/>
      <c r="J154" s="1659">
        <f>BS!G77</f>
        <v>0</v>
      </c>
      <c r="K154" s="1660"/>
      <c r="L154" s="1662"/>
    </row>
    <row r="155" spans="1:12" ht="27.95" customHeight="1">
      <c r="A155" s="1669" t="s">
        <v>535</v>
      </c>
      <c r="B155" s="1678" t="s">
        <v>2462</v>
      </c>
      <c r="C155" s="1248"/>
      <c r="D155" s="1687" t="s">
        <v>687</v>
      </c>
      <c r="E155" s="1658">
        <f>BS!D78</f>
        <v>0</v>
      </c>
      <c r="F155" s="1658"/>
      <c r="G155" s="1659"/>
      <c r="H155" s="1307"/>
      <c r="I155" s="1659">
        <f>E155-E156</f>
        <v>0</v>
      </c>
      <c r="J155" s="1660"/>
      <c r="K155" s="1661"/>
      <c r="L155" s="1185"/>
    </row>
    <row r="156" spans="1:12" ht="27.95" customHeight="1">
      <c r="A156" s="1669"/>
      <c r="B156" s="1679"/>
      <c r="C156" s="1244"/>
      <c r="D156" s="1688"/>
      <c r="E156" s="1658">
        <f>BS!E78</f>
        <v>0</v>
      </c>
      <c r="F156" s="1658"/>
      <c r="G156" s="1659"/>
      <c r="H156" s="1298"/>
      <c r="I156" s="1306"/>
      <c r="J156" s="1659">
        <f>BS!G78</f>
        <v>0</v>
      </c>
      <c r="K156" s="1660"/>
      <c r="L156" s="1662"/>
    </row>
    <row r="157" spans="1:12" ht="27.95" customHeight="1">
      <c r="A157" s="1669" t="s">
        <v>538</v>
      </c>
      <c r="B157" s="1678" t="s">
        <v>2463</v>
      </c>
      <c r="C157" s="1248"/>
      <c r="D157" s="1687" t="s">
        <v>689</v>
      </c>
      <c r="E157" s="1658">
        <f>BS!D79</f>
        <v>0</v>
      </c>
      <c r="F157" s="1658"/>
      <c r="G157" s="1659"/>
      <c r="H157" s="1307"/>
      <c r="I157" s="1659">
        <f>E157-E158</f>
        <v>0</v>
      </c>
      <c r="J157" s="1660"/>
      <c r="K157" s="1661"/>
      <c r="L157" s="1185"/>
    </row>
    <row r="158" spans="1:12" ht="27.95" customHeight="1" thickBot="1">
      <c r="A158" s="1670"/>
      <c r="B158" s="1700"/>
      <c r="C158" s="1359"/>
      <c r="D158" s="1701"/>
      <c r="E158" s="1673">
        <f>BS!E79</f>
        <v>0</v>
      </c>
      <c r="F158" s="1673"/>
      <c r="G158" s="1674"/>
      <c r="H158" s="1352"/>
      <c r="I158" s="1354"/>
      <c r="J158" s="1674">
        <f>BS!G79</f>
        <v>0</v>
      </c>
      <c r="K158" s="1675"/>
      <c r="L158" s="1676"/>
    </row>
    <row r="159" spans="1:12" ht="11.25" customHeight="1">
      <c r="A159" s="1702" t="s">
        <v>1137</v>
      </c>
      <c r="B159" s="1643" t="s">
        <v>1181</v>
      </c>
      <c r="C159" s="1253"/>
      <c r="D159" s="1703" t="s">
        <v>1135</v>
      </c>
      <c r="E159" s="1643" t="s">
        <v>2</v>
      </c>
      <c r="F159" s="1704"/>
      <c r="G159" s="1704"/>
      <c r="H159" s="1704"/>
      <c r="I159" s="1704"/>
      <c r="J159" s="1705"/>
      <c r="K159" s="1706" t="s">
        <v>1180</v>
      </c>
      <c r="L159" s="1707"/>
    </row>
    <row r="160" spans="1:12" ht="11.25" customHeight="1">
      <c r="A160" s="1632"/>
      <c r="B160" s="1620"/>
      <c r="C160" s="1254"/>
      <c r="D160" s="1690"/>
      <c r="E160" s="1645">
        <v>1</v>
      </c>
      <c r="F160" s="1634" t="s">
        <v>1179</v>
      </c>
      <c r="G160" s="1620"/>
      <c r="H160" s="1203"/>
      <c r="I160" s="1691" t="s">
        <v>1178</v>
      </c>
      <c r="J160" s="1647"/>
      <c r="K160" s="1643"/>
      <c r="L160" s="1644"/>
    </row>
    <row r="161" spans="1:12" ht="12" customHeight="1">
      <c r="A161" s="1632"/>
      <c r="B161" s="1620"/>
      <c r="C161" s="1204"/>
      <c r="D161" s="1690"/>
      <c r="E161" s="1645"/>
      <c r="F161" s="1634" t="s">
        <v>1177</v>
      </c>
      <c r="G161" s="1620"/>
      <c r="H161" s="1203"/>
      <c r="I161" s="1691"/>
      <c r="J161" s="1647"/>
      <c r="K161" s="1620" t="s">
        <v>1176</v>
      </c>
      <c r="L161" s="1621"/>
    </row>
    <row r="162" spans="1:12" ht="27.95" customHeight="1">
      <c r="A162" s="1681" t="s">
        <v>787</v>
      </c>
      <c r="B162" s="1696" t="s">
        <v>2464</v>
      </c>
      <c r="C162" s="1255"/>
      <c r="D162" s="1698" t="s">
        <v>691</v>
      </c>
      <c r="E162" s="1626">
        <f>BS!D80</f>
        <v>299913</v>
      </c>
      <c r="F162" s="1626"/>
      <c r="G162" s="1627"/>
      <c r="H162" s="1220"/>
      <c r="I162" s="1627">
        <f>E162-E163</f>
        <v>299913</v>
      </c>
      <c r="J162" s="1628"/>
      <c r="K162" s="1629"/>
      <c r="L162" s="1415"/>
    </row>
    <row r="163" spans="1:12" ht="27.95" customHeight="1">
      <c r="A163" s="1681"/>
      <c r="B163" s="1697"/>
      <c r="C163" s="1237"/>
      <c r="D163" s="1699"/>
      <c r="E163" s="1710">
        <f>BS!E80</f>
        <v>0</v>
      </c>
      <c r="F163" s="1710"/>
      <c r="G163" s="1711"/>
      <c r="H163" s="1258"/>
      <c r="I163" s="1189"/>
      <c r="J163" s="1627">
        <f>BS!G80</f>
        <v>768310</v>
      </c>
      <c r="K163" s="1628"/>
      <c r="L163" s="1630"/>
    </row>
    <row r="164" spans="1:12" ht="27.95" customHeight="1">
      <c r="A164" s="1669" t="s">
        <v>790</v>
      </c>
      <c r="B164" s="1678" t="s">
        <v>2465</v>
      </c>
      <c r="C164" s="1248"/>
      <c r="D164" s="1687" t="s">
        <v>693</v>
      </c>
      <c r="E164" s="1658">
        <f>BS!D81</f>
        <v>1088</v>
      </c>
      <c r="F164" s="1658"/>
      <c r="G164" s="1659"/>
      <c r="H164" s="1202"/>
      <c r="I164" s="1659">
        <f>E164-E165</f>
        <v>1088</v>
      </c>
      <c r="J164" s="1708"/>
      <c r="K164" s="1709"/>
      <c r="L164" s="1416"/>
    </row>
    <row r="165" spans="1:12" s="1187" customFormat="1" ht="27.95" customHeight="1">
      <c r="A165" s="1669"/>
      <c r="B165" s="1679"/>
      <c r="C165" s="1244"/>
      <c r="D165" s="1688"/>
      <c r="E165" s="1658">
        <f>BS!E81</f>
        <v>0</v>
      </c>
      <c r="F165" s="1658"/>
      <c r="G165" s="1659"/>
      <c r="H165" s="1217"/>
      <c r="I165" s="1186"/>
      <c r="J165" s="1659">
        <f>BS!G81</f>
        <v>961</v>
      </c>
      <c r="K165" s="1660"/>
      <c r="L165" s="1662"/>
    </row>
    <row r="166" spans="1:12" s="1187" customFormat="1" ht="27.95" customHeight="1">
      <c r="A166" s="1669" t="s">
        <v>532</v>
      </c>
      <c r="B166" s="1678" t="s">
        <v>2466</v>
      </c>
      <c r="C166" s="1248"/>
      <c r="D166" s="1687" t="s">
        <v>695</v>
      </c>
      <c r="E166" s="1658">
        <f>BS!D82</f>
        <v>298825</v>
      </c>
      <c r="F166" s="1658"/>
      <c r="G166" s="1659"/>
      <c r="H166" s="1202"/>
      <c r="I166" s="1659">
        <f>E166-E167</f>
        <v>298825</v>
      </c>
      <c r="J166" s="1660"/>
      <c r="K166" s="1661"/>
      <c r="L166" s="1416"/>
    </row>
    <row r="167" spans="1:12" ht="27.95" customHeight="1">
      <c r="A167" s="1669"/>
      <c r="B167" s="1679"/>
      <c r="C167" s="1244"/>
      <c r="D167" s="1688"/>
      <c r="E167" s="1658">
        <f>BS!E82</f>
        <v>0</v>
      </c>
      <c r="F167" s="1658"/>
      <c r="G167" s="1659"/>
      <c r="H167" s="1217"/>
      <c r="I167" s="1186"/>
      <c r="J167" s="1659">
        <f>BS!G82</f>
        <v>767349</v>
      </c>
      <c r="K167" s="1660"/>
      <c r="L167" s="1662"/>
    </row>
    <row r="168" spans="1:12" ht="27.95" customHeight="1">
      <c r="A168" s="1681" t="s">
        <v>663</v>
      </c>
      <c r="B168" s="1696" t="s">
        <v>2467</v>
      </c>
      <c r="C168" s="1255"/>
      <c r="D168" s="1698" t="s">
        <v>697</v>
      </c>
      <c r="E168" s="1626">
        <f>BS!D83</f>
        <v>6058</v>
      </c>
      <c r="F168" s="1626"/>
      <c r="G168" s="1627"/>
      <c r="H168" s="1220"/>
      <c r="I168" s="1627">
        <f>E168-E169</f>
        <v>6058</v>
      </c>
      <c r="J168" s="1628"/>
      <c r="K168" s="1629"/>
      <c r="L168" s="1415"/>
    </row>
    <row r="169" spans="1:12" s="1188" customFormat="1" ht="27.95" customHeight="1">
      <c r="A169" s="1681"/>
      <c r="B169" s="1697"/>
      <c r="C169" s="1237"/>
      <c r="D169" s="1699"/>
      <c r="E169" s="1626">
        <f>BS!E83</f>
        <v>0</v>
      </c>
      <c r="F169" s="1626"/>
      <c r="G169" s="1627"/>
      <c r="H169" s="1216"/>
      <c r="I169" s="1184"/>
      <c r="J169" s="1627">
        <f>BS!G83</f>
        <v>4637</v>
      </c>
      <c r="K169" s="1628"/>
      <c r="L169" s="1630"/>
    </row>
    <row r="170" spans="1:12" ht="27.95" customHeight="1">
      <c r="A170" s="1669" t="s">
        <v>666</v>
      </c>
      <c r="B170" s="1678" t="s">
        <v>2468</v>
      </c>
      <c r="C170" s="1248"/>
      <c r="D170" s="1687" t="s">
        <v>699</v>
      </c>
      <c r="E170" s="1658">
        <f>BS!D84</f>
        <v>0</v>
      </c>
      <c r="F170" s="1658"/>
      <c r="G170" s="1659"/>
      <c r="H170" s="1202"/>
      <c r="I170" s="1659">
        <f>E170-E171</f>
        <v>0</v>
      </c>
      <c r="J170" s="1660"/>
      <c r="K170" s="1661"/>
      <c r="L170" s="1185"/>
    </row>
    <row r="171" spans="1:12" s="1187" customFormat="1" ht="27.95" customHeight="1">
      <c r="A171" s="1669"/>
      <c r="B171" s="1679"/>
      <c r="C171" s="1244"/>
      <c r="D171" s="1688"/>
      <c r="E171" s="1658">
        <f>BS!E84</f>
        <v>0</v>
      </c>
      <c r="F171" s="1658"/>
      <c r="G171" s="1659"/>
      <c r="H171" s="1217"/>
      <c r="I171" s="1186"/>
      <c r="J171" s="1659">
        <f>BS!G84</f>
        <v>0</v>
      </c>
      <c r="K171" s="1660"/>
      <c r="L171" s="1662"/>
    </row>
    <row r="172" spans="1:12" s="1187" customFormat="1" ht="27.95" customHeight="1">
      <c r="A172" s="1669" t="s">
        <v>532</v>
      </c>
      <c r="B172" s="1678" t="s">
        <v>2469</v>
      </c>
      <c r="C172" s="1248"/>
      <c r="D172" s="1687" t="s">
        <v>701</v>
      </c>
      <c r="E172" s="1658">
        <f>BS!D85</f>
        <v>6058</v>
      </c>
      <c r="F172" s="1658"/>
      <c r="G172" s="1659"/>
      <c r="H172" s="1202"/>
      <c r="I172" s="1659">
        <f>E172-E173</f>
        <v>6058</v>
      </c>
      <c r="J172" s="1660"/>
      <c r="K172" s="1661"/>
      <c r="L172" s="1185"/>
    </row>
    <row r="173" spans="1:12" ht="27.95" customHeight="1">
      <c r="A173" s="1669"/>
      <c r="B173" s="1679"/>
      <c r="C173" s="1244"/>
      <c r="D173" s="1688"/>
      <c r="E173" s="1658">
        <f>BS!E85</f>
        <v>0</v>
      </c>
      <c r="F173" s="1658"/>
      <c r="G173" s="1659"/>
      <c r="H173" s="1217"/>
      <c r="I173" s="1186"/>
      <c r="J173" s="1659">
        <f>BS!G85</f>
        <v>4637</v>
      </c>
      <c r="K173" s="1660"/>
      <c r="L173" s="1662"/>
    </row>
    <row r="174" spans="1:12" ht="27.95" customHeight="1">
      <c r="A174" s="1669" t="s">
        <v>535</v>
      </c>
      <c r="B174" s="1678" t="s">
        <v>2470</v>
      </c>
      <c r="C174" s="1248"/>
      <c r="D174" s="1687" t="s">
        <v>703</v>
      </c>
      <c r="E174" s="1658">
        <f>BS!D86</f>
        <v>0</v>
      </c>
      <c r="F174" s="1658"/>
      <c r="G174" s="1659"/>
      <c r="H174" s="1202"/>
      <c r="I174" s="1659">
        <f>E174-E175</f>
        <v>0</v>
      </c>
      <c r="J174" s="1660"/>
      <c r="K174" s="1661"/>
      <c r="L174" s="1185"/>
    </row>
    <row r="175" spans="1:12" s="1188" customFormat="1" ht="27.95" customHeight="1">
      <c r="A175" s="1669"/>
      <c r="B175" s="1679"/>
      <c r="C175" s="1244"/>
      <c r="D175" s="1688"/>
      <c r="E175" s="1658">
        <f>BS!E86</f>
        <v>0</v>
      </c>
      <c r="F175" s="1658"/>
      <c r="G175" s="1659"/>
      <c r="H175" s="1217"/>
      <c r="I175" s="1186"/>
      <c r="J175" s="1659">
        <f>BS!G86</f>
        <v>0</v>
      </c>
      <c r="K175" s="1660"/>
      <c r="L175" s="1662"/>
    </row>
    <row r="176" spans="1:12" ht="27.95" customHeight="1">
      <c r="A176" s="1669" t="s">
        <v>538</v>
      </c>
      <c r="B176" s="1678" t="s">
        <v>2471</v>
      </c>
      <c r="C176" s="1248"/>
      <c r="D176" s="1687" t="s">
        <v>705</v>
      </c>
      <c r="E176" s="1658">
        <f>BS!D87</f>
        <v>0</v>
      </c>
      <c r="F176" s="1658"/>
      <c r="G176" s="1659"/>
      <c r="H176" s="1202"/>
      <c r="I176" s="1659">
        <f>E176-E177</f>
        <v>0</v>
      </c>
      <c r="J176" s="1660"/>
      <c r="K176" s="1661"/>
      <c r="L176" s="1185"/>
    </row>
    <row r="177" spans="1:12" s="1187" customFormat="1" ht="27.95" customHeight="1">
      <c r="A177" s="1669"/>
      <c r="B177" s="1679"/>
      <c r="C177" s="1244"/>
      <c r="D177" s="1688"/>
      <c r="E177" s="1658">
        <f>BS!E87</f>
        <v>0</v>
      </c>
      <c r="F177" s="1658"/>
      <c r="G177" s="1659"/>
      <c r="H177" s="1217"/>
      <c r="I177" s="1186"/>
      <c r="J177" s="1659">
        <f>BS!G87</f>
        <v>0</v>
      </c>
      <c r="K177" s="1660"/>
      <c r="L177" s="1662"/>
    </row>
    <row r="178" spans="1:12" s="1187" customFormat="1" ht="2.25" customHeight="1" thickBot="1">
      <c r="A178" s="1360"/>
      <c r="B178" s="1191"/>
      <c r="C178" s="1191"/>
      <c r="D178" s="1192"/>
      <c r="E178" s="1193"/>
      <c r="F178" s="1223"/>
      <c r="G178" s="1193"/>
      <c r="H178" s="1223"/>
      <c r="I178" s="1193"/>
      <c r="J178" s="1193"/>
      <c r="K178" s="1193"/>
      <c r="L178" s="1223"/>
    </row>
    <row r="179" spans="1:12" s="1188" customFormat="1" ht="30" customHeight="1">
      <c r="A179" s="1361" t="s">
        <v>1137</v>
      </c>
      <c r="B179" s="1638" t="s">
        <v>1136</v>
      </c>
      <c r="C179" s="1639"/>
      <c r="D179" s="1639"/>
      <c r="E179" s="1639"/>
      <c r="F179" s="1640"/>
      <c r="G179" s="1362" t="s">
        <v>1135</v>
      </c>
      <c r="H179" s="1363"/>
      <c r="I179" s="1638" t="s">
        <v>1134</v>
      </c>
      <c r="J179" s="1640"/>
      <c r="K179" s="1638" t="s">
        <v>1133</v>
      </c>
      <c r="L179" s="1715"/>
    </row>
    <row r="180" spans="1:12" s="1188" customFormat="1" ht="27.75" customHeight="1">
      <c r="A180" s="1195"/>
      <c r="B180" s="1623" t="s">
        <v>2472</v>
      </c>
      <c r="C180" s="1623"/>
      <c r="D180" s="1716"/>
      <c r="E180" s="1716"/>
      <c r="F180" s="1716"/>
      <c r="G180" s="1207" t="s">
        <v>707</v>
      </c>
      <c r="H180" s="1261"/>
      <c r="I180" s="1627">
        <f>BS!D94</f>
        <v>4805868</v>
      </c>
      <c r="J180" s="1629"/>
      <c r="K180" s="1627">
        <f>BS!E94</f>
        <v>4632339</v>
      </c>
      <c r="L180" s="1630"/>
    </row>
    <row r="181" spans="1:12" s="1188" customFormat="1" ht="27.75" customHeight="1">
      <c r="A181" s="1195" t="s">
        <v>523</v>
      </c>
      <c r="B181" s="1712" t="s">
        <v>2473</v>
      </c>
      <c r="C181" s="1713"/>
      <c r="D181" s="1713"/>
      <c r="E181" s="1713"/>
      <c r="F181" s="1714"/>
      <c r="G181" s="1208" t="s">
        <v>709</v>
      </c>
      <c r="H181" s="1250"/>
      <c r="I181" s="1627">
        <f>BS!D95</f>
        <v>3192339</v>
      </c>
      <c r="J181" s="1629"/>
      <c r="K181" s="1627">
        <f>BS!E95</f>
        <v>3147399</v>
      </c>
      <c r="L181" s="1630"/>
    </row>
    <row r="182" spans="1:12" ht="27.75" customHeight="1">
      <c r="A182" s="1195" t="s">
        <v>526</v>
      </c>
      <c r="B182" s="1712" t="s">
        <v>2474</v>
      </c>
      <c r="C182" s="1713"/>
      <c r="D182" s="1713"/>
      <c r="E182" s="1713"/>
      <c r="F182" s="1714"/>
      <c r="G182" s="1208" t="s">
        <v>711</v>
      </c>
      <c r="H182" s="1250"/>
      <c r="I182" s="1627">
        <f>BS!D96</f>
        <v>2506390</v>
      </c>
      <c r="J182" s="1629"/>
      <c r="K182" s="1627">
        <f>BS!E96</f>
        <v>2506390</v>
      </c>
      <c r="L182" s="1630"/>
    </row>
    <row r="183" spans="1:12" s="1187" customFormat="1" ht="27.75" customHeight="1">
      <c r="A183" s="1197" t="s">
        <v>529</v>
      </c>
      <c r="B183" s="1717" t="s">
        <v>1163</v>
      </c>
      <c r="C183" s="1718"/>
      <c r="D183" s="1718"/>
      <c r="E183" s="1718"/>
      <c r="F183" s="1719"/>
      <c r="G183" s="1209" t="s">
        <v>713</v>
      </c>
      <c r="H183" s="1251"/>
      <c r="I183" s="1659">
        <f>BS!D97</f>
        <v>2506390</v>
      </c>
      <c r="J183" s="1661"/>
      <c r="K183" s="1659">
        <f>BS!E97</f>
        <v>2506390</v>
      </c>
      <c r="L183" s="1662"/>
    </row>
    <row r="184" spans="1:12" s="1187" customFormat="1" ht="27.75" customHeight="1">
      <c r="A184" s="1195" t="s">
        <v>532</v>
      </c>
      <c r="B184" s="1717" t="s">
        <v>1161</v>
      </c>
      <c r="C184" s="1718"/>
      <c r="D184" s="1718"/>
      <c r="E184" s="1718"/>
      <c r="F184" s="1719"/>
      <c r="G184" s="1209" t="s">
        <v>715</v>
      </c>
      <c r="H184" s="1251"/>
      <c r="I184" s="1659">
        <f>BS!D98</f>
        <v>0</v>
      </c>
      <c r="J184" s="1661"/>
      <c r="K184" s="1659">
        <f>BS!E98</f>
        <v>0</v>
      </c>
      <c r="L184" s="1662"/>
    </row>
    <row r="185" spans="1:12" s="1187" customFormat="1" ht="27.75" customHeight="1">
      <c r="A185" s="1195" t="s">
        <v>535</v>
      </c>
      <c r="B185" s="1717" t="s">
        <v>1160</v>
      </c>
      <c r="C185" s="1718"/>
      <c r="D185" s="1718"/>
      <c r="E185" s="1718"/>
      <c r="F185" s="1719"/>
      <c r="G185" s="1209" t="s">
        <v>718</v>
      </c>
      <c r="H185" s="1251"/>
      <c r="I185" s="1659">
        <f>BS!D99</f>
        <v>0</v>
      </c>
      <c r="J185" s="1661"/>
      <c r="K185" s="1659">
        <f>BS!E99</f>
        <v>0</v>
      </c>
      <c r="L185" s="1662"/>
    </row>
    <row r="186" spans="1:12" ht="27.75" customHeight="1">
      <c r="A186" s="1195" t="s">
        <v>550</v>
      </c>
      <c r="B186" s="1712" t="s">
        <v>1158</v>
      </c>
      <c r="C186" s="1713"/>
      <c r="D186" s="1713"/>
      <c r="E186" s="1713"/>
      <c r="F186" s="1714"/>
      <c r="G186" s="1208" t="s">
        <v>721</v>
      </c>
      <c r="H186" s="1250"/>
      <c r="I186" s="1627">
        <f>BS!D100</f>
        <v>0</v>
      </c>
      <c r="J186" s="1629"/>
      <c r="K186" s="1627">
        <f>BS!E100</f>
        <v>0</v>
      </c>
      <c r="L186" s="1630"/>
    </row>
    <row r="187" spans="1:12" ht="27.75" customHeight="1">
      <c r="A187" s="1195" t="s">
        <v>574</v>
      </c>
      <c r="B187" s="1712" t="s">
        <v>1157</v>
      </c>
      <c r="C187" s="1713"/>
      <c r="D187" s="1713"/>
      <c r="E187" s="1713"/>
      <c r="F187" s="1714"/>
      <c r="G187" s="1208" t="s">
        <v>723</v>
      </c>
      <c r="H187" s="1250"/>
      <c r="I187" s="1627">
        <f>BS!D101</f>
        <v>0</v>
      </c>
      <c r="J187" s="1629"/>
      <c r="K187" s="1627">
        <f>BS!E101</f>
        <v>0</v>
      </c>
      <c r="L187" s="1630"/>
    </row>
    <row r="188" spans="1:12" ht="27.75" customHeight="1">
      <c r="A188" s="1195" t="s">
        <v>716</v>
      </c>
      <c r="B188" s="1712" t="s">
        <v>2475</v>
      </c>
      <c r="C188" s="1713"/>
      <c r="D188" s="1713"/>
      <c r="E188" s="1713"/>
      <c r="F188" s="1714"/>
      <c r="G188" s="1208" t="s">
        <v>726</v>
      </c>
      <c r="H188" s="1250"/>
      <c r="I188" s="1627">
        <f>BS!D102</f>
        <v>107571</v>
      </c>
      <c r="J188" s="1629"/>
      <c r="K188" s="1627">
        <f>BS!E102</f>
        <v>87866</v>
      </c>
      <c r="L188" s="1630"/>
    </row>
    <row r="189" spans="1:12" ht="27.75" customHeight="1">
      <c r="A189" s="1197" t="s">
        <v>719</v>
      </c>
      <c r="B189" s="1717" t="s">
        <v>2476</v>
      </c>
      <c r="C189" s="1718"/>
      <c r="D189" s="1718"/>
      <c r="E189" s="1718"/>
      <c r="F189" s="1719"/>
      <c r="G189" s="1209" t="s">
        <v>728</v>
      </c>
      <c r="H189" s="1251"/>
      <c r="I189" s="1659">
        <f>BS!D103</f>
        <v>107571</v>
      </c>
      <c r="J189" s="1661"/>
      <c r="K189" s="1659">
        <f>BS!E103</f>
        <v>87866</v>
      </c>
      <c r="L189" s="1662"/>
    </row>
    <row r="190" spans="1:12" s="1187" customFormat="1" ht="27.75" customHeight="1" thickBot="1">
      <c r="A190" s="1364" t="s">
        <v>532</v>
      </c>
      <c r="B190" s="1720" t="s">
        <v>2477</v>
      </c>
      <c r="C190" s="1721"/>
      <c r="D190" s="1721"/>
      <c r="E190" s="1721"/>
      <c r="F190" s="1722"/>
      <c r="G190" s="1365" t="s">
        <v>730</v>
      </c>
      <c r="H190" s="1366"/>
      <c r="I190" s="1674">
        <f>BS!D104</f>
        <v>0</v>
      </c>
      <c r="J190" s="1723"/>
      <c r="K190" s="1674">
        <f>BS!E104</f>
        <v>0</v>
      </c>
      <c r="L190" s="1676"/>
    </row>
    <row r="191" spans="1:12" s="1187" customFormat="1" ht="27.75" customHeight="1">
      <c r="A191" s="1361" t="s">
        <v>1137</v>
      </c>
      <c r="B191" s="1638" t="s">
        <v>1136</v>
      </c>
      <c r="C191" s="1639"/>
      <c r="D191" s="1639"/>
      <c r="E191" s="1639"/>
      <c r="F191" s="1640"/>
      <c r="G191" s="1362" t="s">
        <v>1135</v>
      </c>
      <c r="H191" s="1363"/>
      <c r="I191" s="1638" t="s">
        <v>1134</v>
      </c>
      <c r="J191" s="1640"/>
      <c r="K191" s="1638" t="s">
        <v>1133</v>
      </c>
      <c r="L191" s="1715"/>
    </row>
    <row r="192" spans="1:12" ht="27.75" customHeight="1">
      <c r="A192" s="1195" t="s">
        <v>724</v>
      </c>
      <c r="B192" s="1712" t="s">
        <v>2478</v>
      </c>
      <c r="C192" s="1713"/>
      <c r="D192" s="1713"/>
      <c r="E192" s="1713"/>
      <c r="F192" s="1714"/>
      <c r="G192" s="1208" t="s">
        <v>732</v>
      </c>
      <c r="H192" s="1250"/>
      <c r="I192" s="1627">
        <f>BS!D105</f>
        <v>0</v>
      </c>
      <c r="J192" s="1629"/>
      <c r="K192" s="1627">
        <f>BS!E105</f>
        <v>0</v>
      </c>
      <c r="L192" s="1630"/>
    </row>
    <row r="193" spans="1:12" ht="27.75" customHeight="1">
      <c r="A193" s="1197" t="s">
        <v>2294</v>
      </c>
      <c r="B193" s="1717" t="s">
        <v>2479</v>
      </c>
      <c r="C193" s="1718"/>
      <c r="D193" s="1718"/>
      <c r="E193" s="1718"/>
      <c r="F193" s="1719"/>
      <c r="G193" s="1209" t="s">
        <v>734</v>
      </c>
      <c r="H193" s="1251"/>
      <c r="I193" s="1659">
        <f>BS!D106</f>
        <v>0</v>
      </c>
      <c r="J193" s="1661"/>
      <c r="K193" s="1659">
        <f>BS!E106</f>
        <v>0</v>
      </c>
      <c r="L193" s="1662"/>
    </row>
    <row r="194" spans="1:12" ht="27.75" customHeight="1">
      <c r="A194" s="1195" t="s">
        <v>532</v>
      </c>
      <c r="B194" s="1717" t="s">
        <v>2480</v>
      </c>
      <c r="C194" s="1718"/>
      <c r="D194" s="1718"/>
      <c r="E194" s="1718"/>
      <c r="F194" s="1719"/>
      <c r="G194" s="1209" t="s">
        <v>736</v>
      </c>
      <c r="H194" s="1251"/>
      <c r="I194" s="1659">
        <f>BS!D107</f>
        <v>0</v>
      </c>
      <c r="J194" s="1661"/>
      <c r="K194" s="1659">
        <f>BS!E107</f>
        <v>0</v>
      </c>
      <c r="L194" s="1662"/>
    </row>
    <row r="195" spans="1:12" ht="27.75" customHeight="1">
      <c r="A195" s="1195" t="s">
        <v>2297</v>
      </c>
      <c r="B195" s="1712" t="s">
        <v>2481</v>
      </c>
      <c r="C195" s="1713"/>
      <c r="D195" s="1713"/>
      <c r="E195" s="1713"/>
      <c r="F195" s="1714"/>
      <c r="G195" s="1208" t="s">
        <v>738</v>
      </c>
      <c r="H195" s="1250"/>
      <c r="I195" s="1627">
        <f>BS!D108</f>
        <v>0</v>
      </c>
      <c r="J195" s="1629"/>
      <c r="K195" s="1627">
        <f>BS!E108</f>
        <v>0</v>
      </c>
      <c r="L195" s="1630"/>
    </row>
    <row r="196" spans="1:12" ht="27.75" customHeight="1">
      <c r="A196" s="1197" t="s">
        <v>2299</v>
      </c>
      <c r="B196" s="1717" t="s">
        <v>2482</v>
      </c>
      <c r="C196" s="1718"/>
      <c r="D196" s="1718"/>
      <c r="E196" s="1718"/>
      <c r="F196" s="1719"/>
      <c r="G196" s="1209" t="s">
        <v>740</v>
      </c>
      <c r="H196" s="1251"/>
      <c r="I196" s="1659">
        <f>BS!D109</f>
        <v>0</v>
      </c>
      <c r="J196" s="1661"/>
      <c r="K196" s="1659">
        <f>BS!E109</f>
        <v>0</v>
      </c>
      <c r="L196" s="1662"/>
    </row>
    <row r="197" spans="1:12" ht="27.75" customHeight="1">
      <c r="A197" s="1197" t="s">
        <v>532</v>
      </c>
      <c r="B197" s="1717" t="s">
        <v>1154</v>
      </c>
      <c r="C197" s="1718"/>
      <c r="D197" s="1718"/>
      <c r="E197" s="1718"/>
      <c r="F197" s="1719"/>
      <c r="G197" s="1209" t="s">
        <v>742</v>
      </c>
      <c r="H197" s="1251"/>
      <c r="I197" s="1659">
        <f>BS!D110</f>
        <v>0</v>
      </c>
      <c r="J197" s="1661"/>
      <c r="K197" s="1659">
        <f>BS!E110</f>
        <v>0</v>
      </c>
      <c r="L197" s="1662"/>
    </row>
    <row r="198" spans="1:12" s="1187" customFormat="1" ht="27.75" customHeight="1">
      <c r="A198" s="1197" t="s">
        <v>535</v>
      </c>
      <c r="B198" s="1717" t="s">
        <v>2483</v>
      </c>
      <c r="C198" s="1718"/>
      <c r="D198" s="1718"/>
      <c r="E198" s="1718"/>
      <c r="F198" s="1719"/>
      <c r="G198" s="1209" t="s">
        <v>743</v>
      </c>
      <c r="H198" s="1251"/>
      <c r="I198" s="1659">
        <f>BS!D111</f>
        <v>0</v>
      </c>
      <c r="J198" s="1661"/>
      <c r="K198" s="1659">
        <f>BS!E111</f>
        <v>0</v>
      </c>
      <c r="L198" s="1662"/>
    </row>
    <row r="199" spans="1:12" ht="27.75" customHeight="1">
      <c r="A199" s="1195" t="s">
        <v>2301</v>
      </c>
      <c r="B199" s="1712" t="s">
        <v>2484</v>
      </c>
      <c r="C199" s="1713"/>
      <c r="D199" s="1713"/>
      <c r="E199" s="1713"/>
      <c r="F199" s="1714"/>
      <c r="G199" s="1208" t="s">
        <v>745</v>
      </c>
      <c r="H199" s="1250"/>
      <c r="I199" s="1627">
        <f>BS!D112</f>
        <v>418803</v>
      </c>
      <c r="J199" s="1629"/>
      <c r="K199" s="1627">
        <f>BS!E112</f>
        <v>279707</v>
      </c>
      <c r="L199" s="1630"/>
    </row>
    <row r="200" spans="1:12" ht="27.75" customHeight="1">
      <c r="A200" s="1197" t="s">
        <v>2303</v>
      </c>
      <c r="B200" s="1717" t="s">
        <v>2485</v>
      </c>
      <c r="C200" s="1718"/>
      <c r="D200" s="1718"/>
      <c r="E200" s="1718"/>
      <c r="F200" s="1719"/>
      <c r="G200" s="1209" t="s">
        <v>747</v>
      </c>
      <c r="H200" s="1251"/>
      <c r="I200" s="1659">
        <f>BS!D113</f>
        <v>418803</v>
      </c>
      <c r="J200" s="1661"/>
      <c r="K200" s="1659">
        <f>BS!E113</f>
        <v>279707</v>
      </c>
      <c r="L200" s="1662"/>
    </row>
    <row r="201" spans="1:12" ht="27.75" customHeight="1">
      <c r="A201" s="1197" t="s">
        <v>532</v>
      </c>
      <c r="B201" s="1717" t="s">
        <v>1146</v>
      </c>
      <c r="C201" s="1718"/>
      <c r="D201" s="1718"/>
      <c r="E201" s="1718"/>
      <c r="F201" s="1719"/>
      <c r="G201" s="1209" t="s">
        <v>749</v>
      </c>
      <c r="H201" s="1251"/>
      <c r="I201" s="1659">
        <f>BS!D114</f>
        <v>0</v>
      </c>
      <c r="J201" s="1661"/>
      <c r="K201" s="1659">
        <f>BS!E114</f>
        <v>0</v>
      </c>
      <c r="L201" s="1662"/>
    </row>
    <row r="202" spans="1:12" s="1187" customFormat="1" ht="31.5" customHeight="1">
      <c r="A202" s="1195" t="s">
        <v>2304</v>
      </c>
      <c r="B202" s="1712" t="s">
        <v>2640</v>
      </c>
      <c r="C202" s="1713"/>
      <c r="D202" s="1713"/>
      <c r="E202" s="1713"/>
      <c r="F202" s="1714"/>
      <c r="G202" s="1208" t="s">
        <v>751</v>
      </c>
      <c r="H202" s="1250"/>
      <c r="I202" s="1627">
        <f>BS!D115</f>
        <v>159575</v>
      </c>
      <c r="J202" s="1629"/>
      <c r="K202" s="1627">
        <f>BS!E115</f>
        <v>273436</v>
      </c>
      <c r="L202" s="1630"/>
    </row>
    <row r="203" spans="1:12" ht="27.75" customHeight="1">
      <c r="A203" s="1195" t="s">
        <v>594</v>
      </c>
      <c r="B203" s="1712" t="s">
        <v>2486</v>
      </c>
      <c r="C203" s="1713"/>
      <c r="D203" s="1713"/>
      <c r="E203" s="1713"/>
      <c r="F203" s="1714"/>
      <c r="G203" s="1208" t="s">
        <v>753</v>
      </c>
      <c r="H203" s="1250"/>
      <c r="I203" s="1627">
        <f>BS!D116</f>
        <v>1613529</v>
      </c>
      <c r="J203" s="1629"/>
      <c r="K203" s="1627">
        <f>BS!E116</f>
        <v>1484940</v>
      </c>
      <c r="L203" s="1630"/>
    </row>
    <row r="204" spans="1:12" ht="27.75" customHeight="1">
      <c r="A204" s="1195" t="s">
        <v>597</v>
      </c>
      <c r="B204" s="1712" t="s">
        <v>2487</v>
      </c>
      <c r="C204" s="1713"/>
      <c r="D204" s="1713"/>
      <c r="E204" s="1713"/>
      <c r="F204" s="1714"/>
      <c r="G204" s="1208" t="s">
        <v>755</v>
      </c>
      <c r="H204" s="1250"/>
      <c r="I204" s="1627">
        <f>BS!D117</f>
        <v>314230</v>
      </c>
      <c r="J204" s="1629"/>
      <c r="K204" s="1627">
        <f>BS!E117</f>
        <v>391400</v>
      </c>
      <c r="L204" s="1630"/>
    </row>
    <row r="205" spans="1:12" s="1187" customFormat="1" ht="27.75" customHeight="1">
      <c r="A205" s="1195" t="s">
        <v>600</v>
      </c>
      <c r="B205" s="1712" t="s">
        <v>2488</v>
      </c>
      <c r="C205" s="1713"/>
      <c r="D205" s="1713"/>
      <c r="E205" s="1713"/>
      <c r="F205" s="1714"/>
      <c r="G205" s="1208" t="s">
        <v>757</v>
      </c>
      <c r="H205" s="1251"/>
      <c r="I205" s="1659">
        <f>BS!D118</f>
        <v>0</v>
      </c>
      <c r="J205" s="1661"/>
      <c r="K205" s="1659">
        <f>BS!E118</f>
        <v>0</v>
      </c>
      <c r="L205" s="1662"/>
    </row>
    <row r="206" spans="1:12" s="1187" customFormat="1" ht="27.75" customHeight="1">
      <c r="A206" s="1197" t="s">
        <v>2270</v>
      </c>
      <c r="B206" s="1717" t="s">
        <v>2489</v>
      </c>
      <c r="C206" s="1718"/>
      <c r="D206" s="1718"/>
      <c r="E206" s="1718"/>
      <c r="F206" s="1719"/>
      <c r="G206" s="1209" t="s">
        <v>760</v>
      </c>
      <c r="H206" s="1251"/>
      <c r="I206" s="1659">
        <f>BS!D119</f>
        <v>0</v>
      </c>
      <c r="J206" s="1661"/>
      <c r="K206" s="1659">
        <f>BS!E119</f>
        <v>0</v>
      </c>
      <c r="L206" s="1662"/>
    </row>
    <row r="207" spans="1:12" s="1187" customFormat="1" ht="31.5" customHeight="1">
      <c r="A207" s="1197" t="s">
        <v>2271</v>
      </c>
      <c r="B207" s="1717" t="s">
        <v>2490</v>
      </c>
      <c r="C207" s="1718"/>
      <c r="D207" s="1718"/>
      <c r="E207" s="1718"/>
      <c r="F207" s="1719"/>
      <c r="G207" s="1209" t="s">
        <v>763</v>
      </c>
      <c r="H207" s="1251"/>
      <c r="I207" s="1659">
        <f>BS!D120</f>
        <v>0</v>
      </c>
      <c r="J207" s="1661"/>
      <c r="K207" s="1659">
        <f>BS!E120</f>
        <v>0</v>
      </c>
      <c r="L207" s="1662"/>
    </row>
    <row r="208" spans="1:12" ht="27.75" customHeight="1">
      <c r="A208" s="1197" t="s">
        <v>2272</v>
      </c>
      <c r="B208" s="1717" t="s">
        <v>2491</v>
      </c>
      <c r="C208" s="1718"/>
      <c r="D208" s="1718"/>
      <c r="E208" s="1718"/>
      <c r="F208" s="1719"/>
      <c r="G208" s="1209" t="s">
        <v>765</v>
      </c>
      <c r="H208" s="1251"/>
      <c r="I208" s="1659">
        <f>BS!D121</f>
        <v>0</v>
      </c>
      <c r="J208" s="1661"/>
      <c r="K208" s="1659">
        <f>BS!E121</f>
        <v>0</v>
      </c>
      <c r="L208" s="1662"/>
    </row>
    <row r="209" spans="1:12" ht="25.5" customHeight="1">
      <c r="A209" s="1197" t="s">
        <v>532</v>
      </c>
      <c r="B209" s="1717" t="s">
        <v>2453</v>
      </c>
      <c r="C209" s="1718"/>
      <c r="D209" s="1718"/>
      <c r="E209" s="1718"/>
      <c r="F209" s="1719"/>
      <c r="G209" s="1208" t="s">
        <v>767</v>
      </c>
      <c r="H209" s="1250"/>
      <c r="I209" s="1659">
        <f>BS!D122</f>
        <v>0</v>
      </c>
      <c r="J209" s="1661"/>
      <c r="K209" s="1659">
        <f>BS!E122</f>
        <v>0</v>
      </c>
      <c r="L209" s="1662"/>
    </row>
    <row r="210" spans="1:12" ht="27.75" customHeight="1">
      <c r="A210" s="1243" t="s">
        <v>535</v>
      </c>
      <c r="B210" s="1655" t="s">
        <v>2492</v>
      </c>
      <c r="C210" s="1655"/>
      <c r="D210" s="1724"/>
      <c r="E210" s="1724"/>
      <c r="F210" s="1724"/>
      <c r="G210" s="1262" t="s">
        <v>768</v>
      </c>
      <c r="H210" s="1259"/>
      <c r="I210" s="1725">
        <f>BS!D123</f>
        <v>279</v>
      </c>
      <c r="J210" s="1709"/>
      <c r="K210" s="1725">
        <f>BS!E123</f>
        <v>279</v>
      </c>
      <c r="L210" s="1726"/>
    </row>
    <row r="211" spans="1:12" ht="32.25" customHeight="1">
      <c r="A211" s="1199" t="s">
        <v>538</v>
      </c>
      <c r="B211" s="1717" t="s">
        <v>2493</v>
      </c>
      <c r="C211" s="1718"/>
      <c r="D211" s="1718"/>
      <c r="E211" s="1718"/>
      <c r="F211" s="1719"/>
      <c r="G211" s="1209" t="s">
        <v>770</v>
      </c>
      <c r="H211" s="1251"/>
      <c r="I211" s="1659">
        <f>BS!D124</f>
        <v>0</v>
      </c>
      <c r="J211" s="1661"/>
      <c r="K211" s="1659">
        <f>BS!E124</f>
        <v>0</v>
      </c>
      <c r="L211" s="1662"/>
    </row>
    <row r="212" spans="1:12" s="1187" customFormat="1" ht="27.75" customHeight="1">
      <c r="A212" s="1199" t="s">
        <v>541</v>
      </c>
      <c r="B212" s="1717" t="s">
        <v>2494</v>
      </c>
      <c r="C212" s="1718"/>
      <c r="D212" s="1718"/>
      <c r="E212" s="1718"/>
      <c r="F212" s="1719"/>
      <c r="G212" s="1209" t="s">
        <v>772</v>
      </c>
      <c r="H212" s="1251"/>
      <c r="I212" s="1659">
        <f>BS!D125</f>
        <v>0</v>
      </c>
      <c r="J212" s="1661"/>
      <c r="K212" s="1659">
        <f>BS!E125</f>
        <v>0</v>
      </c>
      <c r="L212" s="1662"/>
    </row>
    <row r="213" spans="1:12" ht="27.75" customHeight="1">
      <c r="A213" s="1199" t="s">
        <v>544</v>
      </c>
      <c r="B213" s="1717" t="s">
        <v>1128</v>
      </c>
      <c r="C213" s="1718"/>
      <c r="D213" s="1718"/>
      <c r="E213" s="1718"/>
      <c r="F213" s="1719"/>
      <c r="G213" s="1209" t="s">
        <v>774</v>
      </c>
      <c r="H213" s="1251"/>
      <c r="I213" s="1659">
        <f>BS!D126</f>
        <v>0</v>
      </c>
      <c r="J213" s="1661"/>
      <c r="K213" s="1659">
        <f>BS!E126</f>
        <v>0</v>
      </c>
      <c r="L213" s="1662"/>
    </row>
    <row r="214" spans="1:12" ht="27.75" customHeight="1">
      <c r="A214" s="1199" t="s">
        <v>547</v>
      </c>
      <c r="B214" s="1717" t="s">
        <v>1127</v>
      </c>
      <c r="C214" s="1718"/>
      <c r="D214" s="1718"/>
      <c r="E214" s="1718"/>
      <c r="F214" s="1719"/>
      <c r="G214" s="1209" t="s">
        <v>776</v>
      </c>
      <c r="H214" s="1251"/>
      <c r="I214" s="1659">
        <f>BS!D127</f>
        <v>0</v>
      </c>
      <c r="J214" s="1661"/>
      <c r="K214" s="1659">
        <f>BS!E127</f>
        <v>0</v>
      </c>
      <c r="L214" s="1662"/>
    </row>
    <row r="215" spans="1:12" ht="27.75" customHeight="1">
      <c r="A215" s="1199" t="s">
        <v>568</v>
      </c>
      <c r="B215" s="1717" t="s">
        <v>2495</v>
      </c>
      <c r="C215" s="1718"/>
      <c r="D215" s="1718"/>
      <c r="E215" s="1718"/>
      <c r="F215" s="1719"/>
      <c r="G215" s="1209" t="s">
        <v>778</v>
      </c>
      <c r="H215" s="1251"/>
      <c r="I215" s="1659">
        <f>BS!D128</f>
        <v>0</v>
      </c>
      <c r="J215" s="1661"/>
      <c r="K215" s="1659">
        <f>BS!E128</f>
        <v>0</v>
      </c>
      <c r="L215" s="1662"/>
    </row>
    <row r="216" spans="1:12" ht="27.75" customHeight="1">
      <c r="A216" s="1199" t="s">
        <v>571</v>
      </c>
      <c r="B216" s="1717" t="s">
        <v>1125</v>
      </c>
      <c r="C216" s="1718"/>
      <c r="D216" s="1718"/>
      <c r="E216" s="1718"/>
      <c r="F216" s="1719"/>
      <c r="G216" s="1209" t="s">
        <v>780</v>
      </c>
      <c r="H216" s="1251"/>
      <c r="I216" s="1659">
        <f>BS!D129</f>
        <v>12927</v>
      </c>
      <c r="J216" s="1661"/>
      <c r="K216" s="1659">
        <f>BS!E129</f>
        <v>18257</v>
      </c>
      <c r="L216" s="1662"/>
    </row>
    <row r="217" spans="1:12" ht="27.75" customHeight="1">
      <c r="A217" s="1199" t="s">
        <v>758</v>
      </c>
      <c r="B217" s="1717" t="s">
        <v>2496</v>
      </c>
      <c r="C217" s="1718"/>
      <c r="D217" s="1718"/>
      <c r="E217" s="1718"/>
      <c r="F217" s="1719"/>
      <c r="G217" s="1209" t="s">
        <v>782</v>
      </c>
      <c r="H217" s="1251"/>
      <c r="I217" s="1659">
        <f>BS!D130</f>
        <v>0</v>
      </c>
      <c r="J217" s="1661"/>
      <c r="K217" s="1659">
        <f>BS!E130</f>
        <v>0</v>
      </c>
      <c r="L217" s="1662"/>
    </row>
    <row r="218" spans="1:12" ht="27.75" customHeight="1">
      <c r="A218" s="1199" t="s">
        <v>761</v>
      </c>
      <c r="B218" s="1717" t="s">
        <v>2497</v>
      </c>
      <c r="C218" s="1718"/>
      <c r="D218" s="1718"/>
      <c r="E218" s="1718"/>
      <c r="F218" s="1719"/>
      <c r="G218" s="1209" t="s">
        <v>784</v>
      </c>
      <c r="H218" s="1251"/>
      <c r="I218" s="1659">
        <f>BS!D131</f>
        <v>0</v>
      </c>
      <c r="J218" s="1661"/>
      <c r="K218" s="1659">
        <f>BS!E131</f>
        <v>0</v>
      </c>
      <c r="L218" s="1662"/>
    </row>
    <row r="219" spans="1:12" ht="27.75" customHeight="1" thickBot="1">
      <c r="A219" s="1367" t="s">
        <v>2313</v>
      </c>
      <c r="B219" s="1720" t="s">
        <v>1123</v>
      </c>
      <c r="C219" s="1721"/>
      <c r="D219" s="1721"/>
      <c r="E219" s="1721"/>
      <c r="F219" s="1722"/>
      <c r="G219" s="1365" t="s">
        <v>786</v>
      </c>
      <c r="H219" s="1366"/>
      <c r="I219" s="1674">
        <f>BS!D132</f>
        <v>301024</v>
      </c>
      <c r="J219" s="1723"/>
      <c r="K219" s="1674">
        <f>BS!E132</f>
        <v>372864</v>
      </c>
      <c r="L219" s="1676"/>
    </row>
    <row r="220" spans="1:12" ht="27.75" customHeight="1">
      <c r="A220" s="1361" t="s">
        <v>1137</v>
      </c>
      <c r="B220" s="1638" t="s">
        <v>1136</v>
      </c>
      <c r="C220" s="1639"/>
      <c r="D220" s="1639"/>
      <c r="E220" s="1639"/>
      <c r="F220" s="1640"/>
      <c r="G220" s="1362" t="s">
        <v>1135</v>
      </c>
      <c r="H220" s="1363"/>
      <c r="I220" s="1638" t="s">
        <v>1134</v>
      </c>
      <c r="J220" s="1640"/>
      <c r="K220" s="1638" t="s">
        <v>1133</v>
      </c>
      <c r="L220" s="1715"/>
    </row>
    <row r="221" spans="1:12" ht="27.75" customHeight="1">
      <c r="A221" s="1200" t="s">
        <v>613</v>
      </c>
      <c r="B221" s="1712" t="s">
        <v>2498</v>
      </c>
      <c r="C221" s="1713"/>
      <c r="D221" s="1713"/>
      <c r="E221" s="1713"/>
      <c r="F221" s="1714"/>
      <c r="G221" s="1208" t="s">
        <v>789</v>
      </c>
      <c r="H221" s="1250"/>
      <c r="I221" s="1627">
        <f>BS!D133</f>
        <v>0</v>
      </c>
      <c r="J221" s="1629"/>
      <c r="K221" s="1627">
        <f>BS!E133</f>
        <v>0</v>
      </c>
      <c r="L221" s="1630"/>
    </row>
    <row r="222" spans="1:12" ht="27.75" customHeight="1">
      <c r="A222" s="1199" t="s">
        <v>616</v>
      </c>
      <c r="B222" s="1717" t="s">
        <v>2499</v>
      </c>
      <c r="C222" s="1718"/>
      <c r="D222" s="1718"/>
      <c r="E222" s="1718"/>
      <c r="F222" s="1719"/>
      <c r="G222" s="1209" t="s">
        <v>792</v>
      </c>
      <c r="H222" s="1251"/>
      <c r="I222" s="1659">
        <f>BS!D134</f>
        <v>0</v>
      </c>
      <c r="J222" s="1661"/>
      <c r="K222" s="1659">
        <f>BS!E134</f>
        <v>0</v>
      </c>
      <c r="L222" s="1662"/>
    </row>
    <row r="223" spans="1:12" ht="27.75" customHeight="1">
      <c r="A223" s="1199" t="s">
        <v>532</v>
      </c>
      <c r="B223" s="1717" t="s">
        <v>2500</v>
      </c>
      <c r="C223" s="1718"/>
      <c r="D223" s="1718"/>
      <c r="E223" s="1718"/>
      <c r="F223" s="1719"/>
      <c r="G223" s="1209" t="s">
        <v>794</v>
      </c>
      <c r="H223" s="1251"/>
      <c r="I223" s="1659">
        <f>BS!D135</f>
        <v>0</v>
      </c>
      <c r="J223" s="1661"/>
      <c r="K223" s="1659">
        <f>BS!E135</f>
        <v>0</v>
      </c>
      <c r="L223" s="1662"/>
    </row>
    <row r="224" spans="1:12" ht="27.75" customHeight="1">
      <c r="A224" s="1200" t="s">
        <v>631</v>
      </c>
      <c r="B224" s="1712" t="s">
        <v>2501</v>
      </c>
      <c r="C224" s="1713"/>
      <c r="D224" s="1713"/>
      <c r="E224" s="1713"/>
      <c r="F224" s="1714"/>
      <c r="G224" s="1208" t="s">
        <v>796</v>
      </c>
      <c r="H224" s="1250"/>
      <c r="I224" s="1627">
        <f>BS!D136</f>
        <v>0</v>
      </c>
      <c r="J224" s="1629"/>
      <c r="K224" s="1627">
        <f>BS!E136</f>
        <v>0</v>
      </c>
      <c r="L224" s="1630"/>
    </row>
    <row r="225" spans="1:12" ht="27.75" customHeight="1">
      <c r="A225" s="1200" t="s">
        <v>649</v>
      </c>
      <c r="B225" s="1712" t="s">
        <v>2573</v>
      </c>
      <c r="C225" s="1713"/>
      <c r="D225" s="1713"/>
      <c r="E225" s="1713"/>
      <c r="F225" s="1714"/>
      <c r="G225" s="1208" t="s">
        <v>798</v>
      </c>
      <c r="H225" s="1250"/>
      <c r="I225" s="1627">
        <f>BS!D137</f>
        <v>1181891</v>
      </c>
      <c r="J225" s="1629"/>
      <c r="K225" s="1627">
        <f>BS!E137</f>
        <v>988127</v>
      </c>
      <c r="L225" s="1630"/>
    </row>
    <row r="226" spans="1:12" s="1187" customFormat="1" ht="27.75" customHeight="1">
      <c r="A226" s="1200" t="s">
        <v>652</v>
      </c>
      <c r="B226" s="1712" t="s">
        <v>2502</v>
      </c>
      <c r="C226" s="1713"/>
      <c r="D226" s="1713"/>
      <c r="E226" s="1713"/>
      <c r="F226" s="1714"/>
      <c r="G226" s="1208" t="s">
        <v>800</v>
      </c>
      <c r="H226" s="1251"/>
      <c r="I226" s="1627">
        <f>BS!D138</f>
        <v>1079736</v>
      </c>
      <c r="J226" s="1629"/>
      <c r="K226" s="1627">
        <f>BS!E138</f>
        <v>767767</v>
      </c>
      <c r="L226" s="1630"/>
    </row>
    <row r="227" spans="1:12" ht="31.5" customHeight="1">
      <c r="A227" s="1199" t="s">
        <v>2270</v>
      </c>
      <c r="B227" s="1717" t="s">
        <v>2503</v>
      </c>
      <c r="C227" s="1718"/>
      <c r="D227" s="1718"/>
      <c r="E227" s="1718"/>
      <c r="F227" s="1719"/>
      <c r="G227" s="1209" t="s">
        <v>802</v>
      </c>
      <c r="H227" s="1251"/>
      <c r="I227" s="1659">
        <f>BS!D139</f>
        <v>19992</v>
      </c>
      <c r="J227" s="1661"/>
      <c r="K227" s="1659">
        <f>BS!E139</f>
        <v>4427</v>
      </c>
      <c r="L227" s="1662"/>
    </row>
    <row r="228" spans="1:12" ht="30.75" customHeight="1">
      <c r="A228" s="1199" t="s">
        <v>2271</v>
      </c>
      <c r="B228" s="1717" t="s">
        <v>2504</v>
      </c>
      <c r="C228" s="1718"/>
      <c r="D228" s="1718"/>
      <c r="E228" s="1718"/>
      <c r="F228" s="1719"/>
      <c r="G228" s="1209" t="s">
        <v>804</v>
      </c>
      <c r="H228" s="1251"/>
      <c r="I228" s="1659">
        <f>BS!D140</f>
        <v>0</v>
      </c>
      <c r="J228" s="1661"/>
      <c r="K228" s="1659">
        <f>BS!E140</f>
        <v>0</v>
      </c>
      <c r="L228" s="1662"/>
    </row>
    <row r="229" spans="1:12" ht="31.5" customHeight="1">
      <c r="A229" s="1199" t="s">
        <v>2272</v>
      </c>
      <c r="B229" s="1717" t="s">
        <v>2505</v>
      </c>
      <c r="C229" s="1718"/>
      <c r="D229" s="1718"/>
      <c r="E229" s="1718"/>
      <c r="F229" s="1719"/>
      <c r="G229" s="1209" t="s">
        <v>2318</v>
      </c>
      <c r="H229" s="1251"/>
      <c r="I229" s="1659">
        <f>BS!D141</f>
        <v>1059744</v>
      </c>
      <c r="J229" s="1661"/>
      <c r="K229" s="1659">
        <f>BS!E141</f>
        <v>763340</v>
      </c>
      <c r="L229" s="1662"/>
    </row>
    <row r="230" spans="1:12" ht="27.75" customHeight="1">
      <c r="A230" s="1199" t="s">
        <v>532</v>
      </c>
      <c r="B230" s="1717" t="s">
        <v>1120</v>
      </c>
      <c r="C230" s="1718"/>
      <c r="D230" s="1718"/>
      <c r="E230" s="1718"/>
      <c r="F230" s="1719"/>
      <c r="G230" s="1209" t="s">
        <v>2319</v>
      </c>
      <c r="H230" s="1251"/>
      <c r="I230" s="1659">
        <f>BS!D142</f>
        <v>0</v>
      </c>
      <c r="J230" s="1661"/>
      <c r="K230" s="1659">
        <f>BS!E142</f>
        <v>0</v>
      </c>
      <c r="L230" s="1662"/>
    </row>
    <row r="231" spans="1:12" ht="27.75" customHeight="1">
      <c r="A231" s="1199" t="s">
        <v>535</v>
      </c>
      <c r="B231" s="1717" t="s">
        <v>2506</v>
      </c>
      <c r="C231" s="1718"/>
      <c r="D231" s="1718"/>
      <c r="E231" s="1718"/>
      <c r="F231" s="1719"/>
      <c r="G231" s="1209" t="s">
        <v>2320</v>
      </c>
      <c r="H231" s="1251"/>
      <c r="I231" s="1659">
        <f>BS!D143</f>
        <v>0</v>
      </c>
      <c r="J231" s="1661"/>
      <c r="K231" s="1659">
        <f>BS!E143</f>
        <v>0</v>
      </c>
      <c r="L231" s="1662"/>
    </row>
    <row r="232" spans="1:12" ht="30.75" customHeight="1">
      <c r="A232" s="1199" t="s">
        <v>538</v>
      </c>
      <c r="B232" s="1717" t="s">
        <v>2507</v>
      </c>
      <c r="C232" s="1718"/>
      <c r="D232" s="1718"/>
      <c r="E232" s="1718"/>
      <c r="F232" s="1719"/>
      <c r="G232" s="1209" t="s">
        <v>2321</v>
      </c>
      <c r="H232" s="1251"/>
      <c r="I232" s="1659">
        <f>BS!D144</f>
        <v>0</v>
      </c>
      <c r="J232" s="1661"/>
      <c r="K232" s="1659">
        <f>BS!E144</f>
        <v>0</v>
      </c>
      <c r="L232" s="1662"/>
    </row>
    <row r="233" spans="1:12" ht="27.75" customHeight="1">
      <c r="A233" s="1199" t="s">
        <v>541</v>
      </c>
      <c r="B233" s="1717" t="s">
        <v>2508</v>
      </c>
      <c r="C233" s="1718"/>
      <c r="D233" s="1718"/>
      <c r="E233" s="1718"/>
      <c r="F233" s="1719"/>
      <c r="G233" s="1209" t="s">
        <v>2322</v>
      </c>
      <c r="H233" s="1251"/>
      <c r="I233" s="1659">
        <f>BS!D145</f>
        <v>0</v>
      </c>
      <c r="J233" s="1661"/>
      <c r="K233" s="1659">
        <f>BS!E145</f>
        <v>0</v>
      </c>
      <c r="L233" s="1662"/>
    </row>
    <row r="234" spans="1:12" ht="27.75" customHeight="1">
      <c r="A234" s="1199" t="s">
        <v>544</v>
      </c>
      <c r="B234" s="1717" t="s">
        <v>1115</v>
      </c>
      <c r="C234" s="1718"/>
      <c r="D234" s="1718"/>
      <c r="E234" s="1718"/>
      <c r="F234" s="1719"/>
      <c r="G234" s="1209" t="s">
        <v>2323</v>
      </c>
      <c r="H234" s="1251"/>
      <c r="I234" s="1659">
        <f>BS!D146</f>
        <v>47382</v>
      </c>
      <c r="J234" s="1661"/>
      <c r="K234" s="1659">
        <f>BS!E146</f>
        <v>46090</v>
      </c>
      <c r="L234" s="1662"/>
    </row>
    <row r="235" spans="1:12" ht="27.75" customHeight="1">
      <c r="A235" s="1199" t="s">
        <v>547</v>
      </c>
      <c r="B235" s="1717" t="s">
        <v>2509</v>
      </c>
      <c r="C235" s="1718"/>
      <c r="D235" s="1718"/>
      <c r="E235" s="1718"/>
      <c r="F235" s="1719"/>
      <c r="G235" s="1209" t="s">
        <v>2325</v>
      </c>
      <c r="H235" s="1251"/>
      <c r="I235" s="1659">
        <f>BS!D147</f>
        <v>31104</v>
      </c>
      <c r="J235" s="1661"/>
      <c r="K235" s="1659">
        <f>BS!E147</f>
        <v>28038</v>
      </c>
      <c r="L235" s="1662"/>
    </row>
    <row r="236" spans="1:12" s="1187" customFormat="1" ht="27.75" customHeight="1">
      <c r="A236" s="1199" t="s">
        <v>568</v>
      </c>
      <c r="B236" s="1717" t="s">
        <v>2510</v>
      </c>
      <c r="C236" s="1718"/>
      <c r="D236" s="1718"/>
      <c r="E236" s="1718"/>
      <c r="F236" s="1719"/>
      <c r="G236" s="1209" t="s">
        <v>2326</v>
      </c>
      <c r="H236" s="1251"/>
      <c r="I236" s="1659">
        <f>BS!D148</f>
        <v>8319</v>
      </c>
      <c r="J236" s="1661"/>
      <c r="K236" s="1659">
        <f>BS!E148</f>
        <v>142188</v>
      </c>
      <c r="L236" s="1662"/>
    </row>
    <row r="237" spans="1:12" ht="27.75" customHeight="1">
      <c r="A237" s="1199" t="s">
        <v>571</v>
      </c>
      <c r="B237" s="1717" t="s">
        <v>2511</v>
      </c>
      <c r="C237" s="1718"/>
      <c r="D237" s="1718"/>
      <c r="E237" s="1718"/>
      <c r="F237" s="1719"/>
      <c r="G237" s="1209" t="s">
        <v>2328</v>
      </c>
      <c r="H237" s="1251"/>
      <c r="I237" s="1659">
        <f>BS!D149</f>
        <v>0</v>
      </c>
      <c r="J237" s="1661"/>
      <c r="K237" s="1659">
        <f>BS!E149</f>
        <v>0</v>
      </c>
      <c r="L237" s="1662"/>
    </row>
    <row r="238" spans="1:12" ht="27.75" customHeight="1">
      <c r="A238" s="1199" t="s">
        <v>758</v>
      </c>
      <c r="B238" s="1717" t="s">
        <v>2512</v>
      </c>
      <c r="C238" s="1718"/>
      <c r="D238" s="1718"/>
      <c r="E238" s="1718"/>
      <c r="F238" s="1719"/>
      <c r="G238" s="1209" t="s">
        <v>2330</v>
      </c>
      <c r="H238" s="1251"/>
      <c r="I238" s="1659">
        <f>BS!D150</f>
        <v>15350</v>
      </c>
      <c r="J238" s="1661"/>
      <c r="K238" s="1659">
        <f>BS!E150</f>
        <v>4044</v>
      </c>
      <c r="L238" s="1662"/>
    </row>
    <row r="239" spans="1:12" ht="27.75" customHeight="1">
      <c r="A239" s="1200" t="s">
        <v>787</v>
      </c>
      <c r="B239" s="1712" t="s">
        <v>2513</v>
      </c>
      <c r="C239" s="1713"/>
      <c r="D239" s="1713"/>
      <c r="E239" s="1713"/>
      <c r="F239" s="1714"/>
      <c r="G239" s="1208" t="s">
        <v>2332</v>
      </c>
      <c r="H239" s="1250"/>
      <c r="I239" s="1627">
        <f>BS!D151</f>
        <v>113122</v>
      </c>
      <c r="J239" s="1629"/>
      <c r="K239" s="1627">
        <f>BS!E151</f>
        <v>102437</v>
      </c>
      <c r="L239" s="1630"/>
    </row>
    <row r="240" spans="1:12" s="1187" customFormat="1" ht="27.75" customHeight="1">
      <c r="A240" s="1199" t="s">
        <v>790</v>
      </c>
      <c r="B240" s="1717" t="s">
        <v>2514</v>
      </c>
      <c r="C240" s="1718"/>
      <c r="D240" s="1718"/>
      <c r="E240" s="1718"/>
      <c r="F240" s="1719"/>
      <c r="G240" s="1209" t="s">
        <v>2333</v>
      </c>
      <c r="H240" s="1251"/>
      <c r="I240" s="1659">
        <f>BS!D152</f>
        <v>42770</v>
      </c>
      <c r="J240" s="1661"/>
      <c r="K240" s="1659">
        <f>BS!E152</f>
        <v>34294</v>
      </c>
      <c r="L240" s="1662"/>
    </row>
    <row r="241" spans="1:12" s="1187" customFormat="1" ht="27.75" customHeight="1">
      <c r="A241" s="1199" t="s">
        <v>532</v>
      </c>
      <c r="B241" s="1717" t="s">
        <v>2515</v>
      </c>
      <c r="C241" s="1718"/>
      <c r="D241" s="1718"/>
      <c r="E241" s="1718"/>
      <c r="F241" s="1719"/>
      <c r="G241" s="1209" t="s">
        <v>2334</v>
      </c>
      <c r="H241" s="1251"/>
      <c r="I241" s="1659">
        <f>BS!D153</f>
        <v>70352</v>
      </c>
      <c r="J241" s="1661"/>
      <c r="K241" s="1659">
        <f>BS!E153</f>
        <v>68143</v>
      </c>
      <c r="L241" s="1662"/>
    </row>
    <row r="242" spans="1:12" s="1187" customFormat="1" ht="27.75" customHeight="1">
      <c r="A242" s="1318" t="s">
        <v>2335</v>
      </c>
      <c r="B242" s="1668" t="s">
        <v>2516</v>
      </c>
      <c r="C242" s="1668"/>
      <c r="D242" s="1727"/>
      <c r="E242" s="1727"/>
      <c r="F242" s="1727"/>
      <c r="G242" s="1263" t="s">
        <v>2336</v>
      </c>
      <c r="H242" s="1264"/>
      <c r="I242" s="1728">
        <f>BS!D154</f>
        <v>4286</v>
      </c>
      <c r="J242" s="1729"/>
      <c r="K242" s="1728">
        <f>BS!E154</f>
        <v>2976</v>
      </c>
      <c r="L242" s="1730"/>
    </row>
    <row r="243" spans="1:12" s="1187" customFormat="1" ht="27.75" customHeight="1">
      <c r="A243" s="1308" t="s">
        <v>2337</v>
      </c>
      <c r="B243" s="1712" t="s">
        <v>1111</v>
      </c>
      <c r="C243" s="1713"/>
      <c r="D243" s="1713"/>
      <c r="E243" s="1713"/>
      <c r="F243" s="1714"/>
      <c r="G243" s="1208" t="s">
        <v>2338</v>
      </c>
      <c r="H243" s="1250"/>
      <c r="I243" s="1627">
        <f>BS!D155</f>
        <v>0</v>
      </c>
      <c r="J243" s="1629"/>
      <c r="K243" s="1627">
        <f>BS!E155</f>
        <v>0</v>
      </c>
      <c r="L243" s="1630"/>
    </row>
    <row r="244" spans="1:12" s="1187" customFormat="1" ht="27.75" customHeight="1">
      <c r="A244" s="1308" t="s">
        <v>663</v>
      </c>
      <c r="B244" s="1712" t="s">
        <v>2517</v>
      </c>
      <c r="C244" s="1713"/>
      <c r="D244" s="1713"/>
      <c r="E244" s="1713"/>
      <c r="F244" s="1714"/>
      <c r="G244" s="1208" t="s">
        <v>2340</v>
      </c>
      <c r="H244" s="1250"/>
      <c r="I244" s="1627">
        <f>BS!D156</f>
        <v>0</v>
      </c>
      <c r="J244" s="1629"/>
      <c r="K244" s="1627">
        <f>BS!E156</f>
        <v>0</v>
      </c>
      <c r="L244" s="1630"/>
    </row>
    <row r="245" spans="1:12" s="1187" customFormat="1" ht="27.75" customHeight="1">
      <c r="A245" s="1302" t="s">
        <v>666</v>
      </c>
      <c r="B245" s="1717" t="s">
        <v>1106</v>
      </c>
      <c r="C245" s="1718"/>
      <c r="D245" s="1718"/>
      <c r="E245" s="1718"/>
      <c r="F245" s="1719"/>
      <c r="G245" s="1209" t="s">
        <v>2341</v>
      </c>
      <c r="H245" s="1251"/>
      <c r="I245" s="1659">
        <f>BS!D157</f>
        <v>0</v>
      </c>
      <c r="J245" s="1661"/>
      <c r="K245" s="1659">
        <f>BS!E157</f>
        <v>0</v>
      </c>
      <c r="L245" s="1662"/>
    </row>
    <row r="246" spans="1:12" s="1187" customFormat="1" ht="27.75" customHeight="1">
      <c r="A246" s="1302" t="s">
        <v>532</v>
      </c>
      <c r="B246" s="1717" t="s">
        <v>1105</v>
      </c>
      <c r="C246" s="1718"/>
      <c r="D246" s="1718"/>
      <c r="E246" s="1718"/>
      <c r="F246" s="1719"/>
      <c r="G246" s="1209" t="s">
        <v>2342</v>
      </c>
      <c r="H246" s="1251"/>
      <c r="I246" s="1659">
        <f>BS!D158</f>
        <v>0</v>
      </c>
      <c r="J246" s="1661"/>
      <c r="K246" s="1659">
        <f>BS!E158</f>
        <v>0</v>
      </c>
      <c r="L246" s="1662"/>
    </row>
    <row r="247" spans="1:12" s="1187" customFormat="1" ht="27.75" customHeight="1">
      <c r="A247" s="1302" t="s">
        <v>535</v>
      </c>
      <c r="B247" s="1717" t="s">
        <v>1104</v>
      </c>
      <c r="C247" s="1718"/>
      <c r="D247" s="1718"/>
      <c r="E247" s="1718"/>
      <c r="F247" s="1719"/>
      <c r="G247" s="1209" t="s">
        <v>2343</v>
      </c>
      <c r="H247" s="1251"/>
      <c r="I247" s="1659">
        <f>BS!D159</f>
        <v>0</v>
      </c>
      <c r="J247" s="1661"/>
      <c r="K247" s="1659">
        <f>BS!E159</f>
        <v>0</v>
      </c>
      <c r="L247" s="1662"/>
    </row>
    <row r="248" spans="1:12" ht="27.75" customHeight="1" thickBot="1">
      <c r="A248" s="1368" t="s">
        <v>538</v>
      </c>
      <c r="B248" s="1720" t="s">
        <v>1103</v>
      </c>
      <c r="C248" s="1721"/>
      <c r="D248" s="1721"/>
      <c r="E248" s="1721"/>
      <c r="F248" s="1722"/>
      <c r="G248" s="1365" t="s">
        <v>2344</v>
      </c>
      <c r="H248" s="1366"/>
      <c r="I248" s="1674">
        <f>BS!D160</f>
        <v>0</v>
      </c>
      <c r="J248" s="1723"/>
      <c r="K248" s="1674">
        <f>BS!E160</f>
        <v>0</v>
      </c>
      <c r="L248" s="1676"/>
    </row>
    <row r="249" spans="1:12" ht="27.75" customHeight="1">
      <c r="A249" s="1190"/>
      <c r="B249" s="1191"/>
      <c r="C249" s="1191"/>
      <c r="D249" s="1201"/>
      <c r="E249" s="1201"/>
      <c r="F249" s="1201"/>
      <c r="G249" s="1192"/>
      <c r="H249" s="1192"/>
      <c r="I249" s="1193"/>
      <c r="J249" s="1193"/>
      <c r="K249" s="1193"/>
      <c r="L249" s="1193"/>
    </row>
    <row r="250" spans="1:12" ht="24.75" customHeight="1"/>
    <row r="251" spans="1:12" ht="24.75" customHeight="1"/>
    <row r="252" spans="1:12" ht="24.75" customHeight="1"/>
  </sheetData>
  <mergeCells count="822">
    <mergeCell ref="B191:F191"/>
    <mergeCell ref="I191:J191"/>
    <mergeCell ref="K191:L191"/>
    <mergeCell ref="B220:F220"/>
    <mergeCell ref="I220:J220"/>
    <mergeCell ref="K220:L220"/>
    <mergeCell ref="K99:L99"/>
    <mergeCell ref="B219:F219"/>
    <mergeCell ref="I219:J219"/>
    <mergeCell ref="K219:L219"/>
    <mergeCell ref="B215:F215"/>
    <mergeCell ref="I215:J215"/>
    <mergeCell ref="K215:L215"/>
    <mergeCell ref="B216:F216"/>
    <mergeCell ref="I216:J216"/>
    <mergeCell ref="K216:L216"/>
    <mergeCell ref="B213:F213"/>
    <mergeCell ref="I213:J213"/>
    <mergeCell ref="K213:L213"/>
    <mergeCell ref="B214:F214"/>
    <mergeCell ref="I214:J214"/>
    <mergeCell ref="K214:L214"/>
    <mergeCell ref="B211:F211"/>
    <mergeCell ref="I211:J211"/>
    <mergeCell ref="K37:L37"/>
    <mergeCell ref="A97:A99"/>
    <mergeCell ref="B97:B99"/>
    <mergeCell ref="D97:D99"/>
    <mergeCell ref="E97:J97"/>
    <mergeCell ref="K97:L98"/>
    <mergeCell ref="E98:E99"/>
    <mergeCell ref="F98:G98"/>
    <mergeCell ref="I98:J98"/>
    <mergeCell ref="F99:G99"/>
    <mergeCell ref="I99:J99"/>
    <mergeCell ref="A95:A96"/>
    <mergeCell ref="B95:B96"/>
    <mergeCell ref="D95:D96"/>
    <mergeCell ref="E95:G95"/>
    <mergeCell ref="I95:K95"/>
    <mergeCell ref="E96:G96"/>
    <mergeCell ref="J96:L96"/>
    <mergeCell ref="A93:A94"/>
    <mergeCell ref="B93:B94"/>
    <mergeCell ref="D93:D94"/>
    <mergeCell ref="E93:G93"/>
    <mergeCell ref="I93:K93"/>
    <mergeCell ref="E94:G94"/>
    <mergeCell ref="B247:F247"/>
    <mergeCell ref="I247:J247"/>
    <mergeCell ref="K247:L247"/>
    <mergeCell ref="B248:F248"/>
    <mergeCell ref="I248:J248"/>
    <mergeCell ref="K248:L248"/>
    <mergeCell ref="B245:F245"/>
    <mergeCell ref="I245:J245"/>
    <mergeCell ref="K245:L245"/>
    <mergeCell ref="B246:F246"/>
    <mergeCell ref="I246:J246"/>
    <mergeCell ref="K246:L246"/>
    <mergeCell ref="B243:F243"/>
    <mergeCell ref="I243:J243"/>
    <mergeCell ref="K243:L243"/>
    <mergeCell ref="B244:F244"/>
    <mergeCell ref="I244:J244"/>
    <mergeCell ref="K244:L244"/>
    <mergeCell ref="B242:F242"/>
    <mergeCell ref="I242:J242"/>
    <mergeCell ref="K242:L242"/>
    <mergeCell ref="B240:F240"/>
    <mergeCell ref="I240:J240"/>
    <mergeCell ref="K240:L240"/>
    <mergeCell ref="B241:F241"/>
    <mergeCell ref="I241:J241"/>
    <mergeCell ref="K241:L241"/>
    <mergeCell ref="B238:F238"/>
    <mergeCell ref="I238:J238"/>
    <mergeCell ref="K238:L238"/>
    <mergeCell ref="B239:F239"/>
    <mergeCell ref="I239:J239"/>
    <mergeCell ref="K239:L239"/>
    <mergeCell ref="B236:F236"/>
    <mergeCell ref="I236:J236"/>
    <mergeCell ref="K236:L236"/>
    <mergeCell ref="B237:F237"/>
    <mergeCell ref="I237:J237"/>
    <mergeCell ref="K237:L237"/>
    <mergeCell ref="B234:F234"/>
    <mergeCell ref="I234:J234"/>
    <mergeCell ref="K234:L234"/>
    <mergeCell ref="B235:F235"/>
    <mergeCell ref="I235:J235"/>
    <mergeCell ref="K235:L235"/>
    <mergeCell ref="B232:F232"/>
    <mergeCell ref="I232:J232"/>
    <mergeCell ref="K232:L232"/>
    <mergeCell ref="B233:F233"/>
    <mergeCell ref="I233:J233"/>
    <mergeCell ref="K233:L233"/>
    <mergeCell ref="B230:F230"/>
    <mergeCell ref="I230:J230"/>
    <mergeCell ref="K230:L230"/>
    <mergeCell ref="B231:F231"/>
    <mergeCell ref="I231:J231"/>
    <mergeCell ref="K231:L231"/>
    <mergeCell ref="B228:F228"/>
    <mergeCell ref="I228:J228"/>
    <mergeCell ref="K228:L228"/>
    <mergeCell ref="B229:F229"/>
    <mergeCell ref="I229:J229"/>
    <mergeCell ref="K229:L229"/>
    <mergeCell ref="B226:F226"/>
    <mergeCell ref="I226:J226"/>
    <mergeCell ref="K226:L226"/>
    <mergeCell ref="B227:F227"/>
    <mergeCell ref="I227:J227"/>
    <mergeCell ref="K227:L227"/>
    <mergeCell ref="B224:F224"/>
    <mergeCell ref="I224:J224"/>
    <mergeCell ref="K224:L224"/>
    <mergeCell ref="B225:F225"/>
    <mergeCell ref="I225:J225"/>
    <mergeCell ref="K225:L225"/>
    <mergeCell ref="B222:F222"/>
    <mergeCell ref="I222:J222"/>
    <mergeCell ref="K222:L222"/>
    <mergeCell ref="B223:F223"/>
    <mergeCell ref="I223:J223"/>
    <mergeCell ref="K223:L223"/>
    <mergeCell ref="B221:F221"/>
    <mergeCell ref="I221:J221"/>
    <mergeCell ref="K221:L221"/>
    <mergeCell ref="B217:F217"/>
    <mergeCell ref="I217:J217"/>
    <mergeCell ref="K217:L217"/>
    <mergeCell ref="B218:F218"/>
    <mergeCell ref="I218:J218"/>
    <mergeCell ref="K218:L218"/>
    <mergeCell ref="K211:L211"/>
    <mergeCell ref="B212:F212"/>
    <mergeCell ref="I212:J212"/>
    <mergeCell ref="K212:L212"/>
    <mergeCell ref="B210:F210"/>
    <mergeCell ref="I210:J210"/>
    <mergeCell ref="K210:L210"/>
    <mergeCell ref="B208:F208"/>
    <mergeCell ref="I208:J208"/>
    <mergeCell ref="K208:L208"/>
    <mergeCell ref="B209:F209"/>
    <mergeCell ref="I209:J209"/>
    <mergeCell ref="K209:L209"/>
    <mergeCell ref="B206:F206"/>
    <mergeCell ref="I206:J206"/>
    <mergeCell ref="K206:L206"/>
    <mergeCell ref="B207:F207"/>
    <mergeCell ref="I207:J207"/>
    <mergeCell ref="K207:L207"/>
    <mergeCell ref="B204:F204"/>
    <mergeCell ref="I204:J204"/>
    <mergeCell ref="K204:L204"/>
    <mergeCell ref="B205:F205"/>
    <mergeCell ref="I205:J205"/>
    <mergeCell ref="K205:L205"/>
    <mergeCell ref="B202:F202"/>
    <mergeCell ref="I202:J202"/>
    <mergeCell ref="K202:L202"/>
    <mergeCell ref="B203:F203"/>
    <mergeCell ref="I203:J203"/>
    <mergeCell ref="K203:L203"/>
    <mergeCell ref="B200:F200"/>
    <mergeCell ref="I200:J200"/>
    <mergeCell ref="K200:L200"/>
    <mergeCell ref="B201:F201"/>
    <mergeCell ref="I201:J201"/>
    <mergeCell ref="K201:L201"/>
    <mergeCell ref="B198:F198"/>
    <mergeCell ref="I198:J198"/>
    <mergeCell ref="K198:L198"/>
    <mergeCell ref="B199:F199"/>
    <mergeCell ref="I199:J199"/>
    <mergeCell ref="K199:L199"/>
    <mergeCell ref="B196:F196"/>
    <mergeCell ref="I196:J196"/>
    <mergeCell ref="K196:L196"/>
    <mergeCell ref="B197:F197"/>
    <mergeCell ref="I197:J197"/>
    <mergeCell ref="K197:L197"/>
    <mergeCell ref="B194:F194"/>
    <mergeCell ref="I194:J194"/>
    <mergeCell ref="K194:L194"/>
    <mergeCell ref="B195:F195"/>
    <mergeCell ref="I195:J195"/>
    <mergeCell ref="K195:L195"/>
    <mergeCell ref="B192:F192"/>
    <mergeCell ref="I192:J192"/>
    <mergeCell ref="K192:L192"/>
    <mergeCell ref="B193:F193"/>
    <mergeCell ref="I193:J193"/>
    <mergeCell ref="K193:L193"/>
    <mergeCell ref="B189:F189"/>
    <mergeCell ref="I189:J189"/>
    <mergeCell ref="K189:L189"/>
    <mergeCell ref="B190:F190"/>
    <mergeCell ref="I190:J190"/>
    <mergeCell ref="K190:L190"/>
    <mergeCell ref="B187:F187"/>
    <mergeCell ref="I187:J187"/>
    <mergeCell ref="K187:L187"/>
    <mergeCell ref="B188:F188"/>
    <mergeCell ref="I188:J188"/>
    <mergeCell ref="K188:L188"/>
    <mergeCell ref="B185:F185"/>
    <mergeCell ref="I185:J185"/>
    <mergeCell ref="K185:L185"/>
    <mergeCell ref="B186:F186"/>
    <mergeCell ref="I186:J186"/>
    <mergeCell ref="K186:L186"/>
    <mergeCell ref="B183:F183"/>
    <mergeCell ref="I183:J183"/>
    <mergeCell ref="K183:L183"/>
    <mergeCell ref="B184:F184"/>
    <mergeCell ref="I184:J184"/>
    <mergeCell ref="K184:L184"/>
    <mergeCell ref="B181:F181"/>
    <mergeCell ref="I181:J181"/>
    <mergeCell ref="K181:L181"/>
    <mergeCell ref="B182:F182"/>
    <mergeCell ref="I182:J182"/>
    <mergeCell ref="K182:L182"/>
    <mergeCell ref="B179:F179"/>
    <mergeCell ref="I179:J179"/>
    <mergeCell ref="K179:L179"/>
    <mergeCell ref="B180:F180"/>
    <mergeCell ref="I180:J180"/>
    <mergeCell ref="K180:L180"/>
    <mergeCell ref="A176:A177"/>
    <mergeCell ref="B176:B177"/>
    <mergeCell ref="D176:D177"/>
    <mergeCell ref="E176:G176"/>
    <mergeCell ref="I176:K176"/>
    <mergeCell ref="E177:G177"/>
    <mergeCell ref="J177:L177"/>
    <mergeCell ref="A174:A175"/>
    <mergeCell ref="B174:B175"/>
    <mergeCell ref="D174:D175"/>
    <mergeCell ref="E174:G174"/>
    <mergeCell ref="I174:K174"/>
    <mergeCell ref="E175:G175"/>
    <mergeCell ref="J175:L175"/>
    <mergeCell ref="A172:A173"/>
    <mergeCell ref="B172:B173"/>
    <mergeCell ref="D172:D173"/>
    <mergeCell ref="E172:G172"/>
    <mergeCell ref="I172:K172"/>
    <mergeCell ref="E173:G173"/>
    <mergeCell ref="J173:L173"/>
    <mergeCell ref="A170:A171"/>
    <mergeCell ref="B170:B171"/>
    <mergeCell ref="D170:D171"/>
    <mergeCell ref="E170:G170"/>
    <mergeCell ref="I170:K170"/>
    <mergeCell ref="E171:G171"/>
    <mergeCell ref="J171:L171"/>
    <mergeCell ref="A168:A169"/>
    <mergeCell ref="B168:B169"/>
    <mergeCell ref="D168:D169"/>
    <mergeCell ref="E168:G168"/>
    <mergeCell ref="I168:K168"/>
    <mergeCell ref="E169:G169"/>
    <mergeCell ref="J169:L169"/>
    <mergeCell ref="A166:A167"/>
    <mergeCell ref="B166:B167"/>
    <mergeCell ref="D166:D167"/>
    <mergeCell ref="E166:G166"/>
    <mergeCell ref="I166:K166"/>
    <mergeCell ref="E167:G167"/>
    <mergeCell ref="J167:L167"/>
    <mergeCell ref="A164:A165"/>
    <mergeCell ref="B164:B165"/>
    <mergeCell ref="D164:D165"/>
    <mergeCell ref="E164:G164"/>
    <mergeCell ref="I164:K164"/>
    <mergeCell ref="E165:G165"/>
    <mergeCell ref="J165:L165"/>
    <mergeCell ref="A162:A163"/>
    <mergeCell ref="B162:B163"/>
    <mergeCell ref="D162:D163"/>
    <mergeCell ref="E162:G162"/>
    <mergeCell ref="I162:K162"/>
    <mergeCell ref="E163:G163"/>
    <mergeCell ref="J163:L163"/>
    <mergeCell ref="A157:A158"/>
    <mergeCell ref="B157:B158"/>
    <mergeCell ref="D157:D158"/>
    <mergeCell ref="E157:G157"/>
    <mergeCell ref="I157:K157"/>
    <mergeCell ref="E158:G158"/>
    <mergeCell ref="J158:L158"/>
    <mergeCell ref="A159:A161"/>
    <mergeCell ref="B159:B161"/>
    <mergeCell ref="D159:D161"/>
    <mergeCell ref="E159:J159"/>
    <mergeCell ref="K159:L160"/>
    <mergeCell ref="E160:E161"/>
    <mergeCell ref="F160:G160"/>
    <mergeCell ref="I160:J160"/>
    <mergeCell ref="F161:G161"/>
    <mergeCell ref="I161:J161"/>
    <mergeCell ref="K161:L161"/>
    <mergeCell ref="A155:A156"/>
    <mergeCell ref="B155:B156"/>
    <mergeCell ref="D155:D156"/>
    <mergeCell ref="E155:G155"/>
    <mergeCell ref="I155:K155"/>
    <mergeCell ref="E156:G156"/>
    <mergeCell ref="J156:L156"/>
    <mergeCell ref="A153:A154"/>
    <mergeCell ref="B153:B154"/>
    <mergeCell ref="D153:D154"/>
    <mergeCell ref="E153:G153"/>
    <mergeCell ref="I153:K153"/>
    <mergeCell ref="E154:G154"/>
    <mergeCell ref="J154:L154"/>
    <mergeCell ref="A151:A152"/>
    <mergeCell ref="B151:B152"/>
    <mergeCell ref="D151:D152"/>
    <mergeCell ref="E151:G151"/>
    <mergeCell ref="I151:K151"/>
    <mergeCell ref="E152:G152"/>
    <mergeCell ref="J152:L152"/>
    <mergeCell ref="A149:A150"/>
    <mergeCell ref="B149:B150"/>
    <mergeCell ref="D149:D150"/>
    <mergeCell ref="E149:G149"/>
    <mergeCell ref="I149:K149"/>
    <mergeCell ref="E150:G150"/>
    <mergeCell ref="J150:L150"/>
    <mergeCell ref="A147:A148"/>
    <mergeCell ref="B147:B148"/>
    <mergeCell ref="D147:D148"/>
    <mergeCell ref="E147:G147"/>
    <mergeCell ref="I147:K147"/>
    <mergeCell ref="E148:G148"/>
    <mergeCell ref="J148:L148"/>
    <mergeCell ref="A145:A146"/>
    <mergeCell ref="B145:B146"/>
    <mergeCell ref="D145:D146"/>
    <mergeCell ref="E145:G145"/>
    <mergeCell ref="I145:K145"/>
    <mergeCell ref="E146:G146"/>
    <mergeCell ref="J146:L146"/>
    <mergeCell ref="A143:A144"/>
    <mergeCell ref="B143:B144"/>
    <mergeCell ref="D143:D144"/>
    <mergeCell ref="E143:G143"/>
    <mergeCell ref="I143:K143"/>
    <mergeCell ref="E144:G144"/>
    <mergeCell ref="J144:L144"/>
    <mergeCell ref="A141:A142"/>
    <mergeCell ref="B141:B142"/>
    <mergeCell ref="D141:D142"/>
    <mergeCell ref="E141:G141"/>
    <mergeCell ref="I141:K141"/>
    <mergeCell ref="E142:G142"/>
    <mergeCell ref="J142:L142"/>
    <mergeCell ref="A139:A140"/>
    <mergeCell ref="B139:B140"/>
    <mergeCell ref="D139:D140"/>
    <mergeCell ref="E139:G139"/>
    <mergeCell ref="I139:K139"/>
    <mergeCell ref="E140:G140"/>
    <mergeCell ref="J140:L140"/>
    <mergeCell ref="A137:A138"/>
    <mergeCell ref="B137:B138"/>
    <mergeCell ref="D137:D138"/>
    <mergeCell ref="E137:G137"/>
    <mergeCell ref="I137:K137"/>
    <mergeCell ref="E138:G138"/>
    <mergeCell ref="J138:L138"/>
    <mergeCell ref="A135:A136"/>
    <mergeCell ref="B135:B136"/>
    <mergeCell ref="D135:D136"/>
    <mergeCell ref="E135:G135"/>
    <mergeCell ref="I135:K135"/>
    <mergeCell ref="E136:G136"/>
    <mergeCell ref="J136:L136"/>
    <mergeCell ref="A133:A134"/>
    <mergeCell ref="B133:B134"/>
    <mergeCell ref="D133:D134"/>
    <mergeCell ref="E133:G133"/>
    <mergeCell ref="I133:K133"/>
    <mergeCell ref="E134:G134"/>
    <mergeCell ref="J134:L134"/>
    <mergeCell ref="K130:L130"/>
    <mergeCell ref="A131:A132"/>
    <mergeCell ref="B131:B132"/>
    <mergeCell ref="D131:D132"/>
    <mergeCell ref="E131:G131"/>
    <mergeCell ref="I131:K131"/>
    <mergeCell ref="E132:G132"/>
    <mergeCell ref="J132:L132"/>
    <mergeCell ref="A128:A130"/>
    <mergeCell ref="B128:B130"/>
    <mergeCell ref="D128:D130"/>
    <mergeCell ref="E128:J128"/>
    <mergeCell ref="K128:L129"/>
    <mergeCell ref="E129:E130"/>
    <mergeCell ref="F129:G129"/>
    <mergeCell ref="I129:J129"/>
    <mergeCell ref="F130:G130"/>
    <mergeCell ref="I130:J130"/>
    <mergeCell ref="A126:A127"/>
    <mergeCell ref="B126:B127"/>
    <mergeCell ref="D126:D127"/>
    <mergeCell ref="E126:G126"/>
    <mergeCell ref="I126:K126"/>
    <mergeCell ref="E127:G127"/>
    <mergeCell ref="J127:L127"/>
    <mergeCell ref="A124:A125"/>
    <mergeCell ref="B124:B125"/>
    <mergeCell ref="D124:D125"/>
    <mergeCell ref="E124:G124"/>
    <mergeCell ref="I124:K124"/>
    <mergeCell ref="E125:G125"/>
    <mergeCell ref="J125:L125"/>
    <mergeCell ref="A122:A123"/>
    <mergeCell ref="B122:B123"/>
    <mergeCell ref="D122:D123"/>
    <mergeCell ref="E122:G122"/>
    <mergeCell ref="I122:K122"/>
    <mergeCell ref="E123:G123"/>
    <mergeCell ref="J123:L123"/>
    <mergeCell ref="A120:A121"/>
    <mergeCell ref="B120:B121"/>
    <mergeCell ref="D120:D121"/>
    <mergeCell ref="E120:G120"/>
    <mergeCell ref="I120:K120"/>
    <mergeCell ref="E121:G121"/>
    <mergeCell ref="J121:L121"/>
    <mergeCell ref="A118:A119"/>
    <mergeCell ref="B118:B119"/>
    <mergeCell ref="D118:D119"/>
    <mergeCell ref="E118:G118"/>
    <mergeCell ref="I118:K118"/>
    <mergeCell ref="E119:G119"/>
    <mergeCell ref="J119:L119"/>
    <mergeCell ref="A116:A117"/>
    <mergeCell ref="B116:B117"/>
    <mergeCell ref="D116:D117"/>
    <mergeCell ref="E116:G116"/>
    <mergeCell ref="I116:K116"/>
    <mergeCell ref="E117:G117"/>
    <mergeCell ref="J117:L117"/>
    <mergeCell ref="A114:A115"/>
    <mergeCell ref="B114:B115"/>
    <mergeCell ref="D114:D115"/>
    <mergeCell ref="E114:G114"/>
    <mergeCell ref="I114:K114"/>
    <mergeCell ref="E115:G115"/>
    <mergeCell ref="J115:L115"/>
    <mergeCell ref="A112:A113"/>
    <mergeCell ref="B112:B113"/>
    <mergeCell ref="D112:D113"/>
    <mergeCell ref="E112:G112"/>
    <mergeCell ref="I112:K112"/>
    <mergeCell ref="E113:G113"/>
    <mergeCell ref="J113:L113"/>
    <mergeCell ref="A110:A111"/>
    <mergeCell ref="B110:B111"/>
    <mergeCell ref="D110:D111"/>
    <mergeCell ref="E110:G110"/>
    <mergeCell ref="I110:K110"/>
    <mergeCell ref="E111:G111"/>
    <mergeCell ref="J111:L111"/>
    <mergeCell ref="A108:A109"/>
    <mergeCell ref="B108:B109"/>
    <mergeCell ref="D108:D109"/>
    <mergeCell ref="E108:G108"/>
    <mergeCell ref="I108:K108"/>
    <mergeCell ref="E109:G109"/>
    <mergeCell ref="J109:L109"/>
    <mergeCell ref="A106:A107"/>
    <mergeCell ref="B106:B107"/>
    <mergeCell ref="D106:D107"/>
    <mergeCell ref="E106:G106"/>
    <mergeCell ref="I106:K106"/>
    <mergeCell ref="E107:G107"/>
    <mergeCell ref="J107:L107"/>
    <mergeCell ref="A104:A105"/>
    <mergeCell ref="B104:B105"/>
    <mergeCell ref="D104:D105"/>
    <mergeCell ref="E104:G104"/>
    <mergeCell ref="I104:K104"/>
    <mergeCell ref="E105:G105"/>
    <mergeCell ref="J105:L105"/>
    <mergeCell ref="A102:A103"/>
    <mergeCell ref="B102:B103"/>
    <mergeCell ref="D102:D103"/>
    <mergeCell ref="E102:G102"/>
    <mergeCell ref="I102:K102"/>
    <mergeCell ref="E103:G103"/>
    <mergeCell ref="J103:L103"/>
    <mergeCell ref="A100:A101"/>
    <mergeCell ref="B100:B101"/>
    <mergeCell ref="D100:D101"/>
    <mergeCell ref="E100:G100"/>
    <mergeCell ref="I100:K100"/>
    <mergeCell ref="E101:G101"/>
    <mergeCell ref="J101:L101"/>
    <mergeCell ref="J94:L94"/>
    <mergeCell ref="A91:A92"/>
    <mergeCell ref="B91:B92"/>
    <mergeCell ref="D91:D92"/>
    <mergeCell ref="E91:G91"/>
    <mergeCell ref="I91:K91"/>
    <mergeCell ref="E92:G92"/>
    <mergeCell ref="J92:L92"/>
    <mergeCell ref="A89:A90"/>
    <mergeCell ref="B89:B90"/>
    <mergeCell ref="D89:D90"/>
    <mergeCell ref="E89:G89"/>
    <mergeCell ref="I89:K89"/>
    <mergeCell ref="E90:G90"/>
    <mergeCell ref="J90:L90"/>
    <mergeCell ref="A87:A88"/>
    <mergeCell ref="B87:B88"/>
    <mergeCell ref="D87:D88"/>
    <mergeCell ref="E87:G87"/>
    <mergeCell ref="I87:K87"/>
    <mergeCell ref="E88:G88"/>
    <mergeCell ref="J88:L88"/>
    <mergeCell ref="A85:A86"/>
    <mergeCell ref="B85:B86"/>
    <mergeCell ref="D85:D86"/>
    <mergeCell ref="E85:G85"/>
    <mergeCell ref="I85:K85"/>
    <mergeCell ref="E86:G86"/>
    <mergeCell ref="J86:L86"/>
    <mergeCell ref="A83:A84"/>
    <mergeCell ref="B83:B84"/>
    <mergeCell ref="D83:D84"/>
    <mergeCell ref="E83:G83"/>
    <mergeCell ref="I83:K83"/>
    <mergeCell ref="E84:G84"/>
    <mergeCell ref="J84:L84"/>
    <mergeCell ref="A81:A82"/>
    <mergeCell ref="B81:B82"/>
    <mergeCell ref="D81:D82"/>
    <mergeCell ref="E81:G81"/>
    <mergeCell ref="I81:K81"/>
    <mergeCell ref="E82:G82"/>
    <mergeCell ref="J82:L82"/>
    <mergeCell ref="A79:A80"/>
    <mergeCell ref="B79:B80"/>
    <mergeCell ref="D79:D80"/>
    <mergeCell ref="E79:G79"/>
    <mergeCell ref="I79:K79"/>
    <mergeCell ref="E80:G80"/>
    <mergeCell ref="J80:L80"/>
    <mergeCell ref="A77:A78"/>
    <mergeCell ref="B77:B78"/>
    <mergeCell ref="D77:D78"/>
    <mergeCell ref="E77:G77"/>
    <mergeCell ref="I77:K77"/>
    <mergeCell ref="E78:G78"/>
    <mergeCell ref="J78:L78"/>
    <mergeCell ref="A75:A76"/>
    <mergeCell ref="B75:B76"/>
    <mergeCell ref="D75:D76"/>
    <mergeCell ref="E75:G75"/>
    <mergeCell ref="I75:K75"/>
    <mergeCell ref="E76:G76"/>
    <mergeCell ref="J76:L76"/>
    <mergeCell ref="A73:A74"/>
    <mergeCell ref="B73:B74"/>
    <mergeCell ref="D73:D74"/>
    <mergeCell ref="E73:G73"/>
    <mergeCell ref="I73:K73"/>
    <mergeCell ref="E74:G74"/>
    <mergeCell ref="J74:L74"/>
    <mergeCell ref="A71:A72"/>
    <mergeCell ref="B71:B72"/>
    <mergeCell ref="D71:D72"/>
    <mergeCell ref="E71:G71"/>
    <mergeCell ref="I71:K71"/>
    <mergeCell ref="E72:G72"/>
    <mergeCell ref="J72:L72"/>
    <mergeCell ref="A69:A70"/>
    <mergeCell ref="B69:B70"/>
    <mergeCell ref="D69:D70"/>
    <mergeCell ref="E69:G69"/>
    <mergeCell ref="I69:K69"/>
    <mergeCell ref="E70:G70"/>
    <mergeCell ref="J70:L70"/>
    <mergeCell ref="A64:A65"/>
    <mergeCell ref="B64:B65"/>
    <mergeCell ref="D64:D65"/>
    <mergeCell ref="E64:G64"/>
    <mergeCell ref="I64:K64"/>
    <mergeCell ref="E65:G65"/>
    <mergeCell ref="J65:L65"/>
    <mergeCell ref="F68:G68"/>
    <mergeCell ref="I68:J68"/>
    <mergeCell ref="A66:A68"/>
    <mergeCell ref="B66:B68"/>
    <mergeCell ref="D66:D68"/>
    <mergeCell ref="E66:J66"/>
    <mergeCell ref="K66:L67"/>
    <mergeCell ref="E67:E68"/>
    <mergeCell ref="F67:G67"/>
    <mergeCell ref="I67:J67"/>
    <mergeCell ref="K68:L68"/>
    <mergeCell ref="A62:A63"/>
    <mergeCell ref="B62:B63"/>
    <mergeCell ref="D62:D63"/>
    <mergeCell ref="E62:G62"/>
    <mergeCell ref="I62:K62"/>
    <mergeCell ref="E63:G63"/>
    <mergeCell ref="J63:L63"/>
    <mergeCell ref="A60:A61"/>
    <mergeCell ref="B60:B61"/>
    <mergeCell ref="D60:D61"/>
    <mergeCell ref="E60:G60"/>
    <mergeCell ref="I60:K60"/>
    <mergeCell ref="E61:G61"/>
    <mergeCell ref="J61:L61"/>
    <mergeCell ref="A58:A59"/>
    <mergeCell ref="B58:B59"/>
    <mergeCell ref="D58:D59"/>
    <mergeCell ref="E58:G58"/>
    <mergeCell ref="I58:K58"/>
    <mergeCell ref="E59:G59"/>
    <mergeCell ref="J59:L59"/>
    <mergeCell ref="A56:A57"/>
    <mergeCell ref="B56:B57"/>
    <mergeCell ref="D56:D57"/>
    <mergeCell ref="E56:G56"/>
    <mergeCell ref="I56:K56"/>
    <mergeCell ref="E57:G57"/>
    <mergeCell ref="J57:L57"/>
    <mergeCell ref="A54:A55"/>
    <mergeCell ref="B54:B55"/>
    <mergeCell ref="D54:D55"/>
    <mergeCell ref="E54:G54"/>
    <mergeCell ref="I54:K54"/>
    <mergeCell ref="E55:G55"/>
    <mergeCell ref="J55:L55"/>
    <mergeCell ref="A52:A53"/>
    <mergeCell ref="B52:B53"/>
    <mergeCell ref="D52:D53"/>
    <mergeCell ref="E52:G52"/>
    <mergeCell ref="I52:K52"/>
    <mergeCell ref="E53:G53"/>
    <mergeCell ref="J53:L53"/>
    <mergeCell ref="A50:A51"/>
    <mergeCell ref="B50:B51"/>
    <mergeCell ref="D50:D51"/>
    <mergeCell ref="E50:G50"/>
    <mergeCell ref="I50:K50"/>
    <mergeCell ref="E51:G51"/>
    <mergeCell ref="J51:L51"/>
    <mergeCell ref="A48:A49"/>
    <mergeCell ref="B48:B49"/>
    <mergeCell ref="D48:D49"/>
    <mergeCell ref="E48:G48"/>
    <mergeCell ref="I48:K48"/>
    <mergeCell ref="E49:G49"/>
    <mergeCell ref="J49:L49"/>
    <mergeCell ref="A46:A47"/>
    <mergeCell ref="B46:B47"/>
    <mergeCell ref="D46:D47"/>
    <mergeCell ref="E46:G46"/>
    <mergeCell ref="I46:K46"/>
    <mergeCell ref="E47:G47"/>
    <mergeCell ref="J47:L47"/>
    <mergeCell ref="A44:A45"/>
    <mergeCell ref="B44:B45"/>
    <mergeCell ref="D44:D45"/>
    <mergeCell ref="E44:G44"/>
    <mergeCell ref="I44:K44"/>
    <mergeCell ref="E45:G45"/>
    <mergeCell ref="J45:L45"/>
    <mergeCell ref="A42:A43"/>
    <mergeCell ref="B42:B43"/>
    <mergeCell ref="D42:D43"/>
    <mergeCell ref="E42:G42"/>
    <mergeCell ref="I42:K42"/>
    <mergeCell ref="E43:G43"/>
    <mergeCell ref="J43:L43"/>
    <mergeCell ref="A40:A41"/>
    <mergeCell ref="B40:B41"/>
    <mergeCell ref="D40:D41"/>
    <mergeCell ref="E40:G40"/>
    <mergeCell ref="I40:K40"/>
    <mergeCell ref="E41:G41"/>
    <mergeCell ref="J41:L41"/>
    <mergeCell ref="A38:A39"/>
    <mergeCell ref="B38:B39"/>
    <mergeCell ref="D38:D39"/>
    <mergeCell ref="E38:G38"/>
    <mergeCell ref="I38:K38"/>
    <mergeCell ref="E39:G39"/>
    <mergeCell ref="J39:L39"/>
    <mergeCell ref="A33:A34"/>
    <mergeCell ref="B33:B34"/>
    <mergeCell ref="D33:D34"/>
    <mergeCell ref="E33:G33"/>
    <mergeCell ref="I33:K33"/>
    <mergeCell ref="E34:G34"/>
    <mergeCell ref="J34:L34"/>
    <mergeCell ref="A35:A37"/>
    <mergeCell ref="B35:B37"/>
    <mergeCell ref="D35:D37"/>
    <mergeCell ref="E35:J35"/>
    <mergeCell ref="K35:L36"/>
    <mergeCell ref="E36:E37"/>
    <mergeCell ref="F36:G36"/>
    <mergeCell ref="I36:J36"/>
    <mergeCell ref="F37:G37"/>
    <mergeCell ref="I37:J37"/>
    <mergeCell ref="A31:A32"/>
    <mergeCell ref="B31:B32"/>
    <mergeCell ref="D31:D32"/>
    <mergeCell ref="E31:G31"/>
    <mergeCell ref="I31:K31"/>
    <mergeCell ref="E32:G32"/>
    <mergeCell ref="J32:L32"/>
    <mergeCell ref="A29:A30"/>
    <mergeCell ref="B29:B30"/>
    <mergeCell ref="D29:D30"/>
    <mergeCell ref="E29:G29"/>
    <mergeCell ref="I29:K29"/>
    <mergeCell ref="E30:G30"/>
    <mergeCell ref="J30:L30"/>
    <mergeCell ref="A27:A28"/>
    <mergeCell ref="B27:B28"/>
    <mergeCell ref="D27:D28"/>
    <mergeCell ref="E27:G27"/>
    <mergeCell ref="I27:K27"/>
    <mergeCell ref="E28:G28"/>
    <mergeCell ref="J28:L28"/>
    <mergeCell ref="A25:A26"/>
    <mergeCell ref="B25:B26"/>
    <mergeCell ref="D25:D26"/>
    <mergeCell ref="E25:G25"/>
    <mergeCell ref="I25:K25"/>
    <mergeCell ref="E26:G26"/>
    <mergeCell ref="J26:L26"/>
    <mergeCell ref="A23:A24"/>
    <mergeCell ref="B23:B24"/>
    <mergeCell ref="D23:D24"/>
    <mergeCell ref="E23:G23"/>
    <mergeCell ref="I23:K23"/>
    <mergeCell ref="E24:G24"/>
    <mergeCell ref="J24:L24"/>
    <mergeCell ref="A21:A22"/>
    <mergeCell ref="B21:B22"/>
    <mergeCell ref="D21:D22"/>
    <mergeCell ref="E21:G21"/>
    <mergeCell ref="I21:K21"/>
    <mergeCell ref="E22:G22"/>
    <mergeCell ref="J22:L22"/>
    <mergeCell ref="A19:A20"/>
    <mergeCell ref="B19:B20"/>
    <mergeCell ref="D19:D20"/>
    <mergeCell ref="E19:G19"/>
    <mergeCell ref="I19:K19"/>
    <mergeCell ref="E20:G20"/>
    <mergeCell ref="J20:L20"/>
    <mergeCell ref="A17:A18"/>
    <mergeCell ref="B17:B18"/>
    <mergeCell ref="D17:D18"/>
    <mergeCell ref="E17:G17"/>
    <mergeCell ref="I17:K17"/>
    <mergeCell ref="E18:G18"/>
    <mergeCell ref="J18:L18"/>
    <mergeCell ref="A15:A16"/>
    <mergeCell ref="B15:B16"/>
    <mergeCell ref="D15:D16"/>
    <mergeCell ref="E15:G15"/>
    <mergeCell ref="I15:K15"/>
    <mergeCell ref="E16:G16"/>
    <mergeCell ref="J16:L16"/>
    <mergeCell ref="A13:A14"/>
    <mergeCell ref="B13:B14"/>
    <mergeCell ref="D13:D14"/>
    <mergeCell ref="E13:G13"/>
    <mergeCell ref="I13:K13"/>
    <mergeCell ref="E14:G14"/>
    <mergeCell ref="J14:L14"/>
    <mergeCell ref="A11:A12"/>
    <mergeCell ref="B11:B12"/>
    <mergeCell ref="D11:D12"/>
    <mergeCell ref="E11:G11"/>
    <mergeCell ref="I11:K11"/>
    <mergeCell ref="E12:G12"/>
    <mergeCell ref="J12:L12"/>
    <mergeCell ref="A9:A10"/>
    <mergeCell ref="B9:B10"/>
    <mergeCell ref="D9:D10"/>
    <mergeCell ref="E9:G9"/>
    <mergeCell ref="I9:K9"/>
    <mergeCell ref="E10:G10"/>
    <mergeCell ref="J10:L10"/>
    <mergeCell ref="K6:L6"/>
    <mergeCell ref="A7:A8"/>
    <mergeCell ref="B7:B8"/>
    <mergeCell ref="D7:D8"/>
    <mergeCell ref="E7:G7"/>
    <mergeCell ref="I7:K7"/>
    <mergeCell ref="E8:G8"/>
    <mergeCell ref="J8:L8"/>
    <mergeCell ref="A4:A6"/>
    <mergeCell ref="B4:B6"/>
    <mergeCell ref="D4:D6"/>
    <mergeCell ref="E4:J4"/>
    <mergeCell ref="K4:L5"/>
    <mergeCell ref="E5:E6"/>
    <mergeCell ref="F5:G5"/>
    <mergeCell ref="I5:J5"/>
    <mergeCell ref="F6:G6"/>
    <mergeCell ref="I6:J6"/>
  </mergeCells>
  <pageMargins left="0.74803149606299213" right="0.55118110236220474" top="0.31496062992125984" bottom="0.35433070866141736" header="0.31496062992125984" footer="0.15748031496062992"/>
  <pageSetup paperSize="9" scale="87" firstPageNumber="2" orientation="portrait" useFirstPageNumber="1" r:id="rId1"/>
  <headerFooter alignWithMargins="0">
    <oddHeader>&amp;LUZPODv14_&amp;P</oddHeader>
    <oddFooter>&amp;LMF SR č. 18009/2014&amp;RStrana &amp;P</oddFooter>
  </headerFooter>
  <rowBreaks count="7" manualBreakCount="7">
    <brk id="34" max="11" man="1"/>
    <brk id="65" max="11" man="1"/>
    <brk id="96" max="11" man="1"/>
    <brk id="127" max="11" man="1"/>
    <brk id="158" max="11" man="1"/>
    <brk id="190" max="11" man="1"/>
    <brk id="219" max="1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K49"/>
  <sheetViews>
    <sheetView showGridLines="0" zoomScale="90" zoomScaleNormal="90" workbookViewId="0">
      <pane xSplit="1" ySplit="4" topLeftCell="B5" activePane="bottomRight" state="frozen"/>
      <selection pane="topRight" activeCell="B1" sqref="B1"/>
      <selection pane="bottomLeft" activeCell="A5" sqref="A5"/>
      <selection pane="bottomRight" activeCell="T7" sqref="T7"/>
    </sheetView>
  </sheetViews>
  <sheetFormatPr defaultRowHeight="15" outlineLevelCol="1"/>
  <cols>
    <col min="1" max="1" width="29.42578125" customWidth="1"/>
    <col min="2" max="9" width="12.5703125" customWidth="1"/>
    <col min="10" max="10" width="9.140625" style="340"/>
    <col min="11" max="11" width="9.140625" style="606" customWidth="1" outlineLevel="1"/>
    <col min="12" max="17" width="9.140625" style="607" customWidth="1" outlineLevel="1"/>
    <col min="18" max="18" width="18.28515625" style="619" customWidth="1"/>
    <col min="19" max="19" width="9.140625" style="635"/>
    <col min="20" max="20" width="9.140625" style="607" customWidth="1" outlineLevel="1"/>
    <col min="21" max="26" width="9.140625" style="18" customWidth="1" outlineLevel="1"/>
    <col min="27" max="27" width="26.85546875" style="619" customWidth="1"/>
    <col min="28" max="28" width="9.140625" style="619"/>
    <col min="29" max="29" width="9.140625" style="606" customWidth="1" outlineLevel="1"/>
    <col min="30" max="35" width="9.140625" style="18" customWidth="1" outlineLevel="1"/>
    <col min="36" max="36" width="26.7109375" style="619" customWidth="1"/>
  </cols>
  <sheetData>
    <row r="1" spans="1:36" ht="16.5">
      <c r="A1" s="1" t="s">
        <v>19</v>
      </c>
      <c r="K1" s="1560" t="s">
        <v>1056</v>
      </c>
      <c r="L1" s="1561"/>
      <c r="M1" s="1561"/>
      <c r="N1" s="1561"/>
      <c r="O1" s="1561"/>
      <c r="P1" s="1561"/>
      <c r="Q1" s="1561"/>
      <c r="R1" s="1562"/>
      <c r="T1" s="1560" t="s">
        <v>1057</v>
      </c>
      <c r="U1" s="1561"/>
      <c r="V1" s="1561"/>
      <c r="W1" s="1561"/>
      <c r="X1" s="1561"/>
      <c r="Y1" s="1561"/>
      <c r="Z1" s="1561"/>
      <c r="AA1" s="1562"/>
      <c r="AC1" s="1560" t="s">
        <v>1058</v>
      </c>
      <c r="AD1" s="1561"/>
      <c r="AE1" s="1561"/>
      <c r="AF1" s="1561"/>
      <c r="AG1" s="1561"/>
      <c r="AH1" s="1561"/>
      <c r="AI1" s="1561"/>
      <c r="AJ1" s="1562"/>
    </row>
    <row r="2" spans="1:36" ht="17.25" thickBot="1">
      <c r="A2" s="2" t="s">
        <v>8</v>
      </c>
    </row>
    <row r="3" spans="1:36" ht="15" customHeight="1" thickTop="1" thickBot="1">
      <c r="A3" s="1556" t="s">
        <v>20</v>
      </c>
      <c r="B3" s="1558" t="s">
        <v>2</v>
      </c>
      <c r="C3" s="1564"/>
      <c r="D3" s="1564"/>
      <c r="E3" s="1564"/>
      <c r="F3" s="1564"/>
      <c r="G3" s="1564"/>
      <c r="H3" s="1564"/>
      <c r="I3" s="1559"/>
    </row>
    <row r="4" spans="1:36" ht="35.25" customHeight="1" thickTop="1" thickBot="1">
      <c r="A4" s="1563"/>
      <c r="B4" s="40" t="s">
        <v>441</v>
      </c>
      <c r="C4" s="11" t="s">
        <v>21</v>
      </c>
      <c r="D4" s="11" t="s">
        <v>442</v>
      </c>
      <c r="E4" s="10" t="s">
        <v>22</v>
      </c>
      <c r="F4" s="40" t="s">
        <v>23</v>
      </c>
      <c r="G4" s="11" t="s">
        <v>443</v>
      </c>
      <c r="H4" s="11" t="s">
        <v>24</v>
      </c>
      <c r="I4" s="11" t="s">
        <v>14</v>
      </c>
      <c r="J4" s="385"/>
      <c r="K4" s="59" t="s">
        <v>441</v>
      </c>
      <c r="L4" s="763" t="s">
        <v>21</v>
      </c>
      <c r="M4" s="763" t="s">
        <v>442</v>
      </c>
      <c r="N4" s="59" t="s">
        <v>22</v>
      </c>
      <c r="O4" s="763" t="s">
        <v>23</v>
      </c>
      <c r="P4" s="763" t="s">
        <v>443</v>
      </c>
      <c r="Q4" s="763" t="s">
        <v>24</v>
      </c>
      <c r="R4" s="763" t="s">
        <v>14</v>
      </c>
      <c r="S4" s="607"/>
      <c r="T4" s="59" t="s">
        <v>441</v>
      </c>
      <c r="U4" s="763" t="s">
        <v>21</v>
      </c>
      <c r="V4" s="763" t="s">
        <v>442</v>
      </c>
      <c r="W4" s="59" t="s">
        <v>22</v>
      </c>
      <c r="X4" s="763" t="s">
        <v>23</v>
      </c>
      <c r="Y4" s="763" t="s">
        <v>443</v>
      </c>
      <c r="Z4" s="763" t="s">
        <v>24</v>
      </c>
      <c r="AA4" s="763" t="s">
        <v>14</v>
      </c>
      <c r="AB4" s="607"/>
      <c r="AC4" s="59" t="s">
        <v>441</v>
      </c>
      <c r="AD4" s="763" t="s">
        <v>21</v>
      </c>
      <c r="AE4" s="763" t="s">
        <v>442</v>
      </c>
      <c r="AF4" s="59" t="s">
        <v>22</v>
      </c>
      <c r="AG4" s="763" t="s">
        <v>23</v>
      </c>
      <c r="AH4" s="763" t="s">
        <v>443</v>
      </c>
      <c r="AI4" s="763" t="s">
        <v>24</v>
      </c>
      <c r="AJ4" s="763" t="s">
        <v>14</v>
      </c>
    </row>
    <row r="5" spans="1:36" ht="15" customHeight="1" thickTop="1" thickBot="1">
      <c r="A5" s="41" t="s">
        <v>25</v>
      </c>
      <c r="B5" s="42"/>
      <c r="C5" s="42"/>
      <c r="D5" s="42"/>
      <c r="E5" s="42"/>
      <c r="F5" s="42"/>
      <c r="G5" s="42"/>
      <c r="H5" s="42"/>
      <c r="I5" s="43"/>
    </row>
    <row r="6" spans="1:36" ht="15" customHeight="1" thickTop="1" thickBot="1">
      <c r="A6" s="44" t="s">
        <v>26</v>
      </c>
      <c r="B6" s="22"/>
      <c r="C6" s="22"/>
      <c r="D6" s="22"/>
      <c r="E6" s="22"/>
      <c r="F6" s="45"/>
      <c r="G6" s="22"/>
      <c r="H6" s="22"/>
      <c r="I6" s="15">
        <f>SUM(B6:H6)</f>
        <v>0</v>
      </c>
      <c r="R6" s="608">
        <f>SUM(B6:H6)-I6</f>
        <v>0</v>
      </c>
      <c r="T6" s="661">
        <f>B6-B35</f>
        <v>0</v>
      </c>
      <c r="U6" s="673">
        <f t="shared" ref="U6:AA6" si="0">C6-C35</f>
        <v>0</v>
      </c>
      <c r="V6" s="673">
        <f t="shared" si="0"/>
        <v>0</v>
      </c>
      <c r="W6" s="673">
        <f t="shared" si="0"/>
        <v>0</v>
      </c>
      <c r="X6" s="673">
        <f t="shared" si="0"/>
        <v>0</v>
      </c>
      <c r="Y6" s="673">
        <f t="shared" si="0"/>
        <v>0</v>
      </c>
      <c r="Z6" s="673">
        <f t="shared" si="0"/>
        <v>0</v>
      </c>
      <c r="AA6" s="608">
        <f t="shared" si="0"/>
        <v>0</v>
      </c>
    </row>
    <row r="7" spans="1:36" ht="15" customHeight="1" thickBot="1">
      <c r="A7" s="14" t="s">
        <v>27</v>
      </c>
      <c r="B7" s="22"/>
      <c r="C7" s="22"/>
      <c r="D7" s="22"/>
      <c r="E7" s="22"/>
      <c r="F7" s="46"/>
      <c r="G7" s="22"/>
      <c r="H7" s="22"/>
      <c r="I7" s="15">
        <f>SUM(B7:H7)</f>
        <v>0</v>
      </c>
      <c r="R7" s="608">
        <f t="shared" ref="R7:R22" si="1">SUM(B7:H7)-I7</f>
        <v>0</v>
      </c>
    </row>
    <row r="8" spans="1:36" ht="15" customHeight="1" thickBot="1">
      <c r="A8" s="14" t="s">
        <v>28</v>
      </c>
      <c r="B8" s="22"/>
      <c r="C8" s="22"/>
      <c r="D8" s="22"/>
      <c r="E8" s="22"/>
      <c r="F8" s="46"/>
      <c r="G8" s="22"/>
      <c r="H8" s="22"/>
      <c r="I8" s="15">
        <f t="shared" ref="I8:I9" si="2">SUM(B8:H8)</f>
        <v>0</v>
      </c>
      <c r="R8" s="608">
        <f t="shared" si="1"/>
        <v>0</v>
      </c>
    </row>
    <row r="9" spans="1:36" ht="15" customHeight="1" thickBot="1">
      <c r="A9" s="14" t="s">
        <v>29</v>
      </c>
      <c r="B9" s="22"/>
      <c r="C9" s="22"/>
      <c r="D9" s="22"/>
      <c r="E9" s="22"/>
      <c r="F9" s="46"/>
      <c r="G9" s="22"/>
      <c r="H9" s="22"/>
      <c r="I9" s="15">
        <f t="shared" si="2"/>
        <v>0</v>
      </c>
      <c r="R9" s="608">
        <f t="shared" si="1"/>
        <v>0</v>
      </c>
    </row>
    <row r="10" spans="1:36" ht="15" customHeight="1" thickBot="1">
      <c r="A10" s="25" t="s">
        <v>30</v>
      </c>
      <c r="B10" s="26">
        <f>B6+B7-B8+B9</f>
        <v>0</v>
      </c>
      <c r="C10" s="26">
        <f>C6+C7-C8+C9</f>
        <v>0</v>
      </c>
      <c r="D10" s="26">
        <f>D6+D7-D8+D9</f>
        <v>0</v>
      </c>
      <c r="E10" s="26">
        <f t="shared" ref="E10:H10" si="3">E6+E7-E8+E9</f>
        <v>0</v>
      </c>
      <c r="F10" s="26">
        <f t="shared" si="3"/>
        <v>0</v>
      </c>
      <c r="G10" s="26">
        <f t="shared" si="3"/>
        <v>0</v>
      </c>
      <c r="H10" s="26">
        <f t="shared" si="3"/>
        <v>0</v>
      </c>
      <c r="I10" s="17">
        <f>I6+I7-I8+I9</f>
        <v>0</v>
      </c>
      <c r="K10" s="621">
        <f>B6+B7-B8+B9-B10</f>
        <v>0</v>
      </c>
      <c r="L10" s="661">
        <f t="shared" ref="L10:R10" si="4">C6+C7-C8+C9-C10</f>
        <v>0</v>
      </c>
      <c r="M10" s="661">
        <f t="shared" si="4"/>
        <v>0</v>
      </c>
      <c r="N10" s="661">
        <f t="shared" si="4"/>
        <v>0</v>
      </c>
      <c r="O10" s="661">
        <f t="shared" si="4"/>
        <v>0</v>
      </c>
      <c r="P10" s="661">
        <f t="shared" si="4"/>
        <v>0</v>
      </c>
      <c r="Q10" s="661">
        <f t="shared" si="4"/>
        <v>0</v>
      </c>
      <c r="R10" s="661">
        <f t="shared" si="4"/>
        <v>0</v>
      </c>
      <c r="AC10" s="621">
        <f>B10-'BS old'!$D$13</f>
        <v>0</v>
      </c>
      <c r="AD10" s="673">
        <f>C10-'BS old'!$D$14</f>
        <v>0</v>
      </c>
      <c r="AE10" s="673">
        <f>D10-'BS old'!$D$15</f>
        <v>0</v>
      </c>
      <c r="AF10" s="673">
        <f>E10-'BS old'!$D$16</f>
        <v>0</v>
      </c>
      <c r="AG10" s="673">
        <f>F10-'BS old'!$D$17</f>
        <v>0</v>
      </c>
      <c r="AH10" s="673">
        <f>G10-'BS old'!$D$18</f>
        <v>0</v>
      </c>
      <c r="AI10" s="673">
        <f>H10-'BS old'!$D$19</f>
        <v>0</v>
      </c>
      <c r="AJ10" s="608">
        <f>I10-'BS old'!$D$12</f>
        <v>0</v>
      </c>
    </row>
    <row r="11" spans="1:36" ht="15" customHeight="1" thickTop="1" thickBot="1">
      <c r="A11" s="41" t="s">
        <v>31</v>
      </c>
      <c r="B11" s="42"/>
      <c r="C11" s="42"/>
      <c r="D11" s="42"/>
      <c r="E11" s="42"/>
      <c r="F11" s="42"/>
      <c r="G11" s="42"/>
      <c r="H11" s="42"/>
      <c r="I11" s="43"/>
      <c r="R11" s="608"/>
    </row>
    <row r="12" spans="1:36" ht="15" customHeight="1" thickTop="1" thickBot="1">
      <c r="A12" s="44" t="s">
        <v>32</v>
      </c>
      <c r="B12" s="22"/>
      <c r="C12" s="22"/>
      <c r="D12" s="22"/>
      <c r="E12" s="22"/>
      <c r="F12" s="22"/>
      <c r="G12" s="22"/>
      <c r="H12" s="22"/>
      <c r="I12" s="15">
        <f>SUM(B12:H12)</f>
        <v>0</v>
      </c>
      <c r="R12" s="608">
        <f t="shared" si="1"/>
        <v>0</v>
      </c>
      <c r="T12" s="661">
        <f>B12-B40</f>
        <v>0</v>
      </c>
      <c r="U12" s="673">
        <f t="shared" ref="U12:AA12" si="5">C12-C40</f>
        <v>0</v>
      </c>
      <c r="V12" s="673">
        <f t="shared" si="5"/>
        <v>0</v>
      </c>
      <c r="W12" s="673">
        <f t="shared" si="5"/>
        <v>0</v>
      </c>
      <c r="X12" s="673">
        <f t="shared" si="5"/>
        <v>0</v>
      </c>
      <c r="Y12" s="673">
        <f t="shared" si="5"/>
        <v>0</v>
      </c>
      <c r="Z12" s="673">
        <f t="shared" si="5"/>
        <v>0</v>
      </c>
      <c r="AA12" s="608">
        <f t="shared" si="5"/>
        <v>0</v>
      </c>
    </row>
    <row r="13" spans="1:36" ht="15" customHeight="1" thickBot="1">
      <c r="A13" s="14" t="s">
        <v>27</v>
      </c>
      <c r="B13" s="22"/>
      <c r="C13" s="22"/>
      <c r="D13" s="22"/>
      <c r="E13" s="22"/>
      <c r="F13" s="22"/>
      <c r="G13" s="22"/>
      <c r="H13" s="22"/>
      <c r="I13" s="15">
        <f t="shared" ref="I13:I14" si="6">SUM(B13:H13)</f>
        <v>0</v>
      </c>
      <c r="R13" s="608">
        <f t="shared" si="1"/>
        <v>0</v>
      </c>
    </row>
    <row r="14" spans="1:36" ht="15" customHeight="1" thickBot="1">
      <c r="A14" s="14" t="s">
        <v>28</v>
      </c>
      <c r="B14" s="22"/>
      <c r="C14" s="22"/>
      <c r="D14" s="22"/>
      <c r="E14" s="22"/>
      <c r="F14" s="22"/>
      <c r="G14" s="22"/>
      <c r="H14" s="22"/>
      <c r="I14" s="15">
        <f t="shared" si="6"/>
        <v>0</v>
      </c>
      <c r="R14" s="608">
        <f t="shared" si="1"/>
        <v>0</v>
      </c>
      <c r="AC14" s="674" t="s">
        <v>1059</v>
      </c>
    </row>
    <row r="15" spans="1:36" ht="15" customHeight="1" thickBot="1">
      <c r="A15" s="25" t="s">
        <v>30</v>
      </c>
      <c r="B15" s="26">
        <f>B12+B13-B14</f>
        <v>0</v>
      </c>
      <c r="C15" s="26">
        <f>C12+C13-C14</f>
        <v>0</v>
      </c>
      <c r="D15" s="26">
        <f t="shared" ref="D15:H15" si="7">D12+D13-D14</f>
        <v>0</v>
      </c>
      <c r="E15" s="26">
        <f t="shared" si="7"/>
        <v>0</v>
      </c>
      <c r="F15" s="26">
        <f t="shared" si="7"/>
        <v>0</v>
      </c>
      <c r="G15" s="26">
        <f t="shared" si="7"/>
        <v>0</v>
      </c>
      <c r="H15" s="26">
        <f t="shared" si="7"/>
        <v>0</v>
      </c>
      <c r="I15" s="17">
        <f>I12+I13-I14</f>
        <v>0</v>
      </c>
      <c r="K15" s="621">
        <f>B12+B13-B14-B15</f>
        <v>0</v>
      </c>
      <c r="L15" s="661">
        <f>C12+C13-C14-C15</f>
        <v>0</v>
      </c>
      <c r="M15" s="661">
        <f t="shared" ref="M15:R15" si="8">D12+D13-D14-D15</f>
        <v>0</v>
      </c>
      <c r="N15" s="661">
        <f t="shared" si="8"/>
        <v>0</v>
      </c>
      <c r="O15" s="661">
        <f t="shared" si="8"/>
        <v>0</v>
      </c>
      <c r="P15" s="661">
        <f t="shared" si="8"/>
        <v>0</v>
      </c>
      <c r="Q15" s="661">
        <f t="shared" si="8"/>
        <v>0</v>
      </c>
      <c r="R15" s="661">
        <f t="shared" si="8"/>
        <v>0</v>
      </c>
      <c r="AC15" s="621">
        <f>B15+B20-'BS old'!$E$13</f>
        <v>0</v>
      </c>
      <c r="AD15" s="673">
        <f>C15+C20-'BS old'!$E$14</f>
        <v>0</v>
      </c>
      <c r="AE15" s="673">
        <f>D15+D20-'BS old'!$E$15</f>
        <v>0</v>
      </c>
      <c r="AF15" s="673">
        <f>E15+E20-'BS old'!$E$16</f>
        <v>0</v>
      </c>
      <c r="AG15" s="673">
        <f>F15+F20-'BS old'!$E$17</f>
        <v>0</v>
      </c>
      <c r="AH15" s="673">
        <f>G15+G20-'BS old'!$E$18</f>
        <v>0</v>
      </c>
      <c r="AI15" s="673">
        <f>H15+H20-'BS old'!$E$19</f>
        <v>0</v>
      </c>
      <c r="AJ15" s="608">
        <f>I15+I20-'BS old'!$E$12</f>
        <v>0</v>
      </c>
    </row>
    <row r="16" spans="1:36" ht="15" customHeight="1" thickTop="1" thickBot="1">
      <c r="A16" s="41" t="s">
        <v>33</v>
      </c>
      <c r="B16" s="42"/>
      <c r="C16" s="42"/>
      <c r="D16" s="42"/>
      <c r="E16" s="42"/>
      <c r="F16" s="42"/>
      <c r="G16" s="42"/>
      <c r="H16" s="42"/>
      <c r="I16" s="43"/>
      <c r="R16" s="608"/>
    </row>
    <row r="17" spans="1:36" ht="15" customHeight="1" thickTop="1" thickBot="1">
      <c r="A17" s="44" t="s">
        <v>32</v>
      </c>
      <c r="B17" s="22"/>
      <c r="C17" s="22"/>
      <c r="D17" s="22"/>
      <c r="E17" s="22"/>
      <c r="F17" s="22"/>
      <c r="G17" s="22"/>
      <c r="H17" s="22"/>
      <c r="I17" s="15">
        <f>SUM(B17:H17)</f>
        <v>0</v>
      </c>
      <c r="R17" s="608">
        <f t="shared" si="1"/>
        <v>0</v>
      </c>
      <c r="T17" s="661">
        <f>B17-B45</f>
        <v>0</v>
      </c>
      <c r="U17" s="673">
        <f t="shared" ref="U17:AA17" si="9">C17-C45</f>
        <v>0</v>
      </c>
      <c r="V17" s="673">
        <f t="shared" si="9"/>
        <v>0</v>
      </c>
      <c r="W17" s="673">
        <f t="shared" si="9"/>
        <v>0</v>
      </c>
      <c r="X17" s="673">
        <f t="shared" si="9"/>
        <v>0</v>
      </c>
      <c r="Y17" s="673">
        <f t="shared" si="9"/>
        <v>0</v>
      </c>
      <c r="Z17" s="673">
        <f t="shared" si="9"/>
        <v>0</v>
      </c>
      <c r="AA17" s="608">
        <f t="shared" si="9"/>
        <v>0</v>
      </c>
    </row>
    <row r="18" spans="1:36" ht="15" customHeight="1" thickBot="1">
      <c r="A18" s="14" t="s">
        <v>27</v>
      </c>
      <c r="B18" s="22"/>
      <c r="C18" s="22"/>
      <c r="D18" s="22"/>
      <c r="E18" s="22"/>
      <c r="F18" s="22"/>
      <c r="G18" s="22"/>
      <c r="H18" s="22"/>
      <c r="I18" s="15">
        <f t="shared" ref="I18:I19" si="10">SUM(B18:H18)</f>
        <v>0</v>
      </c>
      <c r="R18" s="608">
        <f t="shared" si="1"/>
        <v>0</v>
      </c>
    </row>
    <row r="19" spans="1:36" ht="15" customHeight="1" thickBot="1">
      <c r="A19" s="14" t="s">
        <v>28</v>
      </c>
      <c r="B19" s="22"/>
      <c r="C19" s="22"/>
      <c r="D19" s="22"/>
      <c r="E19" s="22"/>
      <c r="F19" s="22"/>
      <c r="G19" s="22"/>
      <c r="H19" s="22"/>
      <c r="I19" s="15">
        <f t="shared" si="10"/>
        <v>0</v>
      </c>
      <c r="R19" s="608">
        <f t="shared" si="1"/>
        <v>0</v>
      </c>
    </row>
    <row r="20" spans="1:36" ht="15" customHeight="1" thickBot="1">
      <c r="A20" s="25" t="s">
        <v>30</v>
      </c>
      <c r="B20" s="26">
        <f>B17+B18-B19</f>
        <v>0</v>
      </c>
      <c r="C20" s="26">
        <f>C17+C18-C19</f>
        <v>0</v>
      </c>
      <c r="D20" s="26">
        <f t="shared" ref="D20" si="11">D17+D18-D19</f>
        <v>0</v>
      </c>
      <c r="E20" s="26">
        <f t="shared" ref="E20" si="12">E17+E18-E19</f>
        <v>0</v>
      </c>
      <c r="F20" s="26">
        <f t="shared" ref="F20" si="13">F17+F18-F19</f>
        <v>0</v>
      </c>
      <c r="G20" s="26">
        <f t="shared" ref="G20" si="14">G17+G18-G19</f>
        <v>0</v>
      </c>
      <c r="H20" s="26">
        <f t="shared" ref="H20" si="15">H17+H18-H19</f>
        <v>0</v>
      </c>
      <c r="I20" s="17">
        <f>I17+I18-I19</f>
        <v>0</v>
      </c>
      <c r="K20" s="621">
        <f>B17+B18-B19-B20</f>
        <v>0</v>
      </c>
      <c r="L20" s="661">
        <f>C17+C18-C19-C20</f>
        <v>0</v>
      </c>
      <c r="M20" s="661">
        <f t="shared" ref="M20:R20" si="16">D17+D18-D19-D20</f>
        <v>0</v>
      </c>
      <c r="N20" s="661">
        <f t="shared" si="16"/>
        <v>0</v>
      </c>
      <c r="O20" s="661">
        <f t="shared" si="16"/>
        <v>0</v>
      </c>
      <c r="P20" s="661">
        <f t="shared" si="16"/>
        <v>0</v>
      </c>
      <c r="Q20" s="661">
        <f t="shared" si="16"/>
        <v>0</v>
      </c>
      <c r="R20" s="661">
        <f t="shared" si="16"/>
        <v>0</v>
      </c>
    </row>
    <row r="21" spans="1:36" ht="15" customHeight="1" thickTop="1" thickBot="1">
      <c r="A21" s="41" t="s">
        <v>34</v>
      </c>
      <c r="B21" s="42"/>
      <c r="C21" s="42"/>
      <c r="D21" s="42"/>
      <c r="E21" s="42"/>
      <c r="F21" s="42"/>
      <c r="G21" s="42"/>
      <c r="H21" s="42"/>
      <c r="I21" s="43"/>
      <c r="R21" s="608"/>
    </row>
    <row r="22" spans="1:36" ht="15" customHeight="1" thickTop="1" thickBot="1">
      <c r="A22" s="44" t="s">
        <v>32</v>
      </c>
      <c r="B22" s="22">
        <f>B6-B12-B17</f>
        <v>0</v>
      </c>
      <c r="C22" s="22">
        <f t="shared" ref="C22:I22" si="17">C6-C12-C17</f>
        <v>0</v>
      </c>
      <c r="D22" s="22">
        <f t="shared" si="17"/>
        <v>0</v>
      </c>
      <c r="E22" s="22">
        <f t="shared" si="17"/>
        <v>0</v>
      </c>
      <c r="F22" s="22">
        <f t="shared" si="17"/>
        <v>0</v>
      </c>
      <c r="G22" s="22">
        <f t="shared" si="17"/>
        <v>0</v>
      </c>
      <c r="H22" s="22">
        <f t="shared" si="17"/>
        <v>0</v>
      </c>
      <c r="I22" s="15">
        <f t="shared" si="17"/>
        <v>0</v>
      </c>
      <c r="K22" s="621">
        <f>B6-B12-B17-B22</f>
        <v>0</v>
      </c>
      <c r="L22" s="661">
        <f t="shared" ref="L22:N22" si="18">C6-C12-C17-C22</f>
        <v>0</v>
      </c>
      <c r="M22" s="661">
        <f t="shared" si="18"/>
        <v>0</v>
      </c>
      <c r="N22" s="661">
        <f t="shared" si="18"/>
        <v>0</v>
      </c>
      <c r="O22" s="661">
        <f>F6-F12-F17-F22</f>
        <v>0</v>
      </c>
      <c r="P22" s="661">
        <f t="shared" ref="P22:Q22" si="19">G6-G12-G17-G22</f>
        <v>0</v>
      </c>
      <c r="Q22" s="661">
        <f t="shared" si="19"/>
        <v>0</v>
      </c>
      <c r="R22" s="608">
        <f t="shared" si="1"/>
        <v>0</v>
      </c>
      <c r="T22" s="661">
        <f>B22-B48</f>
        <v>0</v>
      </c>
      <c r="U22" s="673">
        <f t="shared" ref="U22:AA22" si="20">C22-C48</f>
        <v>0</v>
      </c>
      <c r="V22" s="673">
        <f t="shared" si="20"/>
        <v>0</v>
      </c>
      <c r="W22" s="673">
        <f t="shared" si="20"/>
        <v>0</v>
      </c>
      <c r="X22" s="673">
        <f t="shared" si="20"/>
        <v>0</v>
      </c>
      <c r="Y22" s="673">
        <f t="shared" si="20"/>
        <v>0</v>
      </c>
      <c r="Z22" s="673">
        <f t="shared" si="20"/>
        <v>0</v>
      </c>
      <c r="AA22" s="608">
        <f t="shared" si="20"/>
        <v>0</v>
      </c>
    </row>
    <row r="23" spans="1:36" ht="15" customHeight="1" thickBot="1">
      <c r="A23" s="25" t="s">
        <v>30</v>
      </c>
      <c r="B23" s="26">
        <f>B10-B15-B20</f>
        <v>0</v>
      </c>
      <c r="C23" s="26">
        <f t="shared" ref="C23:I23" si="21">C10-C15-C20</f>
        <v>0</v>
      </c>
      <c r="D23" s="26">
        <f t="shared" si="21"/>
        <v>0</v>
      </c>
      <c r="E23" s="26">
        <f t="shared" si="21"/>
        <v>0</v>
      </c>
      <c r="F23" s="26">
        <f t="shared" si="21"/>
        <v>0</v>
      </c>
      <c r="G23" s="26">
        <f t="shared" si="21"/>
        <v>0</v>
      </c>
      <c r="H23" s="26">
        <f t="shared" si="21"/>
        <v>0</v>
      </c>
      <c r="I23" s="17">
        <f t="shared" si="21"/>
        <v>0</v>
      </c>
      <c r="K23" s="621">
        <f>B10-B15-B20-B23</f>
        <v>0</v>
      </c>
      <c r="L23" s="661">
        <f t="shared" ref="L23:N23" si="22">C10-C15-C20-C23</f>
        <v>0</v>
      </c>
      <c r="M23" s="661">
        <f t="shared" si="22"/>
        <v>0</v>
      </c>
      <c r="N23" s="661">
        <f t="shared" si="22"/>
        <v>0</v>
      </c>
      <c r="O23" s="661">
        <f>F10-F15-F20-F23</f>
        <v>0</v>
      </c>
      <c r="P23" s="661">
        <f t="shared" ref="P23:Q23" si="23">G10-G15-G20-G23</f>
        <v>0</v>
      </c>
      <c r="Q23" s="661">
        <f t="shared" si="23"/>
        <v>0</v>
      </c>
      <c r="R23" s="608">
        <f>SUM(B23:H23)-I23</f>
        <v>0</v>
      </c>
      <c r="AC23" s="621">
        <f>B23-'BS old'!$F$13</f>
        <v>0</v>
      </c>
      <c r="AD23" s="673">
        <f>C23-'BS old'!$F$14</f>
        <v>0</v>
      </c>
      <c r="AE23" s="673">
        <f>D23-'BS old'!$F$15</f>
        <v>0</v>
      </c>
      <c r="AF23" s="673">
        <f>E23-'BS old'!$F$16</f>
        <v>0</v>
      </c>
      <c r="AG23" s="673">
        <f>F23-'BS old'!$F$17</f>
        <v>0</v>
      </c>
      <c r="AH23" s="673">
        <f>G23-'BS old'!$F$18</f>
        <v>0</v>
      </c>
      <c r="AI23" s="673">
        <f>H23-'BS old'!$F$19</f>
        <v>0</v>
      </c>
      <c r="AJ23" s="608">
        <f>I23-'BS old'!$F$12</f>
        <v>0</v>
      </c>
    </row>
    <row r="24" spans="1:36" ht="15.75" thickTop="1">
      <c r="A24" s="48"/>
      <c r="B24" s="48"/>
      <c r="C24" s="48"/>
      <c r="D24" s="48"/>
      <c r="E24" s="48"/>
      <c r="F24" s="48"/>
      <c r="G24" s="48"/>
      <c r="H24" s="48"/>
      <c r="I24" s="48"/>
    </row>
    <row r="25" spans="1:36">
      <c r="A25" s="49"/>
      <c r="B25" s="20"/>
      <c r="C25" s="20"/>
      <c r="D25" s="20"/>
      <c r="E25" s="20"/>
      <c r="F25" s="20"/>
      <c r="G25" s="20"/>
      <c r="H25" s="20"/>
      <c r="I25" s="20"/>
    </row>
    <row r="26" spans="1:36">
      <c r="A26" s="49" t="s">
        <v>15</v>
      </c>
      <c r="B26" s="20"/>
      <c r="C26" s="20"/>
      <c r="D26" s="20"/>
      <c r="E26" s="20"/>
      <c r="F26" s="20"/>
      <c r="G26" s="20"/>
      <c r="H26" s="20"/>
      <c r="I26" s="20"/>
    </row>
    <row r="27" spans="1:36" ht="15.75" thickBot="1">
      <c r="A27" s="48"/>
      <c r="B27" s="48"/>
      <c r="C27" s="48"/>
      <c r="D27" s="48"/>
      <c r="E27" s="48"/>
      <c r="F27" s="48"/>
      <c r="G27" s="48"/>
      <c r="H27" s="48"/>
      <c r="I27" s="20"/>
    </row>
    <row r="28" spans="1:36" ht="15" customHeight="1" thickTop="1" thickBot="1">
      <c r="A28" s="1556" t="s">
        <v>20</v>
      </c>
      <c r="B28" s="1558" t="s">
        <v>3</v>
      </c>
      <c r="C28" s="1564"/>
      <c r="D28" s="1564"/>
      <c r="E28" s="1564"/>
      <c r="F28" s="1564"/>
      <c r="G28" s="1564"/>
      <c r="H28" s="1564"/>
      <c r="I28" s="1559"/>
    </row>
    <row r="29" spans="1:36" ht="35.25" thickTop="1" thickBot="1">
      <c r="A29" s="1563"/>
      <c r="B29" s="40" t="s">
        <v>441</v>
      </c>
      <c r="C29" s="11" t="s">
        <v>21</v>
      </c>
      <c r="D29" s="11" t="s">
        <v>442</v>
      </c>
      <c r="E29" s="10" t="s">
        <v>22</v>
      </c>
      <c r="F29" s="40" t="s">
        <v>23</v>
      </c>
      <c r="G29" s="11" t="s">
        <v>443</v>
      </c>
      <c r="H29" s="11" t="s">
        <v>24</v>
      </c>
      <c r="I29" s="11" t="s">
        <v>14</v>
      </c>
    </row>
    <row r="30" spans="1:36" ht="15" customHeight="1" thickTop="1" thickBot="1">
      <c r="A30" s="41" t="s">
        <v>25</v>
      </c>
      <c r="B30" s="42"/>
      <c r="C30" s="42"/>
      <c r="D30" s="42"/>
      <c r="E30" s="42"/>
      <c r="F30" s="42"/>
      <c r="G30" s="42"/>
      <c r="H30" s="42"/>
      <c r="I30" s="43"/>
    </row>
    <row r="31" spans="1:36" ht="15" customHeight="1" thickTop="1" thickBot="1">
      <c r="A31" s="44" t="s">
        <v>26</v>
      </c>
      <c r="B31" s="22"/>
      <c r="C31" s="22"/>
      <c r="D31" s="22"/>
      <c r="E31" s="22"/>
      <c r="F31" s="45"/>
      <c r="G31" s="22"/>
      <c r="H31" s="22"/>
      <c r="I31" s="15">
        <f>SUM(B31:H31)</f>
        <v>0</v>
      </c>
      <c r="R31" s="608">
        <f>SUM(B31:H31)-I31</f>
        <v>0</v>
      </c>
    </row>
    <row r="32" spans="1:36" ht="15" customHeight="1" thickBot="1">
      <c r="A32" s="14" t="s">
        <v>27</v>
      </c>
      <c r="B32" s="22"/>
      <c r="C32" s="22"/>
      <c r="D32" s="22"/>
      <c r="E32" s="22"/>
      <c r="F32" s="46"/>
      <c r="G32" s="22"/>
      <c r="H32" s="22"/>
      <c r="I32" s="15">
        <f t="shared" ref="I32:I34" si="24">SUM(B32:H32)</f>
        <v>0</v>
      </c>
      <c r="R32" s="608">
        <f t="shared" ref="R32:R34" si="25">SUM(B32:H32)-I32</f>
        <v>0</v>
      </c>
    </row>
    <row r="33" spans="1:37" ht="15" customHeight="1" thickBot="1">
      <c r="A33" s="14" t="s">
        <v>28</v>
      </c>
      <c r="B33" s="22"/>
      <c r="C33" s="22"/>
      <c r="D33" s="22"/>
      <c r="E33" s="22"/>
      <c r="F33" s="46"/>
      <c r="G33" s="22"/>
      <c r="H33" s="22"/>
      <c r="I33" s="15">
        <f t="shared" si="24"/>
        <v>0</v>
      </c>
      <c r="R33" s="608">
        <f t="shared" si="25"/>
        <v>0</v>
      </c>
    </row>
    <row r="34" spans="1:37" ht="15" customHeight="1" thickBot="1">
      <c r="A34" s="14" t="s">
        <v>29</v>
      </c>
      <c r="B34" s="22"/>
      <c r="C34" s="22"/>
      <c r="D34" s="22"/>
      <c r="E34" s="22"/>
      <c r="F34" s="46"/>
      <c r="G34" s="22"/>
      <c r="H34" s="22"/>
      <c r="I34" s="15">
        <f t="shared" si="24"/>
        <v>0</v>
      </c>
      <c r="R34" s="608">
        <f t="shared" si="25"/>
        <v>0</v>
      </c>
    </row>
    <row r="35" spans="1:37" ht="15" customHeight="1" thickBot="1">
      <c r="A35" s="25" t="s">
        <v>30</v>
      </c>
      <c r="B35" s="26">
        <f>B31+B32-B33+B34</f>
        <v>0</v>
      </c>
      <c r="C35" s="26">
        <f>C31+C32-C33+C34</f>
        <v>0</v>
      </c>
      <c r="D35" s="26">
        <f>D31+D32-D33+D34</f>
        <v>0</v>
      </c>
      <c r="E35" s="26">
        <f t="shared" ref="E35:H35" si="26">E31+E32-E33+E34</f>
        <v>0</v>
      </c>
      <c r="F35" s="26">
        <f t="shared" si="26"/>
        <v>0</v>
      </c>
      <c r="G35" s="26">
        <f t="shared" si="26"/>
        <v>0</v>
      </c>
      <c r="H35" s="26">
        <f t="shared" si="26"/>
        <v>0</v>
      </c>
      <c r="I35" s="17">
        <f>I31+I32-I33+I34</f>
        <v>0</v>
      </c>
      <c r="K35" s="621">
        <f>B31+B32-B33+B34-B35</f>
        <v>0</v>
      </c>
      <c r="L35" s="661">
        <f t="shared" ref="L35:R35" si="27">C31+C32-C33+C34-C35</f>
        <v>0</v>
      </c>
      <c r="M35" s="661">
        <f t="shared" si="27"/>
        <v>0</v>
      </c>
      <c r="N35" s="661">
        <f t="shared" si="27"/>
        <v>0</v>
      </c>
      <c r="O35" s="661">
        <f t="shared" si="27"/>
        <v>0</v>
      </c>
      <c r="P35" s="661">
        <f t="shared" si="27"/>
        <v>0</v>
      </c>
      <c r="Q35" s="661">
        <f t="shared" si="27"/>
        <v>0</v>
      </c>
      <c r="R35" s="661">
        <f t="shared" si="27"/>
        <v>0</v>
      </c>
    </row>
    <row r="36" spans="1:37" ht="15" customHeight="1" thickTop="1" thickBot="1">
      <c r="A36" s="41" t="s">
        <v>31</v>
      </c>
      <c r="B36" s="42"/>
      <c r="C36" s="42"/>
      <c r="D36" s="42"/>
      <c r="E36" s="42"/>
      <c r="F36" s="42"/>
      <c r="G36" s="42"/>
      <c r="H36" s="42"/>
      <c r="I36" s="43"/>
      <c r="R36" s="608"/>
    </row>
    <row r="37" spans="1:37" ht="15" customHeight="1" thickTop="1" thickBot="1">
      <c r="A37" s="44" t="s">
        <v>32</v>
      </c>
      <c r="B37" s="22"/>
      <c r="C37" s="22"/>
      <c r="D37" s="22"/>
      <c r="E37" s="22"/>
      <c r="F37" s="22"/>
      <c r="G37" s="22"/>
      <c r="H37" s="22"/>
      <c r="I37" s="15">
        <f>SUM(B37:H37)</f>
        <v>0</v>
      </c>
      <c r="R37" s="608">
        <f t="shared" ref="R37:R39" si="28">SUM(B37:H37)-I37</f>
        <v>0</v>
      </c>
    </row>
    <row r="38" spans="1:37" ht="15" customHeight="1" thickBot="1">
      <c r="A38" s="14" t="s">
        <v>27</v>
      </c>
      <c r="B38" s="22"/>
      <c r="C38" s="22"/>
      <c r="D38" s="22"/>
      <c r="E38" s="22"/>
      <c r="F38" s="22"/>
      <c r="G38" s="22"/>
      <c r="H38" s="22"/>
      <c r="I38" s="15">
        <f t="shared" ref="I38:I39" si="29">SUM(B38:H38)</f>
        <v>0</v>
      </c>
      <c r="R38" s="608">
        <f t="shared" si="28"/>
        <v>0</v>
      </c>
    </row>
    <row r="39" spans="1:37" ht="15" customHeight="1" thickBot="1">
      <c r="A39" s="14" t="s">
        <v>28</v>
      </c>
      <c r="B39" s="22"/>
      <c r="C39" s="22"/>
      <c r="D39" s="22"/>
      <c r="E39" s="22"/>
      <c r="F39" s="22"/>
      <c r="G39" s="22"/>
      <c r="H39" s="22"/>
      <c r="I39" s="15">
        <f t="shared" si="29"/>
        <v>0</v>
      </c>
      <c r="R39" s="608">
        <f t="shared" si="28"/>
        <v>0</v>
      </c>
    </row>
    <row r="40" spans="1:37" ht="15" customHeight="1" thickBot="1">
      <c r="A40" s="25" t="s">
        <v>30</v>
      </c>
      <c r="B40" s="26">
        <f>B37+B38-B39</f>
        <v>0</v>
      </c>
      <c r="C40" s="26">
        <f>C37+C38-C39</f>
        <v>0</v>
      </c>
      <c r="D40" s="26">
        <f t="shared" ref="D40:H40" si="30">D37+D38-D39</f>
        <v>0</v>
      </c>
      <c r="E40" s="26">
        <f t="shared" si="30"/>
        <v>0</v>
      </c>
      <c r="F40" s="26">
        <f t="shared" si="30"/>
        <v>0</v>
      </c>
      <c r="G40" s="26">
        <f t="shared" si="30"/>
        <v>0</v>
      </c>
      <c r="H40" s="26">
        <f t="shared" si="30"/>
        <v>0</v>
      </c>
      <c r="I40" s="17">
        <f>I37+I38-I39</f>
        <v>0</v>
      </c>
      <c r="K40" s="621">
        <f>B37+B38-B39-B40</f>
        <v>0</v>
      </c>
      <c r="L40" s="661">
        <f>C37+C38-C39-C40</f>
        <v>0</v>
      </c>
      <c r="M40" s="661">
        <f t="shared" ref="M40:R40" si="31">D37+D38-D39-D40</f>
        <v>0</v>
      </c>
      <c r="N40" s="661">
        <f t="shared" si="31"/>
        <v>0</v>
      </c>
      <c r="O40" s="661">
        <f t="shared" si="31"/>
        <v>0</v>
      </c>
      <c r="P40" s="661">
        <f t="shared" si="31"/>
        <v>0</v>
      </c>
      <c r="Q40" s="661">
        <f t="shared" si="31"/>
        <v>0</v>
      </c>
      <c r="R40" s="661">
        <f t="shared" si="31"/>
        <v>0</v>
      </c>
    </row>
    <row r="41" spans="1:37" ht="15" customHeight="1" thickTop="1" thickBot="1">
      <c r="A41" s="41" t="s">
        <v>33</v>
      </c>
      <c r="B41" s="42"/>
      <c r="C41" s="42"/>
      <c r="D41" s="42"/>
      <c r="E41" s="42"/>
      <c r="F41" s="42"/>
      <c r="G41" s="42"/>
      <c r="H41" s="42"/>
      <c r="I41" s="43"/>
      <c r="R41" s="608"/>
    </row>
    <row r="42" spans="1:37" ht="15" customHeight="1" thickTop="1" thickBot="1">
      <c r="A42" s="44" t="s">
        <v>32</v>
      </c>
      <c r="B42" s="22"/>
      <c r="C42" s="22"/>
      <c r="D42" s="22"/>
      <c r="E42" s="22"/>
      <c r="F42" s="22"/>
      <c r="G42" s="22"/>
      <c r="H42" s="22"/>
      <c r="I42" s="15">
        <f>SUM(B42:H42)</f>
        <v>0</v>
      </c>
      <c r="R42" s="608">
        <f t="shared" ref="R42:R44" si="32">SUM(B42:H42)-I42</f>
        <v>0</v>
      </c>
    </row>
    <row r="43" spans="1:37" ht="15" customHeight="1" thickBot="1">
      <c r="A43" s="14" t="s">
        <v>27</v>
      </c>
      <c r="B43" s="22"/>
      <c r="C43" s="22"/>
      <c r="D43" s="22"/>
      <c r="E43" s="22"/>
      <c r="F43" s="22"/>
      <c r="G43" s="22"/>
      <c r="H43" s="22"/>
      <c r="I43" s="15">
        <f t="shared" ref="I43:I44" si="33">SUM(B43:H43)</f>
        <v>0</v>
      </c>
      <c r="R43" s="608">
        <f t="shared" si="32"/>
        <v>0</v>
      </c>
    </row>
    <row r="44" spans="1:37" ht="15" customHeight="1" thickBot="1">
      <c r="A44" s="14" t="s">
        <v>28</v>
      </c>
      <c r="B44" s="22"/>
      <c r="C44" s="22"/>
      <c r="D44" s="22"/>
      <c r="E44" s="22"/>
      <c r="F44" s="22"/>
      <c r="G44" s="22"/>
      <c r="H44" s="22"/>
      <c r="I44" s="15">
        <f t="shared" si="33"/>
        <v>0</v>
      </c>
      <c r="R44" s="608">
        <f t="shared" si="32"/>
        <v>0</v>
      </c>
    </row>
    <row r="45" spans="1:37" ht="15" customHeight="1" thickBot="1">
      <c r="A45" s="25" t="s">
        <v>30</v>
      </c>
      <c r="B45" s="26">
        <f>B42+B43-B44</f>
        <v>0</v>
      </c>
      <c r="C45" s="26">
        <f>C42+C43-C44</f>
        <v>0</v>
      </c>
      <c r="D45" s="26">
        <f t="shared" ref="D45:H45" si="34">D42+D43-D44</f>
        <v>0</v>
      </c>
      <c r="E45" s="26">
        <f t="shared" si="34"/>
        <v>0</v>
      </c>
      <c r="F45" s="26">
        <f t="shared" si="34"/>
        <v>0</v>
      </c>
      <c r="G45" s="26">
        <f t="shared" si="34"/>
        <v>0</v>
      </c>
      <c r="H45" s="26">
        <f t="shared" si="34"/>
        <v>0</v>
      </c>
      <c r="I45" s="17">
        <f>I42+I43-I44</f>
        <v>0</v>
      </c>
      <c r="K45" s="621">
        <f>B42+B43-B44-B45</f>
        <v>0</v>
      </c>
      <c r="L45" s="661">
        <f>C42+C43-C44-C45</f>
        <v>0</v>
      </c>
      <c r="M45" s="661">
        <f t="shared" ref="M45:R45" si="35">D42+D43-D44-D45</f>
        <v>0</v>
      </c>
      <c r="N45" s="661">
        <f t="shared" si="35"/>
        <v>0</v>
      </c>
      <c r="O45" s="661">
        <f t="shared" si="35"/>
        <v>0</v>
      </c>
      <c r="P45" s="661">
        <f t="shared" si="35"/>
        <v>0</v>
      </c>
      <c r="Q45" s="661">
        <f t="shared" si="35"/>
        <v>0</v>
      </c>
      <c r="R45" s="661">
        <f t="shared" si="35"/>
        <v>0</v>
      </c>
    </row>
    <row r="46" spans="1:37" ht="15" customHeight="1" thickTop="1" thickBot="1">
      <c r="A46" s="41" t="s">
        <v>34</v>
      </c>
      <c r="B46" s="42"/>
      <c r="C46" s="42"/>
      <c r="D46" s="42"/>
      <c r="E46" s="42"/>
      <c r="F46" s="42"/>
      <c r="G46" s="42"/>
      <c r="H46" s="42"/>
      <c r="I46" s="43"/>
      <c r="R46" s="608"/>
    </row>
    <row r="47" spans="1:37" ht="15" customHeight="1" thickTop="1" thickBot="1">
      <c r="A47" s="44" t="s">
        <v>32</v>
      </c>
      <c r="B47" s="22">
        <f>B31-B37-B42</f>
        <v>0</v>
      </c>
      <c r="C47" s="22">
        <f t="shared" ref="C47:I47" si="36">C31-C37-C42</f>
        <v>0</v>
      </c>
      <c r="D47" s="22">
        <f t="shared" si="36"/>
        <v>0</v>
      </c>
      <c r="E47" s="22">
        <f t="shared" si="36"/>
        <v>0</v>
      </c>
      <c r="F47" s="22">
        <f t="shared" si="36"/>
        <v>0</v>
      </c>
      <c r="G47" s="22">
        <f t="shared" si="36"/>
        <v>0</v>
      </c>
      <c r="H47" s="22">
        <f t="shared" si="36"/>
        <v>0</v>
      </c>
      <c r="I47" s="15">
        <f t="shared" si="36"/>
        <v>0</v>
      </c>
      <c r="K47" s="621">
        <f>B31-B37-B42-B47</f>
        <v>0</v>
      </c>
      <c r="L47" s="661">
        <f t="shared" ref="L47:N47" si="37">C31-C37-C42-C47</f>
        <v>0</v>
      </c>
      <c r="M47" s="661">
        <f t="shared" si="37"/>
        <v>0</v>
      </c>
      <c r="N47" s="661">
        <f t="shared" si="37"/>
        <v>0</v>
      </c>
      <c r="O47" s="661">
        <f>F31-F37-F42-F47</f>
        <v>0</v>
      </c>
      <c r="P47" s="661">
        <f t="shared" ref="P47:Q47" si="38">G31-G37-G42-G47</f>
        <v>0</v>
      </c>
      <c r="Q47" s="661">
        <f t="shared" si="38"/>
        <v>0</v>
      </c>
      <c r="R47" s="608">
        <f t="shared" ref="R47" si="39">SUM(B47:H47)-I47</f>
        <v>0</v>
      </c>
    </row>
    <row r="48" spans="1:37" ht="15" customHeight="1" thickBot="1">
      <c r="A48" s="25" t="s">
        <v>30</v>
      </c>
      <c r="B48" s="26">
        <f t="shared" ref="B48:I48" si="40">B35-B40-B45</f>
        <v>0</v>
      </c>
      <c r="C48" s="26">
        <f t="shared" si="40"/>
        <v>0</v>
      </c>
      <c r="D48" s="26">
        <f t="shared" si="40"/>
        <v>0</v>
      </c>
      <c r="E48" s="26">
        <f t="shared" si="40"/>
        <v>0</v>
      </c>
      <c r="F48" s="26">
        <f t="shared" si="40"/>
        <v>0</v>
      </c>
      <c r="G48" s="26">
        <f t="shared" si="40"/>
        <v>0</v>
      </c>
      <c r="H48" s="26">
        <f t="shared" si="40"/>
        <v>0</v>
      </c>
      <c r="I48" s="17">
        <f t="shared" si="40"/>
        <v>0</v>
      </c>
      <c r="K48" s="621">
        <f>B35-B40-B45-B48</f>
        <v>0</v>
      </c>
      <c r="L48" s="661">
        <f t="shared" ref="L48:N48" si="41">C35-C40-C45-C48</f>
        <v>0</v>
      </c>
      <c r="M48" s="661">
        <f t="shared" si="41"/>
        <v>0</v>
      </c>
      <c r="N48" s="661">
        <f t="shared" si="41"/>
        <v>0</v>
      </c>
      <c r="O48" s="661">
        <f>F35-F40-F45-F48</f>
        <v>0</v>
      </c>
      <c r="P48" s="661">
        <f t="shared" ref="P48:Q48" si="42">G35-G40-G45-G48</f>
        <v>0</v>
      </c>
      <c r="Q48" s="661">
        <f t="shared" si="42"/>
        <v>0</v>
      </c>
      <c r="R48" s="608">
        <f>SUM(B48:H48)-I48</f>
        <v>0</v>
      </c>
      <c r="AC48" s="621">
        <f>B48-'BS old'!$G$13</f>
        <v>0</v>
      </c>
      <c r="AD48" s="673">
        <f>C48-'BS old'!$G$14</f>
        <v>0</v>
      </c>
      <c r="AE48" s="673">
        <f>D48-'BS old'!$IB$15</f>
        <v>0</v>
      </c>
      <c r="AF48" s="673">
        <f>E48-'BS old'!$G$16</f>
        <v>0</v>
      </c>
      <c r="AG48" s="673">
        <f>F48-'BS old'!$G$17</f>
        <v>0</v>
      </c>
      <c r="AH48" s="673">
        <f>G48-'BS old'!$G$18</f>
        <v>0</v>
      </c>
      <c r="AI48" s="673">
        <f>H48-'BS old'!$G$19</f>
        <v>0</v>
      </c>
      <c r="AJ48" s="608">
        <f>I48-'BS old'!$G$12</f>
        <v>0</v>
      </c>
      <c r="AK48" s="334"/>
    </row>
    <row r="49" ht="15.75" thickTop="1"/>
  </sheetData>
  <mergeCells count="7">
    <mergeCell ref="T1:AA1"/>
    <mergeCell ref="AC1:AJ1"/>
    <mergeCell ref="A28:A29"/>
    <mergeCell ref="B28:I28"/>
    <mergeCell ref="A3:A4"/>
    <mergeCell ref="B3:I3"/>
    <mergeCell ref="K1:R1"/>
  </mergeCells>
  <conditionalFormatting sqref="K6:R23">
    <cfRule type="cellIs" dxfId="322" priority="13" operator="lessThan">
      <formula>0</formula>
    </cfRule>
    <cfRule type="cellIs" dxfId="321" priority="14" operator="greaterThan">
      <formula>0</formula>
    </cfRule>
  </conditionalFormatting>
  <conditionalFormatting sqref="K31:R48">
    <cfRule type="cellIs" dxfId="320" priority="11" operator="lessThan">
      <formula>0</formula>
    </cfRule>
    <cfRule type="cellIs" dxfId="319" priority="12" operator="greaterThan">
      <formula>0</formula>
    </cfRule>
  </conditionalFormatting>
  <conditionalFormatting sqref="T6:AA22">
    <cfRule type="cellIs" dxfId="318" priority="9" operator="lessThan">
      <formula>0</formula>
    </cfRule>
    <cfRule type="cellIs" dxfId="317" priority="10" operator="greaterThan">
      <formula>0</formula>
    </cfRule>
  </conditionalFormatting>
  <conditionalFormatting sqref="AC10:AJ48">
    <cfRule type="cellIs" dxfId="316" priority="7" operator="lessThan">
      <formula>0</formula>
    </cfRule>
    <cfRule type="cellIs" dxfId="315" priority="8" operator="greaterThan">
      <formula>0</formula>
    </cfRule>
  </conditionalFormatting>
  <conditionalFormatting sqref="K6:R23">
    <cfRule type="cellIs" dxfId="314" priority="5" operator="lessThan">
      <formula>0</formula>
    </cfRule>
    <cfRule type="cellIs" dxfId="313" priority="6" operator="greaterThan">
      <formula>0</formula>
    </cfRule>
  </conditionalFormatting>
  <conditionalFormatting sqref="K31:R48">
    <cfRule type="cellIs" dxfId="312" priority="3" operator="lessThan">
      <formula>0</formula>
    </cfRule>
    <cfRule type="cellIs" dxfId="311" priority="4" operator="greaterThan">
      <formula>0</formula>
    </cfRule>
  </conditionalFormatting>
  <conditionalFormatting sqref="K31:R48">
    <cfRule type="cellIs" dxfId="310" priority="1" operator="lessThan">
      <formula>0</formula>
    </cfRule>
    <cfRule type="cellIs" dxfId="309" priority="2" operator="greaterThan">
      <formula>0</formula>
    </cfRule>
  </conditionalFormatting>
  <pageMargins left="0.7" right="0.7" top="0.75" bottom="0.75" header="0.3" footer="0.3"/>
  <pageSetup paperSize="9" orientation="portrait" horizontalDpi="300" verticalDpi="300"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92D050"/>
    <outlinePr summaryBelow="0" summaryRight="0"/>
  </sheetPr>
  <dimension ref="A1:L66"/>
  <sheetViews>
    <sheetView showGridLines="0" view="pageBreakPreview" topLeftCell="A58" zoomScaleNormal="100" zoomScaleSheetLayoutView="100" workbookViewId="0">
      <selection activeCell="G19" sqref="G19"/>
    </sheetView>
  </sheetViews>
  <sheetFormatPr defaultColWidth="9.140625" defaultRowHeight="10.5"/>
  <cols>
    <col min="1" max="1" width="4.42578125" style="1238" customWidth="1"/>
    <col min="2" max="2" width="15.5703125" style="1238" customWidth="1"/>
    <col min="3" max="3" width="4.85546875" style="1238" customWidth="1"/>
    <col min="4" max="4" width="23.85546875" style="1238" customWidth="1"/>
    <col min="5" max="5" width="0.5703125" style="1238" customWidth="1"/>
    <col min="6" max="6" width="6.42578125" style="1238" customWidth="1"/>
    <col min="7" max="8" width="22.85546875" style="1238" customWidth="1"/>
    <col min="9" max="16384" width="9.140625" style="1238"/>
  </cols>
  <sheetData>
    <row r="1" spans="1:12" s="1179" customFormat="1" ht="15" customHeight="1">
      <c r="A1" s="1178"/>
      <c r="D1" s="1180"/>
      <c r="E1" s="1180"/>
      <c r="F1" s="1180"/>
      <c r="I1" s="1180"/>
      <c r="J1" s="1180"/>
    </row>
    <row r="2" spans="1:12" s="1179" customFormat="1" ht="23.25" customHeight="1">
      <c r="A2" s="1178"/>
      <c r="B2" s="1166" t="s">
        <v>2574</v>
      </c>
      <c r="C2" s="525" t="s">
        <v>1231</v>
      </c>
      <c r="D2" s="1268" t="str">
        <f>'BS-SK Statutory'!E2</f>
        <v xml:space="preserve">  2  0  2  0  3  1  9  8  2  9</v>
      </c>
      <c r="E2" s="581"/>
      <c r="F2" s="1213" t="s">
        <v>1074</v>
      </c>
      <c r="G2" s="1267" t="str">
        <f>'BS-SK Statutory'!J2</f>
        <v xml:space="preserve">  3  1  3  6  5  5  0  7 </v>
      </c>
    </row>
    <row r="3" spans="1:12" s="1179" customFormat="1" ht="2.25" customHeight="1" thickBot="1">
      <c r="A3" s="1178"/>
      <c r="B3" s="1225"/>
      <c r="C3" s="1180"/>
      <c r="D3" s="1180"/>
      <c r="E3" s="1180"/>
    </row>
    <row r="4" spans="1:12" s="1230" customFormat="1" ht="11.25" customHeight="1">
      <c r="A4" s="1226"/>
      <c r="B4" s="1227"/>
      <c r="C4" s="1266"/>
      <c r="D4" s="1266"/>
      <c r="E4" s="1228"/>
      <c r="F4" s="1229"/>
      <c r="G4" s="1633" t="s">
        <v>1299</v>
      </c>
      <c r="H4" s="1744"/>
    </row>
    <row r="5" spans="1:12" s="1230" customFormat="1" ht="33.75" customHeight="1">
      <c r="A5" s="1315" t="s">
        <v>1137</v>
      </c>
      <c r="B5" s="1620" t="s">
        <v>1298</v>
      </c>
      <c r="C5" s="1738"/>
      <c r="D5" s="1738"/>
      <c r="E5" s="1299"/>
      <c r="F5" s="1316" t="s">
        <v>1135</v>
      </c>
      <c r="G5" s="1231" t="s">
        <v>1297</v>
      </c>
      <c r="H5" s="1232" t="s">
        <v>1296</v>
      </c>
    </row>
    <row r="6" spans="1:12" s="1230" customFormat="1" ht="29.65" customHeight="1">
      <c r="A6" s="1200" t="s">
        <v>880</v>
      </c>
      <c r="B6" s="1712" t="s">
        <v>2520</v>
      </c>
      <c r="C6" s="1713"/>
      <c r="D6" s="1713"/>
      <c r="E6" s="1714"/>
      <c r="F6" s="1196" t="s">
        <v>814</v>
      </c>
      <c r="G6" s="1312">
        <f>'P&amp;L'!D9</f>
        <v>5307380</v>
      </c>
      <c r="H6" s="1301">
        <f>'P&amp;L'!E9</f>
        <v>5338141</v>
      </c>
    </row>
    <row r="7" spans="1:12" s="1230" customFormat="1" ht="29.65" customHeight="1">
      <c r="A7" s="1200" t="s">
        <v>942</v>
      </c>
      <c r="B7" s="1712" t="s">
        <v>2521</v>
      </c>
      <c r="C7" s="1713"/>
      <c r="D7" s="1713"/>
      <c r="E7" s="1714"/>
      <c r="F7" s="1196" t="s">
        <v>817</v>
      </c>
      <c r="G7" s="1312">
        <f>'P&amp;L'!D10</f>
        <v>5384434</v>
      </c>
      <c r="H7" s="1233">
        <f>'P&amp;L'!E10</f>
        <v>5319172</v>
      </c>
    </row>
    <row r="8" spans="1:12" s="1235" customFormat="1" ht="29.65" customHeight="1">
      <c r="A8" s="1269" t="s">
        <v>877</v>
      </c>
      <c r="B8" s="1717" t="s">
        <v>2522</v>
      </c>
      <c r="C8" s="1718"/>
      <c r="D8" s="1718"/>
      <c r="E8" s="1719"/>
      <c r="F8" s="1198" t="s">
        <v>820</v>
      </c>
      <c r="G8" s="1306">
        <f>'P&amp;L'!D11</f>
        <v>2493976</v>
      </c>
      <c r="H8" s="1234">
        <f>'P&amp;L'!E11</f>
        <v>2351345</v>
      </c>
    </row>
    <row r="9" spans="1:12" s="1235" customFormat="1" ht="29.65" customHeight="1">
      <c r="A9" s="1269" t="s">
        <v>2348</v>
      </c>
      <c r="B9" s="1717" t="s">
        <v>2523</v>
      </c>
      <c r="C9" s="1718"/>
      <c r="D9" s="1718"/>
      <c r="E9" s="1719"/>
      <c r="F9" s="1198" t="s">
        <v>823</v>
      </c>
      <c r="G9" s="1306">
        <f>'P&amp;L'!D12</f>
        <v>2645663</v>
      </c>
      <c r="H9" s="1234">
        <f>'P&amp;L'!E12</f>
        <v>2822910</v>
      </c>
    </row>
    <row r="10" spans="1:12" s="1230" customFormat="1" ht="29.65" customHeight="1">
      <c r="A10" s="1269" t="s">
        <v>2350</v>
      </c>
      <c r="B10" s="1717" t="s">
        <v>2524</v>
      </c>
      <c r="C10" s="1718"/>
      <c r="D10" s="1718"/>
      <c r="E10" s="1719"/>
      <c r="F10" s="1198" t="s">
        <v>826</v>
      </c>
      <c r="G10" s="1306">
        <f>'P&amp;L'!D13</f>
        <v>167741</v>
      </c>
      <c r="H10" s="1234">
        <f>'P&amp;L'!E13</f>
        <v>163886</v>
      </c>
    </row>
    <row r="11" spans="1:12" s="1230" customFormat="1" ht="29.65" customHeight="1">
      <c r="A11" s="1269" t="s">
        <v>2352</v>
      </c>
      <c r="B11" s="1717" t="s">
        <v>2525</v>
      </c>
      <c r="C11" s="1718"/>
      <c r="D11" s="1718"/>
      <c r="E11" s="1719"/>
      <c r="F11" s="1198" t="s">
        <v>828</v>
      </c>
      <c r="G11" s="1306">
        <f>'P&amp;L'!D14</f>
        <v>-408</v>
      </c>
      <c r="H11" s="1234">
        <f>'P&amp;L'!E14</f>
        <v>-19885</v>
      </c>
    </row>
    <row r="12" spans="1:12" s="1230" customFormat="1" ht="29.65" customHeight="1">
      <c r="A12" s="1269" t="s">
        <v>976</v>
      </c>
      <c r="B12" s="1717" t="s">
        <v>2526</v>
      </c>
      <c r="C12" s="1718"/>
      <c r="D12" s="1718"/>
      <c r="E12" s="1719"/>
      <c r="F12" s="1198" t="s">
        <v>830</v>
      </c>
      <c r="G12" s="1306">
        <f>'P&amp;L'!D15</f>
        <v>0</v>
      </c>
      <c r="H12" s="1234">
        <f>'P&amp;L'!E15</f>
        <v>0</v>
      </c>
    </row>
    <row r="13" spans="1:12" s="1235" customFormat="1" ht="31.5" customHeight="1">
      <c r="A13" s="1269" t="s">
        <v>2353</v>
      </c>
      <c r="B13" s="1717" t="s">
        <v>2527</v>
      </c>
      <c r="C13" s="1718"/>
      <c r="D13" s="1718"/>
      <c r="E13" s="1719"/>
      <c r="F13" s="1198" t="s">
        <v>832</v>
      </c>
      <c r="G13" s="1306">
        <f>'P&amp;L'!D16</f>
        <v>9584</v>
      </c>
      <c r="H13" s="1234">
        <f>'P&amp;L'!E16</f>
        <v>0</v>
      </c>
      <c r="L13" s="1230"/>
    </row>
    <row r="14" spans="1:12" s="1230" customFormat="1" ht="29.65" customHeight="1">
      <c r="A14" s="1269" t="s">
        <v>2354</v>
      </c>
      <c r="B14" s="1717" t="s">
        <v>2528</v>
      </c>
      <c r="C14" s="1718"/>
      <c r="D14" s="1718"/>
      <c r="E14" s="1719"/>
      <c r="F14" s="1198" t="s">
        <v>835</v>
      </c>
      <c r="G14" s="1306">
        <f>'P&amp;L'!D17</f>
        <v>67878</v>
      </c>
      <c r="H14" s="1234">
        <f>'P&amp;L'!E17</f>
        <v>916</v>
      </c>
    </row>
    <row r="15" spans="1:12" s="1230" customFormat="1" ht="29.65" customHeight="1">
      <c r="A15" s="1270" t="s">
        <v>942</v>
      </c>
      <c r="B15" s="1712" t="s">
        <v>2529</v>
      </c>
      <c r="C15" s="1713"/>
      <c r="D15" s="1713"/>
      <c r="E15" s="1714"/>
      <c r="F15" s="1196" t="s">
        <v>838</v>
      </c>
      <c r="G15" s="1312">
        <f>'P&amp;L'!D18</f>
        <v>5183863</v>
      </c>
      <c r="H15" s="1233">
        <f>'P&amp;L'!E18</f>
        <v>4969185</v>
      </c>
    </row>
    <row r="16" spans="1:12" s="1235" customFormat="1" ht="29.65" customHeight="1">
      <c r="A16" s="1199" t="s">
        <v>523</v>
      </c>
      <c r="B16" s="1717" t="s">
        <v>2530</v>
      </c>
      <c r="C16" s="1718"/>
      <c r="D16" s="1718"/>
      <c r="E16" s="1719"/>
      <c r="F16" s="1198" t="s">
        <v>840</v>
      </c>
      <c r="G16" s="1306">
        <f>'P&amp;L'!D19</f>
        <v>1928175</v>
      </c>
      <c r="H16" s="1234">
        <f>'P&amp;L'!E19</f>
        <v>1878350</v>
      </c>
    </row>
    <row r="17" spans="1:8" s="1230" customFormat="1" ht="29.65" customHeight="1">
      <c r="A17" s="1199" t="s">
        <v>594</v>
      </c>
      <c r="B17" s="1717" t="s">
        <v>2531</v>
      </c>
      <c r="C17" s="1718"/>
      <c r="D17" s="1718"/>
      <c r="E17" s="1719"/>
      <c r="F17" s="1198" t="s">
        <v>842</v>
      </c>
      <c r="G17" s="1306">
        <f>'P&amp;L'!D20</f>
        <v>1213571</v>
      </c>
      <c r="H17" s="1234">
        <f>'P&amp;L'!E20</f>
        <v>1227260</v>
      </c>
    </row>
    <row r="18" spans="1:8" s="1230" customFormat="1" ht="29.65" customHeight="1">
      <c r="A18" s="1199" t="s">
        <v>663</v>
      </c>
      <c r="B18" s="1717" t="s">
        <v>2532</v>
      </c>
      <c r="C18" s="1718"/>
      <c r="D18" s="1718"/>
      <c r="E18" s="1719"/>
      <c r="F18" s="1198" t="s">
        <v>844</v>
      </c>
      <c r="G18" s="1306">
        <f>'P&amp;L'!D21</f>
        <v>1391</v>
      </c>
      <c r="H18" s="1234">
        <f>'P&amp;L'!E21</f>
        <v>-2685</v>
      </c>
    </row>
    <row r="19" spans="1:8" s="1230" customFormat="1" ht="29.65" customHeight="1">
      <c r="A19" s="1199" t="s">
        <v>853</v>
      </c>
      <c r="B19" s="1717" t="s">
        <v>1286</v>
      </c>
      <c r="C19" s="1718"/>
      <c r="D19" s="1718"/>
      <c r="E19" s="1719"/>
      <c r="F19" s="1198" t="s">
        <v>846</v>
      </c>
      <c r="G19" s="1306">
        <f>'P&amp;L'!D22</f>
        <v>441930</v>
      </c>
      <c r="H19" s="1234">
        <f>'P&amp;L'!E22</f>
        <v>359364</v>
      </c>
    </row>
    <row r="20" spans="1:8" s="1230" customFormat="1" ht="29.65" customHeight="1">
      <c r="A20" s="1199" t="s">
        <v>856</v>
      </c>
      <c r="B20" s="1717" t="s">
        <v>2533</v>
      </c>
      <c r="C20" s="1718"/>
      <c r="D20" s="1718"/>
      <c r="E20" s="1719"/>
      <c r="F20" s="1198" t="s">
        <v>849</v>
      </c>
      <c r="G20" s="1306">
        <f>'P&amp;L'!D23</f>
        <v>1097102</v>
      </c>
      <c r="H20" s="1234">
        <f>'P&amp;L'!E23</f>
        <v>1086166</v>
      </c>
    </row>
    <row r="21" spans="1:8" s="1230" customFormat="1" ht="29.65" customHeight="1">
      <c r="A21" s="1199" t="s">
        <v>2359</v>
      </c>
      <c r="B21" s="1717" t="s">
        <v>1283</v>
      </c>
      <c r="C21" s="1718"/>
      <c r="D21" s="1718"/>
      <c r="E21" s="1719"/>
      <c r="F21" s="1198" t="s">
        <v>852</v>
      </c>
      <c r="G21" s="1306">
        <f>'P&amp;L'!D24</f>
        <v>781249</v>
      </c>
      <c r="H21" s="1234">
        <f>'P&amp;L'!E24</f>
        <v>788625</v>
      </c>
    </row>
    <row r="22" spans="1:8" s="1230" customFormat="1" ht="29.65" customHeight="1">
      <c r="A22" s="1199" t="s">
        <v>532</v>
      </c>
      <c r="B22" s="1717" t="s">
        <v>2534</v>
      </c>
      <c r="C22" s="1718"/>
      <c r="D22" s="1718"/>
      <c r="E22" s="1719"/>
      <c r="F22" s="1198" t="s">
        <v>855</v>
      </c>
      <c r="G22" s="1306">
        <f>'P&amp;L'!D25</f>
        <v>0</v>
      </c>
      <c r="H22" s="1234">
        <f>'P&amp;L'!E25</f>
        <v>0</v>
      </c>
    </row>
    <row r="23" spans="1:8" s="1230" customFormat="1" ht="29.65" customHeight="1">
      <c r="A23" s="1199" t="s">
        <v>535</v>
      </c>
      <c r="B23" s="1717" t="s">
        <v>2535</v>
      </c>
      <c r="C23" s="1718"/>
      <c r="D23" s="1718"/>
      <c r="E23" s="1719"/>
      <c r="F23" s="1198" t="s">
        <v>858</v>
      </c>
      <c r="G23" s="1306">
        <f>'P&amp;L'!D26</f>
        <v>266859</v>
      </c>
      <c r="H23" s="1234">
        <f>'P&amp;L'!E26</f>
        <v>249918</v>
      </c>
    </row>
    <row r="24" spans="1:8" s="1230" customFormat="1" ht="29.65" customHeight="1">
      <c r="A24" s="1199" t="s">
        <v>538</v>
      </c>
      <c r="B24" s="1717" t="s">
        <v>1280</v>
      </c>
      <c r="C24" s="1718"/>
      <c r="D24" s="1718"/>
      <c r="E24" s="1719"/>
      <c r="F24" s="1198" t="s">
        <v>861</v>
      </c>
      <c r="G24" s="1306">
        <f>'P&amp;L'!D27</f>
        <v>48994</v>
      </c>
      <c r="H24" s="1234">
        <f>'P&amp;L'!E27</f>
        <v>47623</v>
      </c>
    </row>
    <row r="25" spans="1:8" s="1230" customFormat="1" ht="29.65" customHeight="1">
      <c r="A25" s="1199" t="s">
        <v>862</v>
      </c>
      <c r="B25" s="1717" t="s">
        <v>1279</v>
      </c>
      <c r="C25" s="1718"/>
      <c r="D25" s="1718"/>
      <c r="E25" s="1719"/>
      <c r="F25" s="1198" t="s">
        <v>864</v>
      </c>
      <c r="G25" s="1306">
        <f>'P&amp;L'!D28</f>
        <v>8670</v>
      </c>
      <c r="H25" s="1234">
        <f>'P&amp;L'!E28</f>
        <v>7638</v>
      </c>
    </row>
    <row r="26" spans="1:8" s="1230" customFormat="1" ht="32.25" customHeight="1">
      <c r="A26" s="1199" t="s">
        <v>865</v>
      </c>
      <c r="B26" s="1745" t="s">
        <v>2536</v>
      </c>
      <c r="C26" s="1746"/>
      <c r="D26" s="1746"/>
      <c r="E26" s="1747"/>
      <c r="F26" s="1198" t="s">
        <v>867</v>
      </c>
      <c r="G26" s="1306">
        <f>'P&amp;L'!D29</f>
        <v>406478</v>
      </c>
      <c r="H26" s="1234">
        <f>'P&amp;L'!E29</f>
        <v>403396</v>
      </c>
    </row>
    <row r="27" spans="1:8" s="1230" customFormat="1" ht="29.65" customHeight="1">
      <c r="A27" s="1199" t="s">
        <v>2361</v>
      </c>
      <c r="B27" s="1717" t="s">
        <v>2537</v>
      </c>
      <c r="C27" s="1718"/>
      <c r="D27" s="1718"/>
      <c r="E27" s="1719"/>
      <c r="F27" s="1198" t="s">
        <v>870</v>
      </c>
      <c r="G27" s="1306">
        <f>'P&amp;L'!D30</f>
        <v>406478</v>
      </c>
      <c r="H27" s="1234">
        <f>'P&amp;L'!E30</f>
        <v>403396</v>
      </c>
    </row>
    <row r="28" spans="1:8" s="1230" customFormat="1" ht="32.25" customHeight="1">
      <c r="A28" s="1199" t="s">
        <v>532</v>
      </c>
      <c r="B28" s="1745" t="s">
        <v>2538</v>
      </c>
      <c r="C28" s="1746"/>
      <c r="D28" s="1746"/>
      <c r="E28" s="1747"/>
      <c r="F28" s="1198" t="s">
        <v>873</v>
      </c>
      <c r="G28" s="1306">
        <f>'P&amp;L'!D31</f>
        <v>0</v>
      </c>
      <c r="H28" s="1234">
        <f>'P&amp;L'!E31</f>
        <v>0</v>
      </c>
    </row>
    <row r="29" spans="1:8" s="1230" customFormat="1" ht="29.65" customHeight="1">
      <c r="A29" s="1199" t="s">
        <v>871</v>
      </c>
      <c r="B29" s="1717" t="s">
        <v>2539</v>
      </c>
      <c r="C29" s="1718"/>
      <c r="D29" s="1718"/>
      <c r="E29" s="1719"/>
      <c r="F29" s="1198" t="s">
        <v>876</v>
      </c>
      <c r="G29" s="1306">
        <f>'P&amp;L'!D32</f>
        <v>0</v>
      </c>
      <c r="H29" s="1234">
        <f>'P&amp;L'!E32</f>
        <v>0</v>
      </c>
    </row>
    <row r="30" spans="1:8" s="1230" customFormat="1" ht="29.65" customHeight="1">
      <c r="A30" s="1199" t="s">
        <v>877</v>
      </c>
      <c r="B30" s="1717" t="s">
        <v>2540</v>
      </c>
      <c r="C30" s="1718"/>
      <c r="D30" s="1718"/>
      <c r="E30" s="1719"/>
      <c r="F30" s="1198" t="s">
        <v>879</v>
      </c>
      <c r="G30" s="1306">
        <f>'P&amp;L'!D33</f>
        <v>9730</v>
      </c>
      <c r="H30" s="1234">
        <f>'P&amp;L'!E33</f>
        <v>0</v>
      </c>
    </row>
    <row r="31" spans="1:8" s="1235" customFormat="1" ht="33.75" customHeight="1">
      <c r="A31" s="1199" t="s">
        <v>886</v>
      </c>
      <c r="B31" s="1745" t="s">
        <v>2541</v>
      </c>
      <c r="C31" s="1746"/>
      <c r="D31" s="1746"/>
      <c r="E31" s="1747"/>
      <c r="F31" s="1198" t="s">
        <v>882</v>
      </c>
      <c r="G31" s="1306">
        <f>'P&amp;L'!D34</f>
        <v>76816</v>
      </c>
      <c r="H31" s="1234">
        <f>'P&amp;L'!E34</f>
        <v>9696</v>
      </c>
    </row>
    <row r="32" spans="1:8" s="1230" customFormat="1" ht="29.25" customHeight="1">
      <c r="A32" s="1200" t="s">
        <v>973</v>
      </c>
      <c r="B32" s="1712" t="s">
        <v>2542</v>
      </c>
      <c r="C32" s="1713"/>
      <c r="D32" s="1713"/>
      <c r="E32" s="1714"/>
      <c r="F32" s="1196" t="s">
        <v>885</v>
      </c>
      <c r="G32" s="1312">
        <f>'P&amp;L'!D35</f>
        <v>200571</v>
      </c>
      <c r="H32" s="1233">
        <f>'P&amp;L'!E35</f>
        <v>349987</v>
      </c>
    </row>
    <row r="33" spans="1:8" ht="24.75" customHeight="1">
      <c r="A33" s="1200" t="s">
        <v>880</v>
      </c>
      <c r="B33" s="1712" t="s">
        <v>2543</v>
      </c>
      <c r="C33" s="1713"/>
      <c r="D33" s="1713"/>
      <c r="E33" s="1714"/>
      <c r="F33" s="1196" t="s">
        <v>888</v>
      </c>
      <c r="G33" s="1312">
        <f>'P&amp;L'!D36</f>
        <v>1721905</v>
      </c>
      <c r="H33" s="1233">
        <f>'P&amp;L'!E36</f>
        <v>1855967</v>
      </c>
    </row>
    <row r="34" spans="1:8" ht="30.75" customHeight="1">
      <c r="A34" s="1236" t="s">
        <v>942</v>
      </c>
      <c r="B34" s="1751" t="s">
        <v>2544</v>
      </c>
      <c r="C34" s="1752"/>
      <c r="D34" s="1752"/>
      <c r="E34" s="1753"/>
      <c r="F34" s="1311" t="s">
        <v>891</v>
      </c>
      <c r="G34" s="1312">
        <f>'P&amp;L'!D37</f>
        <v>46176</v>
      </c>
      <c r="H34" s="1233">
        <f>'P&amp;L'!E37</f>
        <v>29145</v>
      </c>
    </row>
    <row r="35" spans="1:8" ht="36.75" customHeight="1">
      <c r="A35" s="1199" t="s">
        <v>2367</v>
      </c>
      <c r="B35" s="1717" t="s">
        <v>2545</v>
      </c>
      <c r="C35" s="1718"/>
      <c r="D35" s="1718"/>
      <c r="E35" s="1719"/>
      <c r="F35" s="1198" t="s">
        <v>894</v>
      </c>
      <c r="G35" s="1306">
        <f>'P&amp;L'!D38</f>
        <v>0</v>
      </c>
      <c r="H35" s="1234">
        <f>'P&amp;L'!E38</f>
        <v>0</v>
      </c>
    </row>
    <row r="36" spans="1:8" ht="30.75" customHeight="1">
      <c r="A36" s="1199" t="s">
        <v>2368</v>
      </c>
      <c r="B36" s="1717" t="s">
        <v>2546</v>
      </c>
      <c r="C36" s="1718"/>
      <c r="D36" s="1718"/>
      <c r="E36" s="1719"/>
      <c r="F36" s="1198" t="s">
        <v>897</v>
      </c>
      <c r="G36" s="1306">
        <f>'P&amp;L'!D39</f>
        <v>0</v>
      </c>
      <c r="H36" s="1234">
        <f>'P&amp;L'!E39</f>
        <v>0</v>
      </c>
    </row>
    <row r="37" spans="1:8" ht="30" customHeight="1">
      <c r="A37" s="1199" t="s">
        <v>2370</v>
      </c>
      <c r="B37" s="1717" t="s">
        <v>2547</v>
      </c>
      <c r="C37" s="1718"/>
      <c r="D37" s="1718"/>
      <c r="E37" s="1719"/>
      <c r="F37" s="1198" t="s">
        <v>900</v>
      </c>
      <c r="G37" s="1306">
        <f>'P&amp;L'!D40</f>
        <v>0</v>
      </c>
      <c r="H37" s="1234">
        <f>'P&amp;L'!E40</f>
        <v>0</v>
      </c>
    </row>
    <row r="38" spans="1:8" ht="33.75" customHeight="1">
      <c r="A38" s="1199" t="s">
        <v>532</v>
      </c>
      <c r="B38" s="1717" t="s">
        <v>2548</v>
      </c>
      <c r="C38" s="1718"/>
      <c r="D38" s="1718"/>
      <c r="E38" s="1719"/>
      <c r="F38" s="1198" t="s">
        <v>903</v>
      </c>
      <c r="G38" s="1306">
        <f>'P&amp;L'!D41</f>
        <v>0</v>
      </c>
      <c r="H38" s="1234">
        <f>'P&amp;L'!E41</f>
        <v>0</v>
      </c>
    </row>
    <row r="39" spans="1:8" ht="22.5" customHeight="1">
      <c r="A39" s="1199" t="s">
        <v>535</v>
      </c>
      <c r="B39" s="1717" t="s">
        <v>2549</v>
      </c>
      <c r="C39" s="1718"/>
      <c r="D39" s="1718"/>
      <c r="E39" s="1719"/>
      <c r="F39" s="1198" t="s">
        <v>906</v>
      </c>
      <c r="G39" s="1306">
        <f>'P&amp;L'!D42</f>
        <v>0</v>
      </c>
      <c r="H39" s="1234">
        <f>'P&amp;L'!E42</f>
        <v>0</v>
      </c>
    </row>
    <row r="40" spans="1:8" ht="30.75" customHeight="1">
      <c r="A40" s="1199" t="s">
        <v>2371</v>
      </c>
      <c r="B40" s="1717" t="s">
        <v>2550</v>
      </c>
      <c r="C40" s="1718"/>
      <c r="D40" s="1718"/>
      <c r="E40" s="1719"/>
      <c r="F40" s="1198" t="s">
        <v>909</v>
      </c>
      <c r="G40" s="1306">
        <f>'P&amp;L'!D43</f>
        <v>0</v>
      </c>
      <c r="H40" s="1234">
        <f>'P&amp;L'!E43</f>
        <v>0</v>
      </c>
    </row>
    <row r="41" spans="1:8" ht="30" customHeight="1">
      <c r="A41" s="1199" t="s">
        <v>2373</v>
      </c>
      <c r="B41" s="1717" t="s">
        <v>2551</v>
      </c>
      <c r="C41" s="1718"/>
      <c r="D41" s="1718"/>
      <c r="E41" s="1719"/>
      <c r="F41" s="1198" t="s">
        <v>912</v>
      </c>
      <c r="G41" s="1306">
        <f>'P&amp;L'!D44</f>
        <v>0</v>
      </c>
      <c r="H41" s="1234">
        <f>'P&amp;L'!E44</f>
        <v>0</v>
      </c>
    </row>
    <row r="42" spans="1:8" ht="32.25" customHeight="1">
      <c r="A42" s="1199" t="s">
        <v>532</v>
      </c>
      <c r="B42" s="1717" t="s">
        <v>2552</v>
      </c>
      <c r="C42" s="1718"/>
      <c r="D42" s="1718"/>
      <c r="E42" s="1719"/>
      <c r="F42" s="1198" t="s">
        <v>915</v>
      </c>
      <c r="G42" s="1306">
        <f>'P&amp;L'!D45</f>
        <v>0</v>
      </c>
      <c r="H42" s="1234">
        <f>'P&amp;L'!E45</f>
        <v>0</v>
      </c>
    </row>
    <row r="43" spans="1:8" ht="24" customHeight="1">
      <c r="A43" s="1199" t="s">
        <v>535</v>
      </c>
      <c r="B43" s="1717" t="s">
        <v>2553</v>
      </c>
      <c r="C43" s="1718"/>
      <c r="D43" s="1718"/>
      <c r="E43" s="1719"/>
      <c r="F43" s="1198" t="s">
        <v>918</v>
      </c>
      <c r="G43" s="1306">
        <f>'P&amp;L'!D46</f>
        <v>0</v>
      </c>
      <c r="H43" s="1234">
        <f>'P&amp;L'!E46</f>
        <v>0</v>
      </c>
    </row>
    <row r="44" spans="1:8" ht="26.25" customHeight="1">
      <c r="A44" s="1199" t="s">
        <v>2375</v>
      </c>
      <c r="B44" s="1717" t="s">
        <v>2554</v>
      </c>
      <c r="C44" s="1718"/>
      <c r="D44" s="1718"/>
      <c r="E44" s="1719"/>
      <c r="F44" s="1198" t="s">
        <v>921</v>
      </c>
      <c r="G44" s="1306">
        <f>'P&amp;L'!D47</f>
        <v>0</v>
      </c>
      <c r="H44" s="1234">
        <f>'P&amp;L'!E47</f>
        <v>31</v>
      </c>
    </row>
    <row r="45" spans="1:8" ht="24.75" customHeight="1">
      <c r="A45" s="1199" t="s">
        <v>2377</v>
      </c>
      <c r="B45" s="1717" t="s">
        <v>2555</v>
      </c>
      <c r="C45" s="1718"/>
      <c r="D45" s="1718"/>
      <c r="E45" s="1719"/>
      <c r="F45" s="1198" t="s">
        <v>924</v>
      </c>
      <c r="G45" s="1306">
        <f>'P&amp;L'!D48</f>
        <v>0</v>
      </c>
      <c r="H45" s="1234">
        <f>'P&amp;L'!E48</f>
        <v>0</v>
      </c>
    </row>
    <row r="46" spans="1:8" ht="27" customHeight="1">
      <c r="A46" s="1199" t="s">
        <v>532</v>
      </c>
      <c r="B46" s="1717" t="s">
        <v>2556</v>
      </c>
      <c r="C46" s="1718"/>
      <c r="D46" s="1718"/>
      <c r="E46" s="1719"/>
      <c r="F46" s="1198" t="s">
        <v>927</v>
      </c>
      <c r="G46" s="1306">
        <f>'P&amp;L'!D49</f>
        <v>0</v>
      </c>
      <c r="H46" s="1234">
        <f>'P&amp;L'!E49</f>
        <v>31</v>
      </c>
    </row>
    <row r="47" spans="1:8" ht="29.25" customHeight="1">
      <c r="A47" s="1199" t="s">
        <v>2379</v>
      </c>
      <c r="B47" s="1717" t="s">
        <v>1256</v>
      </c>
      <c r="C47" s="1718"/>
      <c r="D47" s="1718"/>
      <c r="E47" s="1719"/>
      <c r="F47" s="1198" t="s">
        <v>930</v>
      </c>
      <c r="G47" s="1306">
        <f>'P&amp;L'!D50</f>
        <v>46176</v>
      </c>
      <c r="H47" s="1234">
        <f>'P&amp;L'!E50</f>
        <v>29114</v>
      </c>
    </row>
    <row r="48" spans="1:8" ht="27.75" customHeight="1">
      <c r="A48" s="1199" t="s">
        <v>2380</v>
      </c>
      <c r="B48" s="1717" t="s">
        <v>2557</v>
      </c>
      <c r="C48" s="1718"/>
      <c r="D48" s="1718"/>
      <c r="E48" s="1719"/>
      <c r="F48" s="1198" t="s">
        <v>933</v>
      </c>
      <c r="G48" s="1306">
        <f>'P&amp;L'!D51</f>
        <v>0</v>
      </c>
      <c r="H48" s="1234">
        <f>'P&amp;L'!E51</f>
        <v>0</v>
      </c>
    </row>
    <row r="49" spans="1:8" ht="27.75" customHeight="1">
      <c r="A49" s="1199" t="s">
        <v>2381</v>
      </c>
      <c r="B49" s="1717" t="s">
        <v>1254</v>
      </c>
      <c r="C49" s="1718"/>
      <c r="D49" s="1718"/>
      <c r="E49" s="1719"/>
      <c r="F49" s="1198" t="s">
        <v>936</v>
      </c>
      <c r="G49" s="1306">
        <f>'P&amp;L'!D52</f>
        <v>0</v>
      </c>
      <c r="H49" s="1234">
        <f>'P&amp;L'!E52</f>
        <v>0</v>
      </c>
    </row>
    <row r="50" spans="1:8" ht="27.75" customHeight="1">
      <c r="A50" s="1200" t="s">
        <v>942</v>
      </c>
      <c r="B50" s="1712" t="s">
        <v>2558</v>
      </c>
      <c r="C50" s="1713"/>
      <c r="D50" s="1713"/>
      <c r="E50" s="1714"/>
      <c r="F50" s="1196" t="s">
        <v>939</v>
      </c>
      <c r="G50" s="1312">
        <f>'P&amp;L'!D53</f>
        <v>33910</v>
      </c>
      <c r="H50" s="1233">
        <f>'P&amp;L'!E53</f>
        <v>40476</v>
      </c>
    </row>
    <row r="51" spans="1:8" s="1240" customFormat="1" ht="29.25" customHeight="1">
      <c r="A51" s="1239" t="s">
        <v>904</v>
      </c>
      <c r="B51" s="1757" t="s">
        <v>1268</v>
      </c>
      <c r="C51" s="1758"/>
      <c r="D51" s="1758"/>
      <c r="E51" s="1759"/>
      <c r="F51" s="1198" t="s">
        <v>941</v>
      </c>
      <c r="G51" s="1306">
        <f>'P&amp;L'!D54</f>
        <v>0</v>
      </c>
      <c r="H51" s="1234">
        <f>'P&amp;L'!E54</f>
        <v>0</v>
      </c>
    </row>
    <row r="52" spans="1:8" s="1240" customFormat="1" ht="29.25" customHeight="1">
      <c r="A52" s="1239" t="s">
        <v>910</v>
      </c>
      <c r="B52" s="1748" t="s">
        <v>2559</v>
      </c>
      <c r="C52" s="1749"/>
      <c r="D52" s="1749"/>
      <c r="E52" s="1750"/>
      <c r="F52" s="1198" t="s">
        <v>944</v>
      </c>
      <c r="G52" s="1306">
        <f>'P&amp;L'!D55</f>
        <v>0</v>
      </c>
      <c r="H52" s="1234">
        <f>'P&amp;L'!E55</f>
        <v>0</v>
      </c>
    </row>
    <row r="53" spans="1:8" ht="30.75" customHeight="1">
      <c r="A53" s="1199" t="s">
        <v>913</v>
      </c>
      <c r="B53" s="1717" t="s">
        <v>2560</v>
      </c>
      <c r="C53" s="1718"/>
      <c r="D53" s="1718"/>
      <c r="E53" s="1719"/>
      <c r="F53" s="1198" t="s">
        <v>947</v>
      </c>
      <c r="G53" s="1306">
        <f>'P&amp;L'!D56</f>
        <v>0</v>
      </c>
      <c r="H53" s="1234">
        <f>'P&amp;L'!E56</f>
        <v>0</v>
      </c>
    </row>
    <row r="54" spans="1:8" ht="28.5" customHeight="1">
      <c r="A54" s="1241" t="s">
        <v>919</v>
      </c>
      <c r="B54" s="1717" t="s">
        <v>2561</v>
      </c>
      <c r="C54" s="1718"/>
      <c r="D54" s="1718"/>
      <c r="E54" s="1719"/>
      <c r="F54" s="1198" t="s">
        <v>950</v>
      </c>
      <c r="G54" s="1306">
        <f>'P&amp;L'!D57</f>
        <v>0</v>
      </c>
      <c r="H54" s="1234">
        <f>'P&amp;L'!E57</f>
        <v>0</v>
      </c>
    </row>
    <row r="55" spans="1:8" ht="28.5" customHeight="1">
      <c r="A55" s="1199" t="s">
        <v>2385</v>
      </c>
      <c r="B55" s="1717" t="s">
        <v>2562</v>
      </c>
      <c r="C55" s="1718"/>
      <c r="D55" s="1718"/>
      <c r="E55" s="1719"/>
      <c r="F55" s="1198" t="s">
        <v>952</v>
      </c>
      <c r="G55" s="1306">
        <f>'P&amp;L'!D58</f>
        <v>0</v>
      </c>
      <c r="H55" s="1234">
        <f>'P&amp;L'!E58</f>
        <v>0</v>
      </c>
    </row>
    <row r="56" spans="1:8" s="1240" customFormat="1" ht="31.5" customHeight="1">
      <c r="A56" s="1239" t="s">
        <v>532</v>
      </c>
      <c r="B56" s="1748" t="s">
        <v>2563</v>
      </c>
      <c r="C56" s="1749"/>
      <c r="D56" s="1749"/>
      <c r="E56" s="1750"/>
      <c r="F56" s="1198" t="s">
        <v>954</v>
      </c>
      <c r="G56" s="1306">
        <f>'P&amp;L'!D59</f>
        <v>0</v>
      </c>
      <c r="H56" s="1234">
        <f>'P&amp;L'!E59</f>
        <v>0</v>
      </c>
    </row>
    <row r="57" spans="1:8" ht="29.25" customHeight="1">
      <c r="A57" s="1199" t="s">
        <v>925</v>
      </c>
      <c r="B57" s="1717" t="s">
        <v>1255</v>
      </c>
      <c r="C57" s="1718"/>
      <c r="D57" s="1718"/>
      <c r="E57" s="1719"/>
      <c r="F57" s="1198" t="s">
        <v>957</v>
      </c>
      <c r="G57" s="1306">
        <f>'P&amp;L'!D60</f>
        <v>28482</v>
      </c>
      <c r="H57" s="1234">
        <f>'P&amp;L'!E60</f>
        <v>35174</v>
      </c>
    </row>
    <row r="58" spans="1:8" ht="28.5" customHeight="1">
      <c r="A58" s="1199" t="s">
        <v>931</v>
      </c>
      <c r="B58" s="1717" t="s">
        <v>2564</v>
      </c>
      <c r="C58" s="1718"/>
      <c r="D58" s="1718"/>
      <c r="E58" s="1719"/>
      <c r="F58" s="1198" t="s">
        <v>960</v>
      </c>
      <c r="G58" s="1306">
        <f>'P&amp;L'!D61</f>
        <v>0</v>
      </c>
      <c r="H58" s="1234">
        <f>'P&amp;L'!E61</f>
        <v>0</v>
      </c>
    </row>
    <row r="59" spans="1:8" ht="30.75" customHeight="1">
      <c r="A59" s="1199" t="s">
        <v>2387</v>
      </c>
      <c r="B59" s="1717" t="s">
        <v>2565</v>
      </c>
      <c r="C59" s="1718"/>
      <c r="D59" s="1718"/>
      <c r="E59" s="1719"/>
      <c r="F59" s="1198" t="s">
        <v>962</v>
      </c>
      <c r="G59" s="1306">
        <f>'P&amp;L'!D62</f>
        <v>5428</v>
      </c>
      <c r="H59" s="1234">
        <f>'P&amp;L'!E62</f>
        <v>5302</v>
      </c>
    </row>
    <row r="60" spans="1:8" ht="27.75" customHeight="1">
      <c r="A60" s="1200" t="s">
        <v>973</v>
      </c>
      <c r="B60" s="1712" t="s">
        <v>2566</v>
      </c>
      <c r="C60" s="1713"/>
      <c r="D60" s="1713"/>
      <c r="E60" s="1714"/>
      <c r="F60" s="1196" t="s">
        <v>965</v>
      </c>
      <c r="G60" s="1312">
        <f>'P&amp;L'!D63</f>
        <v>12266</v>
      </c>
      <c r="H60" s="1233">
        <f>'P&amp;L'!E63</f>
        <v>-11331</v>
      </c>
    </row>
    <row r="61" spans="1:8" ht="27.75" customHeight="1">
      <c r="A61" s="1242" t="s">
        <v>2389</v>
      </c>
      <c r="B61" s="1712" t="s">
        <v>2567</v>
      </c>
      <c r="C61" s="1713"/>
      <c r="D61" s="1713"/>
      <c r="E61" s="1714"/>
      <c r="F61" s="1196" t="s">
        <v>968</v>
      </c>
      <c r="G61" s="1312">
        <f>'P&amp;L'!D64</f>
        <v>212837</v>
      </c>
      <c r="H61" s="1233">
        <f>'P&amp;L'!E64</f>
        <v>338656</v>
      </c>
    </row>
    <row r="62" spans="1:8" ht="27.75" customHeight="1">
      <c r="A62" s="1199" t="s">
        <v>2391</v>
      </c>
      <c r="B62" s="1717" t="s">
        <v>2568</v>
      </c>
      <c r="C62" s="1718"/>
      <c r="D62" s="1718"/>
      <c r="E62" s="1719"/>
      <c r="F62" s="1198" t="s">
        <v>970</v>
      </c>
      <c r="G62" s="1306">
        <f>'P&amp;L'!D65</f>
        <v>53262</v>
      </c>
      <c r="H62" s="1234">
        <f>'P&amp;L'!E65</f>
        <v>65220</v>
      </c>
    </row>
    <row r="63" spans="1:8" s="1240" customFormat="1" ht="27.75" customHeight="1">
      <c r="A63" s="1243" t="s">
        <v>2393</v>
      </c>
      <c r="B63" s="1717" t="s">
        <v>2569</v>
      </c>
      <c r="C63" s="1718"/>
      <c r="D63" s="1718"/>
      <c r="E63" s="1719"/>
      <c r="F63" s="1305" t="s">
        <v>972</v>
      </c>
      <c r="G63" s="1306">
        <f>'P&amp;L'!D66</f>
        <v>125102</v>
      </c>
      <c r="H63" s="1234">
        <f>'P&amp;L'!E66</f>
        <v>156065</v>
      </c>
    </row>
    <row r="64" spans="1:8" s="1240" customFormat="1" ht="27.75" customHeight="1">
      <c r="A64" s="1199" t="s">
        <v>532</v>
      </c>
      <c r="B64" s="1717" t="s">
        <v>2570</v>
      </c>
      <c r="C64" s="1718"/>
      <c r="D64" s="1718"/>
      <c r="E64" s="1719"/>
      <c r="F64" s="1198" t="s">
        <v>975</v>
      </c>
      <c r="G64" s="1306">
        <f>'P&amp;L'!D67</f>
        <v>-71840</v>
      </c>
      <c r="H64" s="1234">
        <f>'P&amp;L'!E67</f>
        <v>-90845</v>
      </c>
    </row>
    <row r="65" spans="1:8" ht="27.75" customHeight="1">
      <c r="A65" s="1199" t="s">
        <v>945</v>
      </c>
      <c r="B65" s="1717" t="s">
        <v>2571</v>
      </c>
      <c r="C65" s="1718"/>
      <c r="D65" s="1718"/>
      <c r="E65" s="1719"/>
      <c r="F65" s="1198" t="s">
        <v>978</v>
      </c>
      <c r="G65" s="1306">
        <f>'P&amp;L'!D68</f>
        <v>0</v>
      </c>
      <c r="H65" s="1234">
        <f>'P&amp;L'!E68</f>
        <v>0</v>
      </c>
    </row>
    <row r="66" spans="1:8" s="1240" customFormat="1" ht="33" customHeight="1" thickBot="1">
      <c r="A66" s="1369" t="s">
        <v>2389</v>
      </c>
      <c r="B66" s="1754" t="s">
        <v>2572</v>
      </c>
      <c r="C66" s="1755"/>
      <c r="D66" s="1755"/>
      <c r="E66" s="1756"/>
      <c r="F66" s="1370" t="s">
        <v>980</v>
      </c>
      <c r="G66" s="1371">
        <f>'P&amp;L'!D69</f>
        <v>159575</v>
      </c>
      <c r="H66" s="1372">
        <f>'P&amp;L'!E69</f>
        <v>273436</v>
      </c>
    </row>
  </sheetData>
  <mergeCells count="63">
    <mergeCell ref="B34:E34"/>
    <mergeCell ref="B65:E65"/>
    <mergeCell ref="B66:E66"/>
    <mergeCell ref="B59:E59"/>
    <mergeCell ref="B60:E60"/>
    <mergeCell ref="B61:E61"/>
    <mergeCell ref="B62:E62"/>
    <mergeCell ref="B63:E63"/>
    <mergeCell ref="B64:E64"/>
    <mergeCell ref="B57:E57"/>
    <mergeCell ref="B58:E58"/>
    <mergeCell ref="B47:E47"/>
    <mergeCell ref="B48:E48"/>
    <mergeCell ref="B49:E49"/>
    <mergeCell ref="B50:E50"/>
    <mergeCell ref="B51:E51"/>
    <mergeCell ref="B29:E29"/>
    <mergeCell ref="B30:E30"/>
    <mergeCell ref="B31:E31"/>
    <mergeCell ref="B32:E32"/>
    <mergeCell ref="B33:E33"/>
    <mergeCell ref="B52:E52"/>
    <mergeCell ref="B53:E53"/>
    <mergeCell ref="B54:E54"/>
    <mergeCell ref="B55:E55"/>
    <mergeCell ref="B56:E56"/>
    <mergeCell ref="B24:E24"/>
    <mergeCell ref="B25:E25"/>
    <mergeCell ref="B26:E26"/>
    <mergeCell ref="B27:E27"/>
    <mergeCell ref="B28:E28"/>
    <mergeCell ref="B19:E19"/>
    <mergeCell ref="B20:E20"/>
    <mergeCell ref="B21:E21"/>
    <mergeCell ref="B22:E22"/>
    <mergeCell ref="B46:E46"/>
    <mergeCell ref="B36:E36"/>
    <mergeCell ref="B37:E37"/>
    <mergeCell ref="B38:E38"/>
    <mergeCell ref="B39:E39"/>
    <mergeCell ref="B40:E40"/>
    <mergeCell ref="B41:E41"/>
    <mergeCell ref="B42:E42"/>
    <mergeCell ref="B43:E43"/>
    <mergeCell ref="B44:E44"/>
    <mergeCell ref="B45:E45"/>
    <mergeCell ref="B35:E35"/>
    <mergeCell ref="B23:E23"/>
    <mergeCell ref="G4:H4"/>
    <mergeCell ref="B5:D5"/>
    <mergeCell ref="B17:E17"/>
    <mergeCell ref="B15:E15"/>
    <mergeCell ref="B14:E14"/>
    <mergeCell ref="B13:E13"/>
    <mergeCell ref="B12:E12"/>
    <mergeCell ref="B10:E10"/>
    <mergeCell ref="B9:E9"/>
    <mergeCell ref="B8:E8"/>
    <mergeCell ref="B7:E7"/>
    <mergeCell ref="B16:E16"/>
    <mergeCell ref="B11:E11"/>
    <mergeCell ref="B6:E6"/>
    <mergeCell ref="B18:E18"/>
  </mergeCells>
  <pageMargins left="0.74803149606299213" right="0.55118110236220474" top="0.39370078740157483" bottom="0.47244094488188981" header="0.39370078740157483" footer="0.19685039370078741"/>
  <pageSetup paperSize="9" scale="81" firstPageNumber="10" orientation="portrait" useFirstPageNumber="1" r:id="rId1"/>
  <headerFooter alignWithMargins="0">
    <oddHeader>&amp;LUZPODv14_&amp;P</oddHeader>
    <oddFooter>&amp;LMF SR č. 18009/2014&amp;RStrana &amp;P</oddFooter>
  </headerFooter>
  <rowBreaks count="2" manualBreakCount="2">
    <brk id="32" max="7" man="1"/>
    <brk id="59" max="7" man="1"/>
  </rowBreaks>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BK900"/>
  <sheetViews>
    <sheetView showGridLines="0" tabSelected="1" view="pageBreakPreview" zoomScale="115" zoomScaleNormal="115" zoomScaleSheetLayoutView="115" workbookViewId="0">
      <pane ySplit="1" topLeftCell="A29" activePane="bottomLeft" state="frozen"/>
      <selection pane="bottomLeft" activeCell="AD819" sqref="J808:AG819"/>
    </sheetView>
  </sheetViews>
  <sheetFormatPr defaultColWidth="9.140625" defaultRowHeight="14.25" customHeight="1"/>
  <cols>
    <col min="1" max="1" width="3.42578125" style="597" customWidth="1"/>
    <col min="2" max="2" width="1.5703125" style="18" customWidth="1"/>
    <col min="3" max="27" width="3.42578125" style="18" customWidth="1"/>
    <col min="28" max="28" width="4" style="18" customWidth="1"/>
    <col min="29" max="34" width="3.42578125" style="18" customWidth="1"/>
    <col min="35" max="16384" width="9.140625" style="18"/>
  </cols>
  <sheetData>
    <row r="1" spans="1:43" s="602" customFormat="1" ht="15.75" customHeight="1" thickBot="1">
      <c r="A1" s="772"/>
      <c r="B1" s="2131" t="s">
        <v>1394</v>
      </c>
      <c r="C1" s="2131"/>
      <c r="D1" s="2131"/>
      <c r="E1" s="2131"/>
      <c r="F1" s="2131"/>
      <c r="G1" s="2131"/>
      <c r="H1" s="2131"/>
      <c r="I1" s="2131"/>
      <c r="J1" s="2131"/>
      <c r="K1" s="2131"/>
      <c r="L1" s="2131"/>
      <c r="M1" s="2131"/>
      <c r="N1" s="2131"/>
      <c r="O1" s="2131"/>
      <c r="P1" s="2131"/>
      <c r="Q1" s="2131"/>
      <c r="R1" s="2131"/>
      <c r="S1" s="2131"/>
      <c r="T1" s="2131"/>
      <c r="U1" s="2131"/>
      <c r="V1" s="2131"/>
      <c r="W1" s="2131"/>
      <c r="X1" s="2131"/>
      <c r="Y1" s="2131"/>
      <c r="Z1" s="2131"/>
      <c r="AA1" s="2131"/>
      <c r="AB1" s="2131"/>
      <c r="AC1" s="2131"/>
      <c r="AD1" s="2131"/>
      <c r="AE1" s="2131"/>
      <c r="AF1" s="2131"/>
      <c r="AG1" s="2131"/>
      <c r="AH1" s="2132"/>
      <c r="AI1" s="2116" t="s">
        <v>1402</v>
      </c>
      <c r="AJ1" s="2117"/>
      <c r="AK1" s="2117"/>
      <c r="AL1" s="2117"/>
      <c r="AM1" s="2118"/>
      <c r="AN1" s="770"/>
      <c r="AO1" s="771" t="s">
        <v>1058</v>
      </c>
      <c r="AP1" s="629"/>
      <c r="AQ1" s="770"/>
    </row>
    <row r="2" spans="1:43" s="584" customFormat="1" ht="9" customHeight="1">
      <c r="A2" s="597"/>
      <c r="AI2" s="18"/>
      <c r="AJ2" s="18"/>
      <c r="AK2" s="18"/>
      <c r="AL2" s="18"/>
      <c r="AM2" s="18"/>
      <c r="AN2" s="18"/>
      <c r="AO2" s="18"/>
      <c r="AP2" s="18"/>
      <c r="AQ2" s="18"/>
    </row>
    <row r="3" spans="1:43" s="584" customFormat="1" ht="15" customHeight="1">
      <c r="A3" s="597"/>
      <c r="D3" s="922" t="s">
        <v>2679</v>
      </c>
      <c r="E3" s="920"/>
      <c r="F3" s="920"/>
      <c r="G3" s="920"/>
      <c r="H3" s="920"/>
      <c r="I3" s="920"/>
      <c r="J3" s="921"/>
      <c r="K3" s="930"/>
      <c r="L3" s="923" t="s">
        <v>1231</v>
      </c>
      <c r="M3" s="924" t="str">
        <f>MID('Input data'!$C$24,1,1)</f>
        <v>2</v>
      </c>
      <c r="N3" s="925" t="str">
        <f>MID('Input data'!$C$24,2,1)</f>
        <v>0</v>
      </c>
      <c r="O3" s="925" t="str">
        <f>MID('Input data'!$C$24,3,1)</f>
        <v>2</v>
      </c>
      <c r="P3" s="925" t="str">
        <f>MID('Input data'!$C$24,4,1)</f>
        <v>0</v>
      </c>
      <c r="Q3" s="925" t="str">
        <f>MID('Input data'!$C$24,5,1)</f>
        <v>3</v>
      </c>
      <c r="R3" s="925" t="str">
        <f>MID('Input data'!$C$24,6,1)</f>
        <v>1</v>
      </c>
      <c r="S3" s="925" t="str">
        <f>MID('Input data'!$C$24,7,1)</f>
        <v>9</v>
      </c>
      <c r="T3" s="925" t="str">
        <f>MID('Input data'!$C$24,8,1)</f>
        <v>8</v>
      </c>
      <c r="U3" s="925" t="str">
        <f>MID('Input data'!$C$24,9,1)</f>
        <v>2</v>
      </c>
      <c r="V3" s="926" t="str">
        <f>MID('Input data'!$C$24,10,1)</f>
        <v>9</v>
      </c>
      <c r="X3" s="923" t="s">
        <v>1074</v>
      </c>
      <c r="Y3" s="924" t="str">
        <f>MID('Input data'!$C$26,1,1)</f>
        <v>3</v>
      </c>
      <c r="Z3" s="925" t="str">
        <f>MID('Input data'!$C$26,2,1)</f>
        <v>1</v>
      </c>
      <c r="AA3" s="925" t="str">
        <f>MID('Input data'!$C$26,3,1)</f>
        <v>3</v>
      </c>
      <c r="AB3" s="925" t="str">
        <f>MID('Input data'!$C$26,4,1)</f>
        <v>6</v>
      </c>
      <c r="AC3" s="925" t="str">
        <f>MID('Input data'!$C$26,5,1)</f>
        <v>5</v>
      </c>
      <c r="AD3" s="925" t="str">
        <f>MID('Input data'!$C$26,6,1)</f>
        <v>5</v>
      </c>
      <c r="AE3" s="925" t="str">
        <f>MID('Input data'!$C$26,7,1)</f>
        <v>0</v>
      </c>
      <c r="AF3" s="926" t="str">
        <f>MID('Input data'!$C$26,8,1)</f>
        <v>7</v>
      </c>
      <c r="AG3" s="934"/>
      <c r="AH3" s="934"/>
      <c r="AI3" s="18"/>
      <c r="AJ3" s="18"/>
      <c r="AK3" s="18"/>
      <c r="AL3" s="18"/>
      <c r="AM3" s="18"/>
      <c r="AN3" s="18"/>
      <c r="AO3" s="18"/>
      <c r="AP3" s="18"/>
      <c r="AQ3" s="18"/>
    </row>
    <row r="4" spans="1:43" s="584" customFormat="1" ht="15" hidden="1" customHeight="1">
      <c r="A4" s="597"/>
      <c r="D4" s="933"/>
      <c r="E4" s="930"/>
      <c r="F4" s="930"/>
      <c r="G4" s="930"/>
      <c r="H4" s="930"/>
      <c r="I4" s="930"/>
      <c r="J4" s="930"/>
      <c r="K4" s="930"/>
      <c r="W4" s="923"/>
      <c r="X4" s="934"/>
      <c r="Y4" s="934"/>
      <c r="Z4" s="934"/>
      <c r="AA4" s="934"/>
      <c r="AB4" s="934"/>
      <c r="AC4" s="934"/>
      <c r="AD4" s="934"/>
      <c r="AE4" s="934"/>
      <c r="AF4" s="934"/>
      <c r="AG4" s="934"/>
      <c r="AI4" s="18"/>
      <c r="AJ4" s="18"/>
      <c r="AK4" s="18"/>
      <c r="AL4" s="18"/>
      <c r="AM4" s="18"/>
      <c r="AN4" s="18"/>
      <c r="AO4" s="18"/>
      <c r="AP4" s="18"/>
      <c r="AQ4" s="18"/>
    </row>
    <row r="5" spans="1:43" s="584" customFormat="1" ht="15" customHeight="1">
      <c r="A5" s="597"/>
      <c r="D5" s="933" t="str">
        <f>'Input data'!F3 &amp; "(do 8. marca 2018 Optocon technologies s. r. o.)"</f>
        <v>Foss Fibre Optics, s.r.o. 
(do 8. marca 2018 Optocon technologies s. r. o.)</v>
      </c>
      <c r="E5" s="930"/>
      <c r="F5" s="930"/>
      <c r="G5" s="930"/>
      <c r="H5" s="930"/>
      <c r="I5" s="930"/>
      <c r="J5" s="930"/>
      <c r="K5" s="930"/>
      <c r="W5" s="923"/>
      <c r="X5" s="934"/>
      <c r="Y5" s="934"/>
      <c r="Z5" s="934"/>
      <c r="AA5" s="934"/>
      <c r="AB5" s="934"/>
      <c r="AC5" s="934"/>
      <c r="AD5" s="934"/>
      <c r="AE5" s="934"/>
      <c r="AF5" s="934"/>
      <c r="AG5" s="934"/>
      <c r="AI5" s="18"/>
      <c r="AJ5" s="18"/>
      <c r="AK5" s="18"/>
      <c r="AL5" s="18"/>
      <c r="AM5" s="18"/>
      <c r="AN5" s="18"/>
      <c r="AO5" s="18"/>
      <c r="AP5" s="18"/>
      <c r="AQ5" s="18"/>
    </row>
    <row r="6" spans="1:43" s="584" customFormat="1" ht="21.75" customHeight="1">
      <c r="A6" s="597"/>
      <c r="AI6" s="18"/>
      <c r="AJ6" s="18"/>
      <c r="AK6" s="18"/>
      <c r="AL6" s="18"/>
      <c r="AM6" s="18"/>
      <c r="AN6" s="18"/>
      <c r="AO6" s="18"/>
      <c r="AP6" s="18"/>
      <c r="AQ6" s="18"/>
    </row>
    <row r="7" spans="1:43" s="584" customFormat="1">
      <c r="A7" s="597"/>
      <c r="D7" s="582" t="s">
        <v>1333</v>
      </c>
      <c r="AI7" s="18"/>
      <c r="AJ7" s="18"/>
      <c r="AK7" s="18"/>
      <c r="AL7" s="18"/>
      <c r="AM7" s="18"/>
      <c r="AN7" s="18"/>
      <c r="AO7" s="18"/>
      <c r="AP7" s="18"/>
      <c r="AQ7" s="18"/>
    </row>
    <row r="8" spans="1:43" s="584" customFormat="1">
      <c r="A8" s="597"/>
      <c r="D8" s="582"/>
      <c r="AI8" s="18"/>
      <c r="AJ8" s="18"/>
      <c r="AK8" s="18"/>
      <c r="AL8" s="18"/>
      <c r="AM8" s="18"/>
      <c r="AN8" s="18"/>
      <c r="AO8" s="18"/>
      <c r="AP8" s="18"/>
      <c r="AQ8" s="18"/>
    </row>
    <row r="9" spans="1:43" s="584" customFormat="1" ht="15" customHeight="1">
      <c r="A9" s="597"/>
      <c r="D9" s="1884" t="s">
        <v>2984</v>
      </c>
      <c r="E9" s="1885"/>
      <c r="F9" s="1885"/>
      <c r="G9" s="1885"/>
      <c r="H9" s="1885"/>
      <c r="I9" s="1885"/>
      <c r="J9" s="1885"/>
      <c r="K9" s="1885"/>
      <c r="L9" s="1885"/>
      <c r="M9" s="1885"/>
      <c r="N9" s="1885"/>
      <c r="O9" s="1885"/>
      <c r="P9" s="1885"/>
      <c r="Q9" s="1885"/>
      <c r="R9" s="1885"/>
      <c r="S9" s="1885"/>
      <c r="T9" s="1885"/>
      <c r="U9" s="1885"/>
      <c r="V9" s="1885"/>
      <c r="W9" s="1885"/>
      <c r="X9" s="1885"/>
      <c r="Y9" s="1885"/>
      <c r="Z9" s="1885"/>
      <c r="AA9" s="1885"/>
      <c r="AB9" s="1885"/>
      <c r="AC9" s="1885"/>
      <c r="AD9" s="1885"/>
      <c r="AE9" s="1885"/>
      <c r="AF9" s="1885"/>
      <c r="AG9" s="1885"/>
      <c r="AI9" s="18"/>
      <c r="AJ9" s="18"/>
      <c r="AK9" s="18"/>
      <c r="AL9" s="18"/>
      <c r="AM9" s="18"/>
      <c r="AN9" s="18"/>
      <c r="AO9" s="18"/>
      <c r="AP9" s="18"/>
      <c r="AQ9" s="18"/>
    </row>
    <row r="10" spans="1:43" s="584" customFormat="1">
      <c r="A10" s="597"/>
      <c r="D10" s="1885"/>
      <c r="E10" s="1885"/>
      <c r="F10" s="1885"/>
      <c r="G10" s="1885"/>
      <c r="H10" s="1885"/>
      <c r="I10" s="1885"/>
      <c r="J10" s="1885"/>
      <c r="K10" s="1885"/>
      <c r="L10" s="1885"/>
      <c r="M10" s="1885"/>
      <c r="N10" s="1885"/>
      <c r="O10" s="1885"/>
      <c r="P10" s="1885"/>
      <c r="Q10" s="1885"/>
      <c r="R10" s="1885"/>
      <c r="S10" s="1885"/>
      <c r="T10" s="1885"/>
      <c r="U10" s="1885"/>
      <c r="V10" s="1885"/>
      <c r="W10" s="1885"/>
      <c r="X10" s="1885"/>
      <c r="Y10" s="1885"/>
      <c r="Z10" s="1885"/>
      <c r="AA10" s="1885"/>
      <c r="AB10" s="1885"/>
      <c r="AC10" s="1885"/>
      <c r="AD10" s="1885"/>
      <c r="AE10" s="1885"/>
      <c r="AF10" s="1885"/>
      <c r="AG10" s="1885"/>
      <c r="AI10" s="18"/>
      <c r="AJ10" s="18"/>
      <c r="AK10" s="18"/>
      <c r="AL10" s="18"/>
      <c r="AM10" s="18"/>
      <c r="AN10" s="18"/>
      <c r="AO10" s="18"/>
      <c r="AP10" s="18"/>
      <c r="AQ10" s="18"/>
    </row>
    <row r="11" spans="1:43" s="584" customFormat="1">
      <c r="A11" s="597"/>
      <c r="D11" s="1885"/>
      <c r="E11" s="1885"/>
      <c r="F11" s="1885"/>
      <c r="G11" s="1885"/>
      <c r="H11" s="1885"/>
      <c r="I11" s="1885"/>
      <c r="J11" s="1885"/>
      <c r="K11" s="1885"/>
      <c r="L11" s="1885"/>
      <c r="M11" s="1885"/>
      <c r="N11" s="1885"/>
      <c r="O11" s="1885"/>
      <c r="P11" s="1885"/>
      <c r="Q11" s="1885"/>
      <c r="R11" s="1885"/>
      <c r="S11" s="1885"/>
      <c r="T11" s="1885"/>
      <c r="U11" s="1885"/>
      <c r="V11" s="1885"/>
      <c r="W11" s="1885"/>
      <c r="X11" s="1885"/>
      <c r="Y11" s="1885"/>
      <c r="Z11" s="1885"/>
      <c r="AA11" s="1885"/>
      <c r="AB11" s="1885"/>
      <c r="AC11" s="1885"/>
      <c r="AD11" s="1885"/>
      <c r="AE11" s="1885"/>
      <c r="AF11" s="1885"/>
      <c r="AG11" s="1885"/>
      <c r="AI11" s="18"/>
      <c r="AJ11" s="18"/>
      <c r="AK11" s="18"/>
      <c r="AL11" s="18"/>
      <c r="AM11" s="18"/>
      <c r="AN11" s="18"/>
      <c r="AO11" s="18"/>
      <c r="AP11" s="18"/>
      <c r="AQ11" s="18"/>
    </row>
    <row r="12" spans="1:43" s="584" customFormat="1">
      <c r="A12" s="597"/>
      <c r="D12" s="1885"/>
      <c r="E12" s="1885"/>
      <c r="F12" s="1885"/>
      <c r="G12" s="1885"/>
      <c r="H12" s="1885"/>
      <c r="I12" s="1885"/>
      <c r="J12" s="1885"/>
      <c r="K12" s="1885"/>
      <c r="L12" s="1885"/>
      <c r="M12" s="1885"/>
      <c r="N12" s="1885"/>
      <c r="O12" s="1885"/>
      <c r="P12" s="1885"/>
      <c r="Q12" s="1885"/>
      <c r="R12" s="1885"/>
      <c r="S12" s="1885"/>
      <c r="T12" s="1885"/>
      <c r="U12" s="1885"/>
      <c r="V12" s="1885"/>
      <c r="W12" s="1885"/>
      <c r="X12" s="1885"/>
      <c r="Y12" s="1885"/>
      <c r="Z12" s="1885"/>
      <c r="AA12" s="1885"/>
      <c r="AB12" s="1885"/>
      <c r="AC12" s="1885"/>
      <c r="AD12" s="1885"/>
      <c r="AE12" s="1885"/>
      <c r="AF12" s="1885"/>
      <c r="AG12" s="1885"/>
      <c r="AI12" s="18"/>
      <c r="AJ12" s="18"/>
      <c r="AK12" s="18"/>
      <c r="AL12" s="18"/>
      <c r="AM12" s="18"/>
      <c r="AN12" s="18"/>
      <c r="AO12" s="18"/>
      <c r="AP12" s="18"/>
      <c r="AQ12" s="18"/>
    </row>
    <row r="13" spans="1:43" s="584" customFormat="1">
      <c r="A13" s="597"/>
      <c r="AI13" s="18"/>
      <c r="AJ13" s="18"/>
      <c r="AK13" s="18"/>
      <c r="AL13" s="18"/>
      <c r="AM13" s="18"/>
      <c r="AN13" s="18"/>
      <c r="AO13" s="18"/>
      <c r="AP13" s="18"/>
      <c r="AQ13" s="18"/>
    </row>
    <row r="14" spans="1:43" s="584" customFormat="1" ht="29.25" customHeight="1">
      <c r="A14" s="597"/>
      <c r="D14" s="2099" t="s">
        <v>2887</v>
      </c>
      <c r="E14" s="2102"/>
      <c r="F14" s="2102"/>
      <c r="G14" s="2102"/>
      <c r="H14" s="2102"/>
      <c r="I14" s="2102"/>
      <c r="J14" s="2102"/>
      <c r="K14" s="2102"/>
      <c r="L14" s="2102"/>
      <c r="M14" s="2102"/>
      <c r="N14" s="2102"/>
      <c r="O14" s="2102"/>
      <c r="P14" s="2102"/>
      <c r="Q14" s="2102"/>
      <c r="R14" s="2102"/>
      <c r="S14" s="2102"/>
      <c r="T14" s="2102"/>
      <c r="U14" s="2102"/>
      <c r="V14" s="2102"/>
      <c r="W14" s="2102"/>
      <c r="X14" s="2102"/>
      <c r="Y14" s="2102"/>
      <c r="Z14" s="2102"/>
      <c r="AA14" s="2102"/>
      <c r="AB14" s="2102"/>
      <c r="AC14" s="2102"/>
      <c r="AD14" s="2102"/>
      <c r="AE14" s="2102"/>
      <c r="AF14" s="2102"/>
      <c r="AG14" s="2102"/>
      <c r="AI14" s="18"/>
      <c r="AJ14" s="18"/>
      <c r="AK14" s="18"/>
      <c r="AL14" s="18"/>
      <c r="AM14" s="18"/>
      <c r="AN14" s="18"/>
      <c r="AO14" s="18"/>
      <c r="AP14" s="18"/>
      <c r="AQ14" s="18"/>
    </row>
    <row r="15" spans="1:43" s="584" customFormat="1">
      <c r="A15" s="597"/>
      <c r="D15" s="2083"/>
      <c r="E15" s="2083"/>
      <c r="F15" s="2083"/>
      <c r="G15" s="2083"/>
      <c r="H15" s="2083"/>
      <c r="I15" s="2083"/>
      <c r="J15" s="2083"/>
      <c r="K15" s="2083"/>
      <c r="L15" s="2083"/>
      <c r="M15" s="2083"/>
      <c r="N15" s="2083"/>
      <c r="O15" s="2083"/>
      <c r="P15" s="2083"/>
      <c r="Q15" s="2083"/>
      <c r="R15" s="2083"/>
      <c r="S15" s="2083"/>
      <c r="T15" s="2083"/>
      <c r="U15" s="2083"/>
      <c r="V15" s="2083"/>
      <c r="W15" s="2083"/>
      <c r="X15" s="2083"/>
      <c r="Y15" s="2083"/>
      <c r="Z15" s="2083"/>
      <c r="AA15" s="2083"/>
      <c r="AB15" s="2083"/>
      <c r="AC15" s="2083"/>
      <c r="AD15" s="2083"/>
      <c r="AE15" s="2083"/>
      <c r="AF15" s="2083"/>
      <c r="AG15" s="2083"/>
      <c r="AI15" s="18"/>
      <c r="AJ15" s="18"/>
      <c r="AK15" s="18"/>
      <c r="AL15" s="18"/>
      <c r="AM15" s="18"/>
      <c r="AN15" s="18"/>
      <c r="AO15" s="18"/>
      <c r="AP15" s="18"/>
      <c r="AQ15" s="18"/>
    </row>
    <row r="16" spans="1:43" s="584" customFormat="1">
      <c r="A16" s="597"/>
      <c r="D16" s="2083" t="s">
        <v>2722</v>
      </c>
      <c r="E16" s="2083"/>
      <c r="F16" s="2083"/>
      <c r="G16" s="2083"/>
      <c r="H16" s="2083"/>
      <c r="I16" s="2083"/>
      <c r="J16" s="2083"/>
      <c r="K16" s="2083"/>
      <c r="L16" s="2083"/>
      <c r="M16" s="2083"/>
      <c r="N16" s="2083"/>
      <c r="O16" s="2083"/>
      <c r="P16" s="2083"/>
      <c r="Q16" s="2083"/>
      <c r="R16" s="2083"/>
      <c r="S16" s="2083"/>
      <c r="T16" s="2083"/>
      <c r="U16" s="2083"/>
      <c r="V16" s="2083"/>
      <c r="W16" s="2083"/>
      <c r="X16" s="2083"/>
      <c r="Y16" s="2083"/>
      <c r="Z16" s="2083"/>
      <c r="AA16" s="2083"/>
      <c r="AB16" s="2083"/>
      <c r="AC16" s="2083"/>
      <c r="AD16" s="2083"/>
      <c r="AE16" s="2083"/>
      <c r="AF16" s="2083"/>
      <c r="AG16" s="2083"/>
      <c r="AI16" s="18"/>
      <c r="AJ16" s="18"/>
      <c r="AK16" s="18"/>
      <c r="AL16" s="18"/>
      <c r="AM16" s="18"/>
      <c r="AN16" s="18"/>
      <c r="AO16" s="18"/>
      <c r="AP16" s="18"/>
      <c r="AQ16" s="18"/>
    </row>
    <row r="17" spans="1:43" s="584" customFormat="1">
      <c r="A17" s="597"/>
      <c r="AI17" s="18"/>
      <c r="AJ17" s="18"/>
      <c r="AK17" s="18"/>
      <c r="AL17" s="18"/>
      <c r="AM17" s="18"/>
      <c r="AN17" s="18"/>
      <c r="AO17" s="18"/>
      <c r="AP17" s="18"/>
      <c r="AQ17" s="18"/>
    </row>
    <row r="18" spans="1:43" s="584" customFormat="1">
      <c r="A18" s="597"/>
      <c r="D18" s="596" t="s">
        <v>1330</v>
      </c>
      <c r="AI18" s="18"/>
      <c r="AJ18" s="18"/>
      <c r="AK18" s="18"/>
      <c r="AL18" s="18"/>
      <c r="AM18" s="18"/>
      <c r="AN18" s="18"/>
      <c r="AO18" s="18"/>
      <c r="AP18" s="18"/>
      <c r="AQ18" s="18"/>
    </row>
    <row r="19" spans="1:43" s="584" customFormat="1">
      <c r="A19" s="597"/>
      <c r="D19" s="2133" t="s">
        <v>2723</v>
      </c>
      <c r="E19" s="2133"/>
      <c r="F19" s="2133"/>
      <c r="G19" s="2133"/>
      <c r="H19" s="2133"/>
      <c r="I19" s="2133"/>
      <c r="J19" s="2133"/>
      <c r="K19" s="2133"/>
      <c r="L19" s="2133"/>
      <c r="M19" s="2133"/>
      <c r="N19" s="2133"/>
      <c r="O19" s="2133"/>
      <c r="P19" s="2133"/>
      <c r="Q19" s="2133"/>
      <c r="R19" s="2133"/>
      <c r="S19" s="2133"/>
      <c r="T19" s="2133"/>
      <c r="U19" s="2133"/>
      <c r="V19" s="2133"/>
      <c r="W19" s="2133"/>
      <c r="X19" s="2133"/>
      <c r="Y19" s="2133"/>
      <c r="Z19" s="2133"/>
      <c r="AA19" s="2133"/>
      <c r="AB19" s="2133"/>
      <c r="AC19" s="2133"/>
      <c r="AD19" s="2133"/>
      <c r="AE19" s="2133"/>
      <c r="AF19" s="2133"/>
      <c r="AG19" s="2133"/>
      <c r="AI19" s="18"/>
      <c r="AJ19" s="18"/>
      <c r="AK19" s="18"/>
      <c r="AL19" s="18"/>
      <c r="AM19" s="18"/>
      <c r="AN19" s="18"/>
      <c r="AO19" s="18"/>
      <c r="AP19" s="18"/>
      <c r="AQ19" s="18"/>
    </row>
    <row r="20" spans="1:43" s="584" customFormat="1">
      <c r="A20" s="597"/>
      <c r="D20" s="2133" t="s">
        <v>2726</v>
      </c>
      <c r="E20" s="2133"/>
      <c r="F20" s="2133"/>
      <c r="G20" s="2133"/>
      <c r="H20" s="2133"/>
      <c r="I20" s="2133"/>
      <c r="J20" s="2133"/>
      <c r="K20" s="2133"/>
      <c r="L20" s="2133"/>
      <c r="M20" s="2133"/>
      <c r="N20" s="2133"/>
      <c r="O20" s="2133"/>
      <c r="P20" s="2133"/>
      <c r="Q20" s="2133"/>
      <c r="R20" s="2133"/>
      <c r="S20" s="2133"/>
      <c r="T20" s="2133"/>
      <c r="U20" s="2133"/>
      <c r="V20" s="2133"/>
      <c r="W20" s="2133"/>
      <c r="X20" s="2133"/>
      <c r="Y20" s="2133"/>
      <c r="Z20" s="2133"/>
      <c r="AA20" s="2133"/>
      <c r="AB20" s="2133"/>
      <c r="AC20" s="2133"/>
      <c r="AD20" s="2133"/>
      <c r="AE20" s="2133"/>
      <c r="AF20" s="2133"/>
      <c r="AG20" s="2133"/>
      <c r="AI20" s="18"/>
      <c r="AJ20" s="18"/>
      <c r="AK20" s="18"/>
      <c r="AL20" s="18"/>
      <c r="AM20" s="18"/>
      <c r="AN20" s="18"/>
      <c r="AO20" s="18"/>
      <c r="AP20" s="18"/>
      <c r="AQ20" s="18"/>
    </row>
    <row r="21" spans="1:43" s="584" customFormat="1">
      <c r="A21" s="597"/>
      <c r="D21" s="2133" t="s">
        <v>2724</v>
      </c>
      <c r="E21" s="2133"/>
      <c r="F21" s="2133"/>
      <c r="G21" s="2133"/>
      <c r="H21" s="2133"/>
      <c r="I21" s="2133"/>
      <c r="J21" s="2133"/>
      <c r="K21" s="2133"/>
      <c r="L21" s="2133"/>
      <c r="M21" s="2133"/>
      <c r="N21" s="2133"/>
      <c r="O21" s="2133"/>
      <c r="P21" s="2133"/>
      <c r="Q21" s="2133"/>
      <c r="R21" s="2133"/>
      <c r="S21" s="2133"/>
      <c r="T21" s="2133"/>
      <c r="U21" s="2133"/>
      <c r="V21" s="2133"/>
      <c r="W21" s="2133"/>
      <c r="X21" s="2133"/>
      <c r="Y21" s="2133"/>
      <c r="Z21" s="2133"/>
      <c r="AA21" s="2133"/>
      <c r="AB21" s="2133"/>
      <c r="AC21" s="2133"/>
      <c r="AD21" s="2133"/>
      <c r="AE21" s="2133"/>
      <c r="AF21" s="2133"/>
      <c r="AG21" s="2133"/>
      <c r="AI21" s="18"/>
      <c r="AJ21" s="18"/>
      <c r="AK21" s="18"/>
      <c r="AL21" s="18"/>
      <c r="AM21" s="18"/>
      <c r="AN21" s="18"/>
      <c r="AO21" s="18"/>
      <c r="AP21" s="18"/>
      <c r="AQ21" s="18"/>
    </row>
    <row r="22" spans="1:43" s="584" customFormat="1">
      <c r="A22" s="597"/>
      <c r="D22" s="2133" t="s">
        <v>2725</v>
      </c>
      <c r="E22" s="2133"/>
      <c r="F22" s="2133"/>
      <c r="G22" s="2133"/>
      <c r="H22" s="2133"/>
      <c r="I22" s="2133"/>
      <c r="J22" s="2133"/>
      <c r="K22" s="2133"/>
      <c r="L22" s="2133"/>
      <c r="M22" s="2133"/>
      <c r="N22" s="2133"/>
      <c r="O22" s="2133"/>
      <c r="P22" s="2133"/>
      <c r="Q22" s="2133"/>
      <c r="R22" s="2133"/>
      <c r="S22" s="2133"/>
      <c r="T22" s="2133"/>
      <c r="U22" s="2133"/>
      <c r="V22" s="2133"/>
      <c r="W22" s="2133"/>
      <c r="X22" s="2133"/>
      <c r="Y22" s="2133"/>
      <c r="Z22" s="2133"/>
      <c r="AA22" s="2133"/>
      <c r="AB22" s="2133"/>
      <c r="AC22" s="2133"/>
      <c r="AD22" s="2133"/>
      <c r="AE22" s="2133"/>
      <c r="AF22" s="2133"/>
      <c r="AG22" s="2133"/>
      <c r="AI22" s="18"/>
      <c r="AJ22" s="18"/>
      <c r="AK22" s="18"/>
      <c r="AL22" s="18"/>
      <c r="AM22" s="18"/>
      <c r="AN22" s="18"/>
      <c r="AO22" s="18"/>
      <c r="AP22" s="18"/>
      <c r="AQ22" s="18"/>
    </row>
    <row r="23" spans="1:43" s="584" customFormat="1">
      <c r="A23" s="597"/>
      <c r="AI23" s="18"/>
      <c r="AJ23" s="18"/>
      <c r="AK23" s="18"/>
      <c r="AL23" s="18"/>
      <c r="AM23" s="18"/>
      <c r="AN23" s="18"/>
      <c r="AO23" s="18"/>
      <c r="AP23" s="18"/>
      <c r="AQ23" s="18"/>
    </row>
    <row r="24" spans="1:43" s="584" customFormat="1">
      <c r="A24" s="597"/>
      <c r="D24" s="917" t="s">
        <v>2985</v>
      </c>
      <c r="AI24" s="18"/>
      <c r="AJ24" s="18"/>
      <c r="AK24" s="18"/>
      <c r="AL24" s="18"/>
      <c r="AM24" s="18"/>
      <c r="AN24" s="18"/>
      <c r="AO24" s="18"/>
      <c r="AP24" s="18"/>
      <c r="AQ24" s="18"/>
    </row>
    <row r="25" spans="1:43" s="584" customFormat="1" ht="15" thickBot="1">
      <c r="A25" s="597"/>
      <c r="AI25" s="18"/>
      <c r="AJ25" s="18"/>
      <c r="AK25" s="18"/>
      <c r="AL25" s="18"/>
      <c r="AM25" s="18"/>
      <c r="AN25" s="18"/>
      <c r="AO25" s="18"/>
      <c r="AP25" s="18"/>
      <c r="AQ25" s="18"/>
    </row>
    <row r="26" spans="1:43" s="584" customFormat="1" ht="34.5" customHeight="1" thickBot="1">
      <c r="A26" s="597"/>
      <c r="D26" s="2120" t="s">
        <v>1</v>
      </c>
      <c r="E26" s="2120"/>
      <c r="F26" s="2120"/>
      <c r="G26" s="2120"/>
      <c r="H26" s="2120"/>
      <c r="I26" s="2120"/>
      <c r="J26" s="2120"/>
      <c r="K26" s="2120"/>
      <c r="L26" s="2120"/>
      <c r="M26" s="2120"/>
      <c r="N26" s="2120"/>
      <c r="O26" s="2120"/>
      <c r="P26" s="2120" t="s">
        <v>2</v>
      </c>
      <c r="Q26" s="2120"/>
      <c r="R26" s="2120"/>
      <c r="S26" s="2120"/>
      <c r="T26" s="2120"/>
      <c r="U26" s="2120"/>
      <c r="V26" s="2120"/>
      <c r="W26" s="2120"/>
      <c r="X26" s="2120"/>
      <c r="Y26" s="2120" t="s">
        <v>3</v>
      </c>
      <c r="Z26" s="2120"/>
      <c r="AA26" s="2120"/>
      <c r="AB26" s="2120"/>
      <c r="AC26" s="2120"/>
      <c r="AD26" s="2120"/>
      <c r="AE26" s="2120"/>
      <c r="AF26" s="2120"/>
      <c r="AG26" s="2120"/>
      <c r="AI26" s="18"/>
      <c r="AJ26" s="18"/>
      <c r="AK26" s="18"/>
      <c r="AL26" s="18"/>
      <c r="AM26" s="18"/>
      <c r="AN26" s="18"/>
      <c r="AO26" s="18"/>
      <c r="AP26" s="18"/>
      <c r="AQ26" s="18"/>
    </row>
    <row r="27" spans="1:43" s="584" customFormat="1" ht="30" customHeight="1">
      <c r="A27" s="597"/>
      <c r="D27" s="2123" t="s">
        <v>4</v>
      </c>
      <c r="E27" s="2123"/>
      <c r="F27" s="2123"/>
      <c r="G27" s="2123"/>
      <c r="H27" s="2123"/>
      <c r="I27" s="2123"/>
      <c r="J27" s="2123"/>
      <c r="K27" s="2123"/>
      <c r="L27" s="2123"/>
      <c r="M27" s="2123"/>
      <c r="N27" s="2123"/>
      <c r="O27" s="2123"/>
      <c r="P27" s="1871">
        <v>52</v>
      </c>
      <c r="Q27" s="1871"/>
      <c r="R27" s="1871"/>
      <c r="S27" s="1871"/>
      <c r="T27" s="1871"/>
      <c r="U27" s="1871"/>
      <c r="V27" s="1871"/>
      <c r="W27" s="1871"/>
      <c r="X27" s="1871"/>
      <c r="Y27" s="1871">
        <v>56.5</v>
      </c>
      <c r="Z27" s="1871"/>
      <c r="AA27" s="1871"/>
      <c r="AB27" s="1871"/>
      <c r="AC27" s="1871"/>
      <c r="AD27" s="1871"/>
      <c r="AE27" s="1871"/>
      <c r="AF27" s="1871"/>
      <c r="AG27" s="1871"/>
      <c r="AI27" s="18"/>
      <c r="AJ27" s="18"/>
      <c r="AK27" s="18"/>
      <c r="AL27" s="18"/>
      <c r="AM27" s="18"/>
      <c r="AN27" s="18"/>
      <c r="AO27" s="18"/>
      <c r="AP27" s="18"/>
      <c r="AQ27" s="18"/>
    </row>
    <row r="28" spans="1:43" s="584" customFormat="1" ht="30" customHeight="1">
      <c r="A28" s="597"/>
      <c r="D28" s="2122" t="s">
        <v>5</v>
      </c>
      <c r="E28" s="2122"/>
      <c r="F28" s="2122"/>
      <c r="G28" s="2122"/>
      <c r="H28" s="2122"/>
      <c r="I28" s="2122"/>
      <c r="J28" s="2122"/>
      <c r="K28" s="2122"/>
      <c r="L28" s="2122"/>
      <c r="M28" s="2122"/>
      <c r="N28" s="2122"/>
      <c r="O28" s="2122"/>
      <c r="P28" s="1822">
        <v>51</v>
      </c>
      <c r="Q28" s="1822"/>
      <c r="R28" s="1822"/>
      <c r="S28" s="1822"/>
      <c r="T28" s="1822"/>
      <c r="U28" s="1822"/>
      <c r="V28" s="1822"/>
      <c r="W28" s="1822"/>
      <c r="X28" s="1822"/>
      <c r="Y28" s="1822">
        <v>55</v>
      </c>
      <c r="Z28" s="1822"/>
      <c r="AA28" s="1822"/>
      <c r="AB28" s="1822"/>
      <c r="AC28" s="1822"/>
      <c r="AD28" s="1822"/>
      <c r="AE28" s="1822"/>
      <c r="AF28" s="1822"/>
      <c r="AG28" s="1822"/>
      <c r="AI28" s="18"/>
      <c r="AJ28" s="18"/>
      <c r="AK28" s="18"/>
      <c r="AL28" s="18"/>
      <c r="AM28" s="18"/>
      <c r="AN28" s="18"/>
      <c r="AO28" s="18"/>
      <c r="AP28" s="18"/>
      <c r="AQ28" s="18"/>
    </row>
    <row r="29" spans="1:43" s="584" customFormat="1" ht="30" customHeight="1" thickBot="1">
      <c r="A29" s="597"/>
      <c r="D29" s="2121" t="s">
        <v>6</v>
      </c>
      <c r="E29" s="2121"/>
      <c r="F29" s="2121"/>
      <c r="G29" s="2121"/>
      <c r="H29" s="2121"/>
      <c r="I29" s="2121"/>
      <c r="J29" s="2121"/>
      <c r="K29" s="2121"/>
      <c r="L29" s="2121"/>
      <c r="M29" s="2121"/>
      <c r="N29" s="2121"/>
      <c r="O29" s="2121"/>
      <c r="P29" s="2119">
        <v>3</v>
      </c>
      <c r="Q29" s="2119"/>
      <c r="R29" s="2119"/>
      <c r="S29" s="2119"/>
      <c r="T29" s="2119"/>
      <c r="U29" s="2119"/>
      <c r="V29" s="2119"/>
      <c r="W29" s="2119"/>
      <c r="X29" s="2119"/>
      <c r="Y29" s="2119">
        <v>3</v>
      </c>
      <c r="Z29" s="2119"/>
      <c r="AA29" s="2119"/>
      <c r="AB29" s="2119"/>
      <c r="AC29" s="2119"/>
      <c r="AD29" s="2119"/>
      <c r="AE29" s="2119"/>
      <c r="AF29" s="2119"/>
      <c r="AG29" s="2119"/>
      <c r="AI29" s="18"/>
      <c r="AJ29" s="18"/>
      <c r="AK29" s="18"/>
      <c r="AL29" s="18"/>
      <c r="AM29" s="18"/>
      <c r="AN29" s="18"/>
      <c r="AO29" s="18"/>
      <c r="AP29" s="18"/>
      <c r="AQ29" s="18"/>
    </row>
    <row r="30" spans="1:43" s="584" customFormat="1">
      <c r="A30" s="597"/>
      <c r="AI30" s="18"/>
      <c r="AJ30" s="18"/>
      <c r="AK30" s="18"/>
      <c r="AL30" s="18"/>
      <c r="AM30" s="18"/>
      <c r="AN30" s="18"/>
      <c r="AO30" s="18"/>
      <c r="AP30" s="18"/>
      <c r="AQ30" s="18"/>
    </row>
    <row r="31" spans="1:43" s="584" customFormat="1" ht="15" customHeight="1">
      <c r="A31" s="597"/>
      <c r="D31" s="1884" t="s">
        <v>2986</v>
      </c>
      <c r="E31" s="1884"/>
      <c r="F31" s="1884"/>
      <c r="G31" s="1884"/>
      <c r="H31" s="1884"/>
      <c r="I31" s="1884"/>
      <c r="J31" s="1884"/>
      <c r="K31" s="1884"/>
      <c r="L31" s="1884"/>
      <c r="M31" s="1884"/>
      <c r="N31" s="1884"/>
      <c r="O31" s="1884"/>
      <c r="P31" s="1884"/>
      <c r="Q31" s="1884"/>
      <c r="R31" s="1884"/>
      <c r="S31" s="1884"/>
      <c r="T31" s="1884"/>
      <c r="U31" s="1884"/>
      <c r="V31" s="1884"/>
      <c r="W31" s="1884"/>
      <c r="X31" s="1884"/>
      <c r="Y31" s="1884"/>
      <c r="Z31" s="1884"/>
      <c r="AA31" s="1884"/>
      <c r="AB31" s="1884"/>
      <c r="AC31" s="1884"/>
      <c r="AD31" s="1884"/>
      <c r="AE31" s="1884"/>
      <c r="AF31" s="1884"/>
      <c r="AG31" s="1884"/>
      <c r="AI31" s="18"/>
      <c r="AJ31" s="18"/>
      <c r="AK31" s="18"/>
      <c r="AL31" s="18"/>
      <c r="AM31" s="18"/>
      <c r="AN31" s="18"/>
      <c r="AO31" s="18"/>
      <c r="AP31" s="18"/>
      <c r="AQ31" s="18"/>
    </row>
    <row r="32" spans="1:43" s="584" customFormat="1">
      <c r="A32" s="597"/>
      <c r="D32" s="1884"/>
      <c r="E32" s="1884"/>
      <c r="F32" s="1884"/>
      <c r="G32" s="1884"/>
      <c r="H32" s="1884"/>
      <c r="I32" s="1884"/>
      <c r="J32" s="1884"/>
      <c r="K32" s="1884"/>
      <c r="L32" s="1884"/>
      <c r="M32" s="1884"/>
      <c r="N32" s="1884"/>
      <c r="O32" s="1884"/>
      <c r="P32" s="1884"/>
      <c r="Q32" s="1884"/>
      <c r="R32" s="1884"/>
      <c r="S32" s="1884"/>
      <c r="T32" s="1884"/>
      <c r="U32" s="1884"/>
      <c r="V32" s="1884"/>
      <c r="W32" s="1884"/>
      <c r="X32" s="1884"/>
      <c r="Y32" s="1884"/>
      <c r="Z32" s="1884"/>
      <c r="AA32" s="1884"/>
      <c r="AB32" s="1884"/>
      <c r="AC32" s="1884"/>
      <c r="AD32" s="1884"/>
      <c r="AE32" s="1884"/>
      <c r="AF32" s="1884"/>
      <c r="AG32" s="1884"/>
      <c r="AI32" s="18"/>
      <c r="AJ32" s="18"/>
      <c r="AK32" s="18"/>
      <c r="AL32" s="18"/>
      <c r="AM32" s="18"/>
      <c r="AN32" s="18"/>
      <c r="AO32" s="18"/>
      <c r="AP32" s="18"/>
      <c r="AQ32" s="18"/>
    </row>
    <row r="33" spans="1:43" s="584" customFormat="1" ht="15" thickBot="1">
      <c r="A33" s="597"/>
      <c r="D33" s="773"/>
      <c r="E33" s="773"/>
      <c r="F33" s="773"/>
      <c r="G33" s="773"/>
      <c r="H33" s="773"/>
      <c r="I33" s="773"/>
      <c r="J33" s="773"/>
      <c r="K33" s="773"/>
      <c r="L33" s="773"/>
      <c r="M33" s="773"/>
      <c r="N33" s="773"/>
      <c r="O33" s="773"/>
      <c r="P33" s="773"/>
      <c r="Q33" s="773"/>
      <c r="R33" s="773"/>
      <c r="S33" s="773"/>
      <c r="T33" s="773"/>
      <c r="U33" s="773"/>
      <c r="V33" s="773"/>
      <c r="W33" s="773"/>
      <c r="X33" s="773"/>
      <c r="Y33" s="773"/>
      <c r="Z33" s="773"/>
      <c r="AA33" s="773"/>
      <c r="AB33" s="773"/>
      <c r="AC33" s="773"/>
      <c r="AD33" s="773"/>
      <c r="AE33" s="773"/>
      <c r="AF33" s="773"/>
      <c r="AG33" s="773"/>
      <c r="AI33" s="18"/>
      <c r="AJ33" s="18"/>
      <c r="AK33" s="18"/>
      <c r="AL33" s="18"/>
      <c r="AM33" s="18"/>
      <c r="AN33" s="18"/>
      <c r="AO33" s="18"/>
      <c r="AP33" s="18"/>
      <c r="AQ33" s="18"/>
    </row>
    <row r="34" spans="1:43" s="584" customFormat="1" ht="24.75" customHeight="1" thickBot="1">
      <c r="A34" s="597"/>
      <c r="D34" s="1849" t="s">
        <v>9</v>
      </c>
      <c r="E34" s="1849"/>
      <c r="F34" s="1849"/>
      <c r="G34" s="1849"/>
      <c r="H34" s="1849"/>
      <c r="I34" s="1849"/>
      <c r="J34" s="1849"/>
      <c r="K34" s="1849"/>
      <c r="L34" s="1849"/>
      <c r="M34" s="1849"/>
      <c r="N34" s="1849" t="s">
        <v>10</v>
      </c>
      <c r="O34" s="1849"/>
      <c r="P34" s="1849"/>
      <c r="Q34" s="1849"/>
      <c r="R34" s="1849"/>
      <c r="S34" s="1849"/>
      <c r="T34" s="1849"/>
      <c r="U34" s="1849"/>
      <c r="V34" s="1849"/>
      <c r="W34" s="1849"/>
      <c r="X34" s="1849" t="s">
        <v>11</v>
      </c>
      <c r="Y34" s="1849"/>
      <c r="Z34" s="1849"/>
      <c r="AA34" s="1849"/>
      <c r="AB34" s="1849"/>
      <c r="AC34" s="1849" t="s">
        <v>454</v>
      </c>
      <c r="AD34" s="1849"/>
      <c r="AE34" s="1849"/>
      <c r="AF34" s="1849"/>
      <c r="AG34" s="1849"/>
      <c r="AI34" s="18"/>
      <c r="AJ34" s="18"/>
      <c r="AK34" s="18"/>
      <c r="AL34" s="18"/>
      <c r="AM34" s="18"/>
      <c r="AN34" s="18"/>
      <c r="AO34" s="18"/>
      <c r="AP34" s="18"/>
      <c r="AQ34" s="18"/>
    </row>
    <row r="35" spans="1:43" s="584" customFormat="1" ht="24.75" customHeight="1" thickBot="1">
      <c r="A35" s="597"/>
      <c r="D35" s="1849"/>
      <c r="E35" s="1849"/>
      <c r="F35" s="1849"/>
      <c r="G35" s="1849"/>
      <c r="H35" s="1849"/>
      <c r="I35" s="1849"/>
      <c r="J35" s="1849"/>
      <c r="K35" s="1849"/>
      <c r="L35" s="1849"/>
      <c r="M35" s="1849"/>
      <c r="N35" s="1849" t="s">
        <v>13</v>
      </c>
      <c r="O35" s="1849"/>
      <c r="P35" s="1849"/>
      <c r="Q35" s="1849"/>
      <c r="R35" s="1849"/>
      <c r="S35" s="1849" t="s">
        <v>12</v>
      </c>
      <c r="T35" s="1849"/>
      <c r="U35" s="1849"/>
      <c r="V35" s="1849"/>
      <c r="W35" s="1849"/>
      <c r="X35" s="1849"/>
      <c r="Y35" s="1849"/>
      <c r="Z35" s="1849"/>
      <c r="AA35" s="1849"/>
      <c r="AB35" s="1849"/>
      <c r="AC35" s="1849"/>
      <c r="AD35" s="1849"/>
      <c r="AE35" s="1849"/>
      <c r="AF35" s="1849"/>
      <c r="AG35" s="1849"/>
      <c r="AI35" s="18"/>
      <c r="AJ35" s="18"/>
      <c r="AK35" s="18"/>
      <c r="AL35" s="18"/>
      <c r="AM35" s="18"/>
      <c r="AN35" s="18"/>
      <c r="AO35" s="18"/>
      <c r="AP35" s="18"/>
      <c r="AQ35" s="18"/>
    </row>
    <row r="36" spans="1:43" s="584" customFormat="1" ht="15.75" customHeight="1">
      <c r="A36" s="597"/>
      <c r="D36" s="1850" t="s">
        <v>2727</v>
      </c>
      <c r="E36" s="1851"/>
      <c r="F36" s="1851"/>
      <c r="G36" s="1851"/>
      <c r="H36" s="1851"/>
      <c r="I36" s="1851"/>
      <c r="J36" s="1851"/>
      <c r="K36" s="1851"/>
      <c r="L36" s="1851"/>
      <c r="M36" s="1852"/>
      <c r="N36" s="1853">
        <v>2506390</v>
      </c>
      <c r="O36" s="1854"/>
      <c r="P36" s="1854"/>
      <c r="Q36" s="1854"/>
      <c r="R36" s="1854"/>
      <c r="S36" s="1855">
        <v>1</v>
      </c>
      <c r="T36" s="1855"/>
      <c r="U36" s="1855"/>
      <c r="V36" s="1855"/>
      <c r="W36" s="1855"/>
      <c r="X36" s="1855">
        <v>1</v>
      </c>
      <c r="Y36" s="1855"/>
      <c r="Z36" s="1855"/>
      <c r="AA36" s="1855"/>
      <c r="AB36" s="1855"/>
      <c r="AC36" s="1855">
        <v>1</v>
      </c>
      <c r="AD36" s="1855"/>
      <c r="AE36" s="1855"/>
      <c r="AF36" s="1855"/>
      <c r="AG36" s="1855"/>
      <c r="AI36" s="18"/>
      <c r="AJ36" s="18"/>
      <c r="AK36" s="18"/>
      <c r="AL36" s="18"/>
      <c r="AM36" s="18"/>
      <c r="AN36" s="18"/>
      <c r="AO36" s="18"/>
      <c r="AP36" s="18"/>
      <c r="AQ36" s="18"/>
    </row>
    <row r="37" spans="1:43" s="584" customFormat="1" ht="15.75" customHeight="1">
      <c r="A37" s="597"/>
      <c r="D37" s="1856"/>
      <c r="E37" s="1856"/>
      <c r="F37" s="1856"/>
      <c r="G37" s="1856"/>
      <c r="H37" s="1856"/>
      <c r="I37" s="1856"/>
      <c r="J37" s="1856"/>
      <c r="K37" s="1856"/>
      <c r="L37" s="1856"/>
      <c r="M37" s="1856"/>
      <c r="N37" s="1857"/>
      <c r="O37" s="1857"/>
      <c r="P37" s="1857"/>
      <c r="Q37" s="1857"/>
      <c r="R37" s="1857"/>
      <c r="S37" s="1858"/>
      <c r="T37" s="1858"/>
      <c r="U37" s="1858"/>
      <c r="V37" s="1858"/>
      <c r="W37" s="1858"/>
      <c r="X37" s="1858"/>
      <c r="Y37" s="1858"/>
      <c r="Z37" s="1858"/>
      <c r="AA37" s="1858"/>
      <c r="AB37" s="1858"/>
      <c r="AC37" s="1858"/>
      <c r="AD37" s="1858"/>
      <c r="AE37" s="1858"/>
      <c r="AF37" s="1858"/>
      <c r="AG37" s="1858"/>
      <c r="AI37" s="18"/>
      <c r="AJ37" s="18"/>
      <c r="AK37" s="18"/>
      <c r="AL37" s="18"/>
      <c r="AM37" s="18"/>
      <c r="AN37" s="18"/>
      <c r="AO37" s="18"/>
      <c r="AP37" s="18"/>
      <c r="AQ37" s="18"/>
    </row>
    <row r="38" spans="1:43" s="584" customFormat="1" ht="15.75" customHeight="1" thickBot="1">
      <c r="A38" s="597"/>
      <c r="D38" s="2124" t="s">
        <v>14</v>
      </c>
      <c r="E38" s="2125"/>
      <c r="F38" s="2125"/>
      <c r="G38" s="2125"/>
      <c r="H38" s="2125"/>
      <c r="I38" s="2125"/>
      <c r="J38" s="2125"/>
      <c r="K38" s="2125"/>
      <c r="L38" s="2125"/>
      <c r="M38" s="2126"/>
      <c r="N38" s="2127">
        <f>SUM(N36:R37)</f>
        <v>2506390</v>
      </c>
      <c r="O38" s="2127"/>
      <c r="P38" s="2127"/>
      <c r="Q38" s="2127"/>
      <c r="R38" s="2127"/>
      <c r="S38" s="2128">
        <f>SUM(S36:W37)</f>
        <v>1</v>
      </c>
      <c r="T38" s="2129"/>
      <c r="U38" s="2129"/>
      <c r="V38" s="2129"/>
      <c r="W38" s="2130"/>
      <c r="X38" s="2128">
        <f>SUM(X36:AB37)</f>
        <v>1</v>
      </c>
      <c r="Y38" s="2129"/>
      <c r="Z38" s="2129"/>
      <c r="AA38" s="2129"/>
      <c r="AB38" s="2130"/>
      <c r="AC38" s="2128">
        <f>SUM(AC36:AG37)</f>
        <v>1</v>
      </c>
      <c r="AD38" s="2129"/>
      <c r="AE38" s="2129"/>
      <c r="AF38" s="2129"/>
      <c r="AG38" s="2130"/>
      <c r="AI38" s="18"/>
      <c r="AJ38" s="18"/>
      <c r="AK38" s="18"/>
      <c r="AL38" s="18"/>
      <c r="AM38" s="18"/>
      <c r="AN38" s="18"/>
      <c r="AO38" s="18"/>
      <c r="AP38" s="18"/>
      <c r="AQ38" s="18"/>
    </row>
    <row r="39" spans="1:43" s="584" customFormat="1">
      <c r="A39" s="597"/>
      <c r="D39" s="773"/>
      <c r="E39" s="773"/>
      <c r="F39" s="773"/>
      <c r="G39" s="773"/>
      <c r="H39" s="773"/>
      <c r="I39" s="773"/>
      <c r="J39" s="773"/>
      <c r="K39" s="773"/>
      <c r="L39" s="773"/>
      <c r="M39" s="773"/>
      <c r="N39" s="773"/>
      <c r="O39" s="773"/>
      <c r="P39" s="773"/>
      <c r="Q39" s="773"/>
      <c r="R39" s="773"/>
      <c r="S39" s="773"/>
      <c r="T39" s="773"/>
      <c r="U39" s="773"/>
      <c r="V39" s="773"/>
      <c r="W39" s="773"/>
      <c r="X39" s="773"/>
      <c r="Y39" s="773"/>
      <c r="Z39" s="773"/>
      <c r="AA39" s="773"/>
      <c r="AB39" s="773"/>
      <c r="AC39" s="773"/>
      <c r="AD39" s="773"/>
      <c r="AE39" s="773"/>
      <c r="AF39" s="773"/>
      <c r="AG39" s="773"/>
      <c r="AI39" s="18"/>
      <c r="AJ39" s="18"/>
      <c r="AK39" s="18"/>
      <c r="AL39" s="18"/>
      <c r="AM39" s="18"/>
      <c r="AN39" s="18"/>
      <c r="AO39" s="18"/>
      <c r="AP39" s="18"/>
      <c r="AQ39" s="18"/>
    </row>
    <row r="40" spans="1:43" s="584" customFormat="1" ht="14.25" customHeight="1">
      <c r="A40" s="597"/>
      <c r="D40" s="2099" t="s">
        <v>3031</v>
      </c>
      <c r="E40" s="2099"/>
      <c r="F40" s="2099"/>
      <c r="G40" s="2099"/>
      <c r="H40" s="2099"/>
      <c r="I40" s="2099"/>
      <c r="J40" s="2099"/>
      <c r="K40" s="2099"/>
      <c r="L40" s="2099"/>
      <c r="M40" s="2099"/>
      <c r="N40" s="2099"/>
      <c r="O40" s="2099"/>
      <c r="P40" s="2099"/>
      <c r="Q40" s="2099"/>
      <c r="R40" s="2099"/>
      <c r="S40" s="2099"/>
      <c r="T40" s="2099"/>
      <c r="U40" s="2099"/>
      <c r="V40" s="2099"/>
      <c r="W40" s="2099"/>
      <c r="X40" s="2099"/>
      <c r="Y40" s="2099"/>
      <c r="Z40" s="2099"/>
      <c r="AA40" s="2099"/>
      <c r="AB40" s="2099"/>
      <c r="AC40" s="2099"/>
      <c r="AD40" s="2099"/>
      <c r="AE40" s="2099"/>
      <c r="AF40" s="2099"/>
      <c r="AG40" s="2099"/>
      <c r="AI40" s="18"/>
      <c r="AJ40" s="18"/>
      <c r="AK40" s="18"/>
      <c r="AL40" s="18"/>
      <c r="AM40" s="18"/>
      <c r="AN40" s="18"/>
      <c r="AO40" s="18"/>
      <c r="AP40" s="18"/>
      <c r="AQ40" s="18"/>
    </row>
    <row r="41" spans="1:43" s="584" customFormat="1">
      <c r="A41" s="597"/>
      <c r="D41" s="2099"/>
      <c r="E41" s="2099"/>
      <c r="F41" s="2099"/>
      <c r="G41" s="2099"/>
      <c r="H41" s="2099"/>
      <c r="I41" s="2099"/>
      <c r="J41" s="2099"/>
      <c r="K41" s="2099"/>
      <c r="L41" s="2099"/>
      <c r="M41" s="2099"/>
      <c r="N41" s="2099"/>
      <c r="O41" s="2099"/>
      <c r="P41" s="2099"/>
      <c r="Q41" s="2099"/>
      <c r="R41" s="2099"/>
      <c r="S41" s="2099"/>
      <c r="T41" s="2099"/>
      <c r="U41" s="2099"/>
      <c r="V41" s="2099"/>
      <c r="W41" s="2099"/>
      <c r="X41" s="2099"/>
      <c r="Y41" s="2099"/>
      <c r="Z41" s="2099"/>
      <c r="AA41" s="2099"/>
      <c r="AB41" s="2099"/>
      <c r="AC41" s="2099"/>
      <c r="AD41" s="2099"/>
      <c r="AE41" s="2099"/>
      <c r="AF41" s="2099"/>
      <c r="AG41" s="2099"/>
      <c r="AI41" s="18"/>
      <c r="AJ41" s="18"/>
      <c r="AK41" s="18"/>
      <c r="AL41" s="18"/>
      <c r="AM41" s="18"/>
      <c r="AN41" s="18"/>
      <c r="AO41" s="18"/>
      <c r="AP41" s="18"/>
      <c r="AQ41" s="18"/>
    </row>
    <row r="42" spans="1:43" s="584" customFormat="1">
      <c r="A42" s="597"/>
      <c r="D42" s="2099"/>
      <c r="E42" s="2099"/>
      <c r="F42" s="2099"/>
      <c r="G42" s="2099"/>
      <c r="H42" s="2099"/>
      <c r="I42" s="2099"/>
      <c r="J42" s="2099"/>
      <c r="K42" s="2099"/>
      <c r="L42" s="2099"/>
      <c r="M42" s="2099"/>
      <c r="N42" s="2099"/>
      <c r="O42" s="2099"/>
      <c r="P42" s="2099"/>
      <c r="Q42" s="2099"/>
      <c r="R42" s="2099"/>
      <c r="S42" s="2099"/>
      <c r="T42" s="2099"/>
      <c r="U42" s="2099"/>
      <c r="V42" s="2099"/>
      <c r="W42" s="2099"/>
      <c r="X42" s="2099"/>
      <c r="Y42" s="2099"/>
      <c r="Z42" s="2099"/>
      <c r="AA42" s="2099"/>
      <c r="AB42" s="2099"/>
      <c r="AC42" s="2099"/>
      <c r="AD42" s="2099"/>
      <c r="AE42" s="2099"/>
      <c r="AF42" s="2099"/>
      <c r="AG42" s="2099"/>
      <c r="AI42" s="18"/>
      <c r="AJ42" s="18"/>
      <c r="AK42" s="18"/>
      <c r="AL42" s="18"/>
      <c r="AM42" s="18"/>
      <c r="AN42" s="18"/>
      <c r="AO42" s="18"/>
      <c r="AP42" s="18"/>
      <c r="AQ42" s="18"/>
    </row>
    <row r="43" spans="1:43" s="584" customFormat="1">
      <c r="A43" s="597"/>
      <c r="D43" s="2099"/>
      <c r="E43" s="2099"/>
      <c r="F43" s="2099"/>
      <c r="G43" s="2099"/>
      <c r="H43" s="2099"/>
      <c r="I43" s="2099"/>
      <c r="J43" s="2099"/>
      <c r="K43" s="2099"/>
      <c r="L43" s="2099"/>
      <c r="M43" s="2099"/>
      <c r="N43" s="2099"/>
      <c r="O43" s="2099"/>
      <c r="P43" s="2099"/>
      <c r="Q43" s="2099"/>
      <c r="R43" s="2099"/>
      <c r="S43" s="2099"/>
      <c r="T43" s="2099"/>
      <c r="U43" s="2099"/>
      <c r="V43" s="2099"/>
      <c r="W43" s="2099"/>
      <c r="X43" s="2099"/>
      <c r="Y43" s="2099"/>
      <c r="Z43" s="2099"/>
      <c r="AA43" s="2099"/>
      <c r="AB43" s="2099"/>
      <c r="AC43" s="2099"/>
      <c r="AD43" s="2099"/>
      <c r="AE43" s="2099"/>
      <c r="AF43" s="2099"/>
      <c r="AG43" s="2099"/>
      <c r="AI43" s="18"/>
      <c r="AJ43" s="18"/>
      <c r="AK43" s="18"/>
      <c r="AL43" s="18"/>
      <c r="AM43" s="18"/>
      <c r="AN43" s="18"/>
      <c r="AO43" s="18"/>
      <c r="AP43" s="18"/>
      <c r="AQ43" s="18"/>
    </row>
    <row r="44" spans="1:43" s="584" customFormat="1" ht="38.25" customHeight="1">
      <c r="A44" s="597"/>
      <c r="D44" s="2099"/>
      <c r="E44" s="2099"/>
      <c r="F44" s="2099"/>
      <c r="G44" s="2099"/>
      <c r="H44" s="2099"/>
      <c r="I44" s="2099"/>
      <c r="J44" s="2099"/>
      <c r="K44" s="2099"/>
      <c r="L44" s="2099"/>
      <c r="M44" s="2099"/>
      <c r="N44" s="2099"/>
      <c r="O44" s="2099"/>
      <c r="P44" s="2099"/>
      <c r="Q44" s="2099"/>
      <c r="R44" s="2099"/>
      <c r="S44" s="2099"/>
      <c r="T44" s="2099"/>
      <c r="U44" s="2099"/>
      <c r="V44" s="2099"/>
      <c r="W44" s="2099"/>
      <c r="X44" s="2099"/>
      <c r="Y44" s="2099"/>
      <c r="Z44" s="2099"/>
      <c r="AA44" s="2099"/>
      <c r="AB44" s="2099"/>
      <c r="AC44" s="2099"/>
      <c r="AD44" s="2099"/>
      <c r="AE44" s="2099"/>
      <c r="AF44" s="2099"/>
      <c r="AG44" s="2099"/>
      <c r="AI44" s="18"/>
      <c r="AJ44" s="18"/>
      <c r="AK44" s="18"/>
      <c r="AL44" s="18"/>
      <c r="AM44" s="18"/>
      <c r="AN44" s="18"/>
      <c r="AO44" s="18"/>
      <c r="AP44" s="18"/>
      <c r="AQ44" s="18"/>
    </row>
    <row r="45" spans="1:43" s="584" customFormat="1" ht="14.25" customHeight="1">
      <c r="A45" s="597"/>
      <c r="D45" s="2057" t="s">
        <v>2728</v>
      </c>
      <c r="E45" s="2106"/>
      <c r="F45" s="2106"/>
      <c r="G45" s="2106"/>
      <c r="H45" s="2106"/>
      <c r="I45" s="2106"/>
      <c r="J45" s="2106"/>
      <c r="K45" s="2106"/>
      <c r="L45" s="2106"/>
      <c r="M45" s="2106"/>
      <c r="N45" s="2106"/>
      <c r="O45" s="2106"/>
      <c r="P45" s="2106"/>
      <c r="Q45" s="2106"/>
      <c r="R45" s="2106"/>
      <c r="S45" s="2106"/>
      <c r="T45" s="2106"/>
      <c r="U45" s="2106"/>
      <c r="V45" s="2106"/>
      <c r="W45" s="2106"/>
      <c r="X45" s="2106"/>
      <c r="Y45" s="2106"/>
      <c r="Z45" s="2106"/>
      <c r="AA45" s="2106"/>
      <c r="AB45" s="2106"/>
      <c r="AC45" s="2106"/>
      <c r="AD45" s="2106"/>
      <c r="AE45" s="2106"/>
      <c r="AF45" s="2106"/>
      <c r="AG45" s="2106"/>
      <c r="AI45" s="18"/>
      <c r="AJ45" s="18"/>
      <c r="AK45" s="18"/>
      <c r="AL45" s="18"/>
      <c r="AM45" s="18"/>
      <c r="AN45" s="18"/>
      <c r="AO45" s="18"/>
      <c r="AP45" s="18"/>
      <c r="AQ45" s="18"/>
    </row>
    <row r="46" spans="1:43" s="584" customFormat="1">
      <c r="A46" s="597"/>
      <c r="AI46" s="18"/>
      <c r="AJ46" s="18"/>
      <c r="AK46" s="18"/>
      <c r="AL46" s="18"/>
      <c r="AM46" s="18"/>
      <c r="AN46" s="18"/>
      <c r="AO46" s="18"/>
      <c r="AP46" s="18"/>
      <c r="AQ46" s="18"/>
    </row>
    <row r="47" spans="1:43" s="584" customFormat="1">
      <c r="A47" s="597"/>
      <c r="D47" s="917" t="s">
        <v>2888</v>
      </c>
      <c r="E47" s="587"/>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I47" s="18"/>
      <c r="AJ47" s="18"/>
      <c r="AK47" s="18"/>
      <c r="AL47" s="18"/>
      <c r="AM47" s="18"/>
      <c r="AN47" s="18"/>
      <c r="AO47" s="18"/>
      <c r="AP47" s="18"/>
      <c r="AQ47" s="18"/>
    </row>
    <row r="48" spans="1:43" s="584" customFormat="1">
      <c r="A48" s="597"/>
      <c r="AI48" s="18"/>
      <c r="AJ48" s="18"/>
      <c r="AK48" s="18"/>
      <c r="AL48" s="18"/>
      <c r="AM48" s="18"/>
      <c r="AN48" s="18"/>
      <c r="AO48" s="18"/>
      <c r="AP48" s="18"/>
      <c r="AQ48" s="18"/>
    </row>
    <row r="49" spans="1:43" s="584" customFormat="1" ht="15" thickBot="1">
      <c r="A49" s="597"/>
      <c r="D49" s="2105" t="s">
        <v>2729</v>
      </c>
      <c r="E49" s="2105"/>
      <c r="F49" s="2105"/>
      <c r="G49" s="2105"/>
      <c r="H49" s="2105"/>
      <c r="I49" s="2105"/>
      <c r="J49" s="2105"/>
      <c r="K49" s="2105"/>
      <c r="L49" s="2105"/>
      <c r="M49" s="2105"/>
      <c r="N49" s="2105"/>
      <c r="O49" s="2105"/>
      <c r="AI49" s="18"/>
      <c r="AJ49" s="18"/>
      <c r="AK49" s="18"/>
      <c r="AL49" s="18"/>
      <c r="AM49" s="18"/>
      <c r="AN49" s="18"/>
      <c r="AO49" s="18"/>
      <c r="AP49" s="18"/>
      <c r="AQ49" s="18"/>
    </row>
    <row r="50" spans="1:43" s="584" customFormat="1" ht="15" thickTop="1">
      <c r="A50" s="597"/>
      <c r="D50" s="1432"/>
      <c r="E50" s="589" t="s">
        <v>2730</v>
      </c>
      <c r="F50" s="589"/>
      <c r="G50" s="589"/>
      <c r="H50" s="589"/>
      <c r="I50" s="589"/>
      <c r="J50" s="589"/>
      <c r="K50" s="589"/>
      <c r="L50" s="589"/>
      <c r="M50" s="589"/>
      <c r="N50" s="589"/>
      <c r="O50" s="589"/>
      <c r="AI50" s="18"/>
      <c r="AJ50" s="18"/>
      <c r="AK50" s="18"/>
      <c r="AL50" s="18"/>
      <c r="AM50" s="18"/>
      <c r="AN50" s="18"/>
      <c r="AO50" s="18"/>
      <c r="AP50" s="18"/>
      <c r="AQ50" s="18"/>
    </row>
    <row r="51" spans="1:43" s="584" customFormat="1">
      <c r="A51" s="597"/>
      <c r="D51" s="590"/>
      <c r="AI51" s="18"/>
      <c r="AJ51" s="18"/>
      <c r="AK51" s="18"/>
      <c r="AL51" s="18"/>
      <c r="AM51" s="18"/>
      <c r="AN51" s="18"/>
      <c r="AO51" s="18"/>
      <c r="AP51" s="18"/>
      <c r="AQ51" s="18"/>
    </row>
    <row r="52" spans="1:43" s="584" customFormat="1" ht="14.25" customHeight="1">
      <c r="A52" s="597"/>
      <c r="D52" s="2057" t="s">
        <v>2731</v>
      </c>
      <c r="E52" s="2106"/>
      <c r="F52" s="2106"/>
      <c r="G52" s="2106"/>
      <c r="H52" s="2106"/>
      <c r="I52" s="2106"/>
      <c r="J52" s="2106"/>
      <c r="K52" s="2106"/>
      <c r="L52" s="2106"/>
      <c r="M52" s="2106"/>
      <c r="N52" s="2106"/>
      <c r="O52" s="2106"/>
      <c r="P52" s="2106"/>
      <c r="Q52" s="2106"/>
      <c r="R52" s="2106"/>
      <c r="S52" s="2106"/>
      <c r="T52" s="2106"/>
      <c r="U52" s="2106"/>
      <c r="V52" s="2106"/>
      <c r="W52" s="2106"/>
      <c r="X52" s="2106"/>
      <c r="Y52" s="2106"/>
      <c r="Z52" s="2106"/>
      <c r="AA52" s="2106"/>
      <c r="AB52" s="2106"/>
      <c r="AC52" s="2106"/>
      <c r="AD52" s="2106"/>
      <c r="AE52" s="2106"/>
      <c r="AF52" s="2106"/>
      <c r="AG52" s="2106"/>
      <c r="AI52" s="18"/>
      <c r="AJ52" s="18"/>
      <c r="AK52" s="18"/>
      <c r="AL52" s="18"/>
      <c r="AM52" s="18"/>
      <c r="AN52" s="18"/>
      <c r="AO52" s="18"/>
      <c r="AP52" s="18"/>
      <c r="AQ52" s="18"/>
    </row>
    <row r="53" spans="1:43" s="584" customFormat="1">
      <c r="A53" s="597"/>
      <c r="D53" s="2106"/>
      <c r="E53" s="2106"/>
      <c r="F53" s="2106"/>
      <c r="G53" s="2106"/>
      <c r="H53" s="2106"/>
      <c r="I53" s="2106"/>
      <c r="J53" s="2106"/>
      <c r="K53" s="2106"/>
      <c r="L53" s="2106"/>
      <c r="M53" s="2106"/>
      <c r="N53" s="2106"/>
      <c r="O53" s="2106"/>
      <c r="P53" s="2106"/>
      <c r="Q53" s="2106"/>
      <c r="R53" s="2106"/>
      <c r="S53" s="2106"/>
      <c r="T53" s="2106"/>
      <c r="U53" s="2106"/>
      <c r="V53" s="2106"/>
      <c r="W53" s="2106"/>
      <c r="X53" s="2106"/>
      <c r="Y53" s="2106"/>
      <c r="Z53" s="2106"/>
      <c r="AA53" s="2106"/>
      <c r="AB53" s="2106"/>
      <c r="AC53" s="2106"/>
      <c r="AD53" s="2106"/>
      <c r="AE53" s="2106"/>
      <c r="AF53" s="2106"/>
      <c r="AG53" s="2106"/>
      <c r="AI53" s="18"/>
      <c r="AJ53" s="18"/>
      <c r="AK53" s="18"/>
      <c r="AL53" s="18"/>
      <c r="AM53" s="18"/>
      <c r="AN53" s="18"/>
      <c r="AO53" s="18"/>
      <c r="AP53" s="18"/>
      <c r="AQ53" s="18"/>
    </row>
    <row r="54" spans="1:43" s="584" customFormat="1">
      <c r="A54" s="597"/>
      <c r="D54" s="582" t="s">
        <v>1332</v>
      </c>
      <c r="AI54" s="18"/>
      <c r="AJ54" s="18"/>
      <c r="AK54" s="18"/>
      <c r="AL54" s="18"/>
      <c r="AM54" s="18"/>
      <c r="AN54" s="18"/>
      <c r="AO54" s="18"/>
      <c r="AP54" s="18"/>
      <c r="AQ54" s="18"/>
    </row>
    <row r="55" spans="1:43" s="584" customFormat="1">
      <c r="A55" s="597"/>
      <c r="AI55" s="18"/>
      <c r="AJ55" s="18"/>
      <c r="AK55" s="18"/>
      <c r="AL55" s="18"/>
      <c r="AM55" s="18"/>
      <c r="AN55" s="18"/>
      <c r="AO55" s="18"/>
      <c r="AP55" s="18"/>
      <c r="AQ55" s="18"/>
    </row>
    <row r="56" spans="1:43" s="584" customFormat="1">
      <c r="A56" s="597"/>
      <c r="D56" s="2057" t="s">
        <v>2732</v>
      </c>
      <c r="E56" s="2101"/>
      <c r="F56" s="2101"/>
      <c r="G56" s="2101"/>
      <c r="H56" s="2101"/>
      <c r="I56" s="2101"/>
      <c r="J56" s="2101"/>
      <c r="K56" s="2101"/>
      <c r="L56" s="2101"/>
      <c r="M56" s="2101"/>
      <c r="N56" s="2101"/>
      <c r="O56" s="2101"/>
      <c r="P56" s="2101"/>
      <c r="Q56" s="2101"/>
      <c r="R56" s="2101"/>
      <c r="S56" s="2101"/>
      <c r="T56" s="2101"/>
      <c r="U56" s="2101"/>
      <c r="V56" s="2101"/>
      <c r="W56" s="2101"/>
      <c r="X56" s="2101"/>
      <c r="Y56" s="2101"/>
      <c r="Z56" s="2101"/>
      <c r="AA56" s="2101"/>
      <c r="AB56" s="2101"/>
      <c r="AC56" s="2101"/>
      <c r="AD56" s="2101"/>
      <c r="AE56" s="2101"/>
      <c r="AF56" s="2101"/>
      <c r="AG56" s="2101"/>
      <c r="AI56" s="18"/>
      <c r="AJ56" s="18"/>
      <c r="AK56" s="18"/>
      <c r="AL56" s="18"/>
      <c r="AM56" s="18"/>
      <c r="AN56" s="18"/>
      <c r="AO56" s="18"/>
      <c r="AP56" s="18"/>
      <c r="AQ56" s="18"/>
    </row>
    <row r="57" spans="1:43" s="584" customFormat="1">
      <c r="A57" s="597"/>
      <c r="D57" s="2101"/>
      <c r="E57" s="2101"/>
      <c r="F57" s="2101"/>
      <c r="G57" s="2101"/>
      <c r="H57" s="2101"/>
      <c r="I57" s="2101"/>
      <c r="J57" s="2101"/>
      <c r="K57" s="2101"/>
      <c r="L57" s="2101"/>
      <c r="M57" s="2101"/>
      <c r="N57" s="2101"/>
      <c r="O57" s="2101"/>
      <c r="P57" s="2101"/>
      <c r="Q57" s="2101"/>
      <c r="R57" s="2101"/>
      <c r="S57" s="2101"/>
      <c r="T57" s="2101"/>
      <c r="U57" s="2101"/>
      <c r="V57" s="2101"/>
      <c r="W57" s="2101"/>
      <c r="X57" s="2101"/>
      <c r="Y57" s="2101"/>
      <c r="Z57" s="2101"/>
      <c r="AA57" s="2101"/>
      <c r="AB57" s="2101"/>
      <c r="AC57" s="2101"/>
      <c r="AD57" s="2101"/>
      <c r="AE57" s="2101"/>
      <c r="AF57" s="2101"/>
      <c r="AG57" s="2101"/>
      <c r="AI57" s="18"/>
      <c r="AJ57" s="18"/>
      <c r="AK57" s="18"/>
      <c r="AL57" s="18"/>
      <c r="AM57" s="18"/>
      <c r="AN57" s="18"/>
      <c r="AO57" s="18"/>
      <c r="AP57" s="18"/>
      <c r="AQ57" s="18"/>
    </row>
    <row r="58" spans="1:43" s="584" customFormat="1">
      <c r="A58" s="597"/>
      <c r="D58" s="1540"/>
      <c r="E58" s="1540"/>
      <c r="F58" s="1540"/>
      <c r="G58" s="1540"/>
      <c r="H58" s="1540"/>
      <c r="I58" s="1540"/>
      <c r="J58" s="1540"/>
      <c r="K58" s="1540"/>
      <c r="L58" s="1540"/>
      <c r="M58" s="1540"/>
      <c r="N58" s="1540"/>
      <c r="O58" s="1540"/>
      <c r="P58" s="1540"/>
      <c r="Q58" s="1540"/>
      <c r="R58" s="1540"/>
      <c r="S58" s="1540"/>
      <c r="T58" s="1540"/>
      <c r="U58" s="1540"/>
      <c r="V58" s="1540"/>
      <c r="W58" s="1540"/>
      <c r="X58" s="1540"/>
      <c r="Y58" s="1540"/>
      <c r="Z58" s="1540"/>
      <c r="AA58" s="1540"/>
      <c r="AB58" s="1540"/>
      <c r="AC58" s="1540"/>
      <c r="AD58" s="1540"/>
      <c r="AE58" s="1540"/>
      <c r="AF58" s="1540"/>
      <c r="AG58" s="1540"/>
      <c r="AI58" s="18"/>
      <c r="AJ58" s="18"/>
      <c r="AK58" s="18"/>
      <c r="AL58" s="18"/>
      <c r="AM58" s="18"/>
      <c r="AN58" s="18"/>
      <c r="AO58" s="18"/>
      <c r="AP58" s="18"/>
      <c r="AQ58" s="18"/>
    </row>
    <row r="59" spans="1:43" s="584" customFormat="1">
      <c r="A59" s="597"/>
      <c r="D59" s="582" t="s">
        <v>3018</v>
      </c>
      <c r="AI59" s="18"/>
      <c r="AJ59" s="18"/>
      <c r="AK59" s="18"/>
      <c r="AL59" s="18"/>
      <c r="AM59" s="18"/>
      <c r="AN59" s="18"/>
      <c r="AO59" s="18"/>
      <c r="AP59" s="18"/>
      <c r="AQ59" s="18"/>
    </row>
    <row r="60" spans="1:43" s="584" customFormat="1">
      <c r="A60" s="597"/>
      <c r="AI60" s="18"/>
      <c r="AJ60" s="18"/>
      <c r="AK60" s="18"/>
      <c r="AL60" s="18"/>
      <c r="AM60" s="18"/>
      <c r="AN60" s="18"/>
      <c r="AO60" s="18"/>
      <c r="AP60" s="18"/>
      <c r="AQ60" s="18"/>
    </row>
    <row r="61" spans="1:43" s="584" customFormat="1">
      <c r="A61" s="597"/>
      <c r="D61" s="1884" t="s">
        <v>2889</v>
      </c>
      <c r="E61" s="1885"/>
      <c r="F61" s="1885"/>
      <c r="G61" s="1885"/>
      <c r="H61" s="1885"/>
      <c r="I61" s="1885"/>
      <c r="J61" s="1885"/>
      <c r="K61" s="1885"/>
      <c r="L61" s="1885"/>
      <c r="M61" s="1885"/>
      <c r="N61" s="1885"/>
      <c r="O61" s="1885"/>
      <c r="P61" s="1885"/>
      <c r="Q61" s="1885"/>
      <c r="R61" s="1885"/>
      <c r="S61" s="1885"/>
      <c r="T61" s="1885"/>
      <c r="U61" s="1885"/>
      <c r="V61" s="1885"/>
      <c r="W61" s="1885"/>
      <c r="X61" s="1885"/>
      <c r="Y61" s="1885"/>
      <c r="Z61" s="1885"/>
      <c r="AA61" s="1885"/>
      <c r="AB61" s="1885"/>
      <c r="AC61" s="1885"/>
      <c r="AD61" s="1885"/>
      <c r="AE61" s="1885"/>
      <c r="AF61" s="1885"/>
      <c r="AG61" s="1885"/>
      <c r="AI61" s="18"/>
      <c r="AJ61" s="18"/>
      <c r="AK61" s="18"/>
      <c r="AL61" s="18"/>
      <c r="AM61" s="18"/>
      <c r="AN61" s="18"/>
      <c r="AO61" s="18"/>
      <c r="AP61" s="18"/>
      <c r="AQ61" s="18"/>
    </row>
    <row r="62" spans="1:43" s="584" customFormat="1">
      <c r="A62" s="597"/>
      <c r="D62" s="1885"/>
      <c r="E62" s="1885"/>
      <c r="F62" s="1885"/>
      <c r="G62" s="1885"/>
      <c r="H62" s="1885"/>
      <c r="I62" s="1885"/>
      <c r="J62" s="1885"/>
      <c r="K62" s="1885"/>
      <c r="L62" s="1885"/>
      <c r="M62" s="1885"/>
      <c r="N62" s="1885"/>
      <c r="O62" s="1885"/>
      <c r="P62" s="1885"/>
      <c r="Q62" s="1885"/>
      <c r="R62" s="1885"/>
      <c r="S62" s="1885"/>
      <c r="T62" s="1885"/>
      <c r="U62" s="1885"/>
      <c r="V62" s="1885"/>
      <c r="W62" s="1885"/>
      <c r="X62" s="1885"/>
      <c r="Y62" s="1885"/>
      <c r="Z62" s="1885"/>
      <c r="AA62" s="1885"/>
      <c r="AB62" s="1885"/>
      <c r="AC62" s="1885"/>
      <c r="AD62" s="1885"/>
      <c r="AE62" s="1885"/>
      <c r="AF62" s="1885"/>
      <c r="AG62" s="1885"/>
      <c r="AI62" s="18"/>
      <c r="AJ62" s="18"/>
      <c r="AK62" s="18"/>
      <c r="AL62" s="18"/>
      <c r="AM62" s="18"/>
      <c r="AN62" s="18"/>
      <c r="AO62" s="18"/>
      <c r="AP62" s="18"/>
      <c r="AQ62" s="18"/>
    </row>
    <row r="63" spans="1:43" s="584" customFormat="1">
      <c r="A63" s="597"/>
      <c r="D63" s="1540"/>
      <c r="E63" s="1540"/>
      <c r="F63" s="1540"/>
      <c r="G63" s="1540"/>
      <c r="H63" s="1540"/>
      <c r="I63" s="1540"/>
      <c r="J63" s="1540"/>
      <c r="K63" s="1540"/>
      <c r="L63" s="1540"/>
      <c r="M63" s="1540"/>
      <c r="N63" s="1540"/>
      <c r="O63" s="1540"/>
      <c r="P63" s="1540"/>
      <c r="Q63" s="1540"/>
      <c r="R63" s="1540"/>
      <c r="S63" s="1540"/>
      <c r="T63" s="1540"/>
      <c r="U63" s="1540"/>
      <c r="V63" s="1540"/>
      <c r="W63" s="1540"/>
      <c r="X63" s="1540"/>
      <c r="Y63" s="1540"/>
      <c r="Z63" s="1540"/>
      <c r="AA63" s="1540"/>
      <c r="AB63" s="1540"/>
      <c r="AC63" s="1540"/>
      <c r="AD63" s="1540"/>
      <c r="AE63" s="1540"/>
      <c r="AF63" s="1540"/>
      <c r="AG63" s="1540"/>
      <c r="AI63" s="18"/>
      <c r="AJ63" s="18"/>
      <c r="AK63" s="18"/>
      <c r="AL63" s="18"/>
      <c r="AM63" s="18"/>
      <c r="AN63" s="18"/>
      <c r="AO63" s="18"/>
      <c r="AP63" s="18"/>
      <c r="AQ63" s="18"/>
    </row>
    <row r="64" spans="1:43" s="584" customFormat="1">
      <c r="A64" s="597"/>
      <c r="D64" s="582" t="s">
        <v>3017</v>
      </c>
      <c r="AI64" s="18"/>
      <c r="AJ64" s="18"/>
      <c r="AK64" s="18"/>
      <c r="AL64" s="18"/>
      <c r="AM64" s="18"/>
      <c r="AN64" s="18"/>
      <c r="AO64" s="18"/>
      <c r="AP64" s="18"/>
      <c r="AQ64" s="18"/>
    </row>
    <row r="65" spans="1:43" s="584" customFormat="1">
      <c r="A65" s="597"/>
      <c r="AI65" s="18"/>
      <c r="AJ65" s="18"/>
      <c r="AK65" s="18"/>
      <c r="AL65" s="18"/>
      <c r="AM65" s="18"/>
      <c r="AN65" s="18"/>
      <c r="AO65" s="18"/>
      <c r="AP65" s="18"/>
      <c r="AQ65" s="18"/>
    </row>
    <row r="66" spans="1:43" s="584" customFormat="1">
      <c r="A66" s="597"/>
      <c r="D66" s="2115" t="s">
        <v>2987</v>
      </c>
      <c r="E66" s="2115"/>
      <c r="F66" s="2115"/>
      <c r="G66" s="2115"/>
      <c r="H66" s="2115"/>
      <c r="I66" s="2115"/>
      <c r="J66" s="2115"/>
      <c r="K66" s="2115"/>
      <c r="L66" s="2115"/>
      <c r="M66" s="2115"/>
      <c r="N66" s="2115"/>
      <c r="O66" s="2115"/>
      <c r="P66" s="2115"/>
      <c r="Q66" s="2115"/>
      <c r="R66" s="2115"/>
      <c r="S66" s="2115"/>
      <c r="T66" s="2115"/>
      <c r="U66" s="2115"/>
      <c r="V66" s="2115"/>
      <c r="W66" s="2115"/>
      <c r="X66" s="2115"/>
      <c r="Y66" s="2115"/>
      <c r="Z66" s="2115"/>
      <c r="AA66" s="2115"/>
      <c r="AB66" s="2115"/>
      <c r="AC66" s="2115"/>
      <c r="AD66" s="2115"/>
      <c r="AE66" s="2115"/>
      <c r="AF66" s="2115"/>
      <c r="AG66" s="2115"/>
      <c r="AI66" s="18"/>
      <c r="AJ66" s="18"/>
      <c r="AK66" s="18"/>
      <c r="AL66" s="18"/>
      <c r="AM66" s="18"/>
      <c r="AN66" s="18"/>
      <c r="AO66" s="18"/>
      <c r="AP66" s="18"/>
      <c r="AQ66" s="18"/>
    </row>
    <row r="67" spans="1:43" s="584" customFormat="1">
      <c r="A67" s="597"/>
      <c r="D67" s="2115"/>
      <c r="E67" s="2115"/>
      <c r="F67" s="2115"/>
      <c r="G67" s="2115"/>
      <c r="H67" s="2115"/>
      <c r="I67" s="2115"/>
      <c r="J67" s="2115"/>
      <c r="K67" s="2115"/>
      <c r="L67" s="2115"/>
      <c r="M67" s="2115"/>
      <c r="N67" s="2115"/>
      <c r="O67" s="2115"/>
      <c r="P67" s="2115"/>
      <c r="Q67" s="2115"/>
      <c r="R67" s="2115"/>
      <c r="S67" s="2115"/>
      <c r="T67" s="2115"/>
      <c r="U67" s="2115"/>
      <c r="V67" s="2115"/>
      <c r="W67" s="2115"/>
      <c r="X67" s="2115"/>
      <c r="Y67" s="2115"/>
      <c r="Z67" s="2115"/>
      <c r="AA67" s="2115"/>
      <c r="AB67" s="2115"/>
      <c r="AC67" s="2115"/>
      <c r="AD67" s="2115"/>
      <c r="AE67" s="2115"/>
      <c r="AF67" s="2115"/>
      <c r="AG67" s="2115"/>
      <c r="AI67" s="18"/>
      <c r="AJ67" s="18"/>
      <c r="AK67" s="18"/>
      <c r="AL67" s="18"/>
      <c r="AM67" s="18"/>
      <c r="AN67" s="18"/>
      <c r="AO67" s="18"/>
      <c r="AP67" s="18"/>
      <c r="AQ67" s="18"/>
    </row>
    <row r="68" spans="1:43" s="584" customFormat="1">
      <c r="A68" s="597"/>
      <c r="AI68" s="18"/>
      <c r="AJ68" s="18"/>
      <c r="AK68" s="18"/>
      <c r="AL68" s="18"/>
      <c r="AM68" s="18"/>
      <c r="AN68" s="18"/>
      <c r="AO68" s="18"/>
      <c r="AP68" s="18"/>
      <c r="AQ68" s="18"/>
    </row>
    <row r="69" spans="1:43" s="584" customFormat="1">
      <c r="A69" s="597"/>
      <c r="D69" s="582" t="s">
        <v>2996</v>
      </c>
      <c r="AI69" s="18"/>
      <c r="AJ69" s="18"/>
      <c r="AK69" s="18"/>
      <c r="AL69" s="18"/>
      <c r="AM69" s="18"/>
      <c r="AN69" s="18"/>
      <c r="AO69" s="18"/>
      <c r="AP69" s="18"/>
      <c r="AQ69" s="18"/>
    </row>
    <row r="70" spans="1:43" s="584" customFormat="1">
      <c r="A70" s="597"/>
      <c r="AI70" s="18"/>
      <c r="AJ70" s="18"/>
      <c r="AK70" s="18"/>
      <c r="AL70" s="18"/>
      <c r="AM70" s="18"/>
      <c r="AN70" s="18"/>
      <c r="AO70" s="18"/>
      <c r="AP70" s="18"/>
      <c r="AQ70" s="18"/>
    </row>
    <row r="71" spans="1:43" s="584" customFormat="1">
      <c r="A71" s="597"/>
      <c r="D71" s="2057" t="s">
        <v>2890</v>
      </c>
      <c r="E71" s="2101"/>
      <c r="F71" s="2101"/>
      <c r="G71" s="2101"/>
      <c r="H71" s="2101"/>
      <c r="I71" s="2101"/>
      <c r="J71" s="2101"/>
      <c r="K71" s="2101"/>
      <c r="L71" s="2101"/>
      <c r="M71" s="2101"/>
      <c r="N71" s="2101"/>
      <c r="O71" s="2101"/>
      <c r="P71" s="2101"/>
      <c r="Q71" s="2101"/>
      <c r="R71" s="2101"/>
      <c r="S71" s="2101"/>
      <c r="T71" s="2101"/>
      <c r="U71" s="2101"/>
      <c r="V71" s="2101"/>
      <c r="W71" s="2101"/>
      <c r="X71" s="2101"/>
      <c r="Y71" s="2101"/>
      <c r="Z71" s="2101"/>
      <c r="AA71" s="2101"/>
      <c r="AB71" s="2101"/>
      <c r="AC71" s="2101"/>
      <c r="AD71" s="2101"/>
      <c r="AE71" s="2101"/>
      <c r="AF71" s="2101"/>
      <c r="AG71" s="2101"/>
      <c r="AI71" s="18"/>
      <c r="AJ71" s="18"/>
      <c r="AK71" s="18"/>
      <c r="AL71" s="18"/>
      <c r="AM71" s="18"/>
      <c r="AN71" s="18"/>
      <c r="AO71" s="18"/>
      <c r="AP71" s="18"/>
      <c r="AQ71" s="18"/>
    </row>
    <row r="72" spans="1:43" s="584" customFormat="1">
      <c r="A72" s="597"/>
      <c r="D72" s="2101"/>
      <c r="E72" s="2101"/>
      <c r="F72" s="2101"/>
      <c r="G72" s="2101"/>
      <c r="H72" s="2101"/>
      <c r="I72" s="2101"/>
      <c r="J72" s="2101"/>
      <c r="K72" s="2101"/>
      <c r="L72" s="2101"/>
      <c r="M72" s="2101"/>
      <c r="N72" s="2101"/>
      <c r="O72" s="2101"/>
      <c r="P72" s="2101"/>
      <c r="Q72" s="2101"/>
      <c r="R72" s="2101"/>
      <c r="S72" s="2101"/>
      <c r="T72" s="2101"/>
      <c r="U72" s="2101"/>
      <c r="V72" s="2101"/>
      <c r="W72" s="2101"/>
      <c r="X72" s="2101"/>
      <c r="Y72" s="2101"/>
      <c r="Z72" s="2101"/>
      <c r="AA72" s="2101"/>
      <c r="AB72" s="2101"/>
      <c r="AC72" s="2101"/>
      <c r="AD72" s="2101"/>
      <c r="AE72" s="2101"/>
      <c r="AF72" s="2101"/>
      <c r="AG72" s="2101"/>
      <c r="AI72" s="18"/>
      <c r="AJ72" s="18"/>
      <c r="AK72" s="18"/>
      <c r="AL72" s="18"/>
      <c r="AM72" s="18"/>
      <c r="AN72" s="18"/>
      <c r="AO72" s="18"/>
      <c r="AP72" s="18"/>
      <c r="AQ72" s="18"/>
    </row>
    <row r="73" spans="1:43" s="584" customFormat="1">
      <c r="A73" s="597"/>
      <c r="D73" s="582" t="s">
        <v>1334</v>
      </c>
      <c r="AI73" s="18"/>
      <c r="AJ73" s="18"/>
      <c r="AK73" s="18"/>
      <c r="AL73" s="18"/>
      <c r="AM73" s="18"/>
      <c r="AN73" s="18"/>
      <c r="AO73" s="18"/>
      <c r="AP73" s="18"/>
      <c r="AQ73" s="18"/>
    </row>
    <row r="74" spans="1:43" s="584" customFormat="1">
      <c r="A74" s="597"/>
      <c r="AI74" s="18"/>
      <c r="AJ74" s="18"/>
      <c r="AK74" s="18"/>
      <c r="AL74" s="18"/>
      <c r="AM74" s="18"/>
      <c r="AN74" s="18"/>
      <c r="AO74" s="18"/>
      <c r="AP74" s="18"/>
      <c r="AQ74" s="18"/>
    </row>
    <row r="75" spans="1:43" s="584" customFormat="1">
      <c r="A75" s="597"/>
      <c r="D75" s="2101" t="s">
        <v>1335</v>
      </c>
      <c r="E75" s="2101"/>
      <c r="F75" s="2101"/>
      <c r="G75" s="2101"/>
      <c r="H75" s="2101"/>
      <c r="I75" s="2101"/>
      <c r="J75" s="2101"/>
      <c r="K75" s="2101"/>
      <c r="L75" s="2101"/>
      <c r="M75" s="2101"/>
      <c r="N75" s="2101"/>
      <c r="O75" s="2101"/>
      <c r="P75" s="2101"/>
      <c r="Q75" s="2101"/>
      <c r="R75" s="2101"/>
      <c r="S75" s="2101"/>
      <c r="T75" s="2101"/>
      <c r="U75" s="2101"/>
      <c r="V75" s="2101"/>
      <c r="W75" s="2101"/>
      <c r="X75" s="2101"/>
      <c r="Y75" s="2101"/>
      <c r="Z75" s="2101"/>
      <c r="AA75" s="2101"/>
      <c r="AB75" s="2101"/>
      <c r="AC75" s="2101"/>
      <c r="AD75" s="2101"/>
      <c r="AE75" s="2101"/>
      <c r="AF75" s="2101"/>
      <c r="AG75" s="2101"/>
      <c r="AI75" s="18"/>
      <c r="AJ75" s="18"/>
      <c r="AK75" s="18"/>
      <c r="AL75" s="18"/>
      <c r="AM75" s="18"/>
      <c r="AN75" s="18"/>
      <c r="AO75" s="18"/>
      <c r="AP75" s="18"/>
      <c r="AQ75" s="18"/>
    </row>
    <row r="76" spans="1:43" s="584" customFormat="1">
      <c r="A76" s="597"/>
      <c r="D76" s="2101"/>
      <c r="E76" s="2101"/>
      <c r="F76" s="2101"/>
      <c r="G76" s="2101"/>
      <c r="H76" s="2101"/>
      <c r="I76" s="2101"/>
      <c r="J76" s="2101"/>
      <c r="K76" s="2101"/>
      <c r="L76" s="2101"/>
      <c r="M76" s="2101"/>
      <c r="N76" s="2101"/>
      <c r="O76" s="2101"/>
      <c r="P76" s="2101"/>
      <c r="Q76" s="2101"/>
      <c r="R76" s="2101"/>
      <c r="S76" s="2101"/>
      <c r="T76" s="2101"/>
      <c r="U76" s="2101"/>
      <c r="V76" s="2101"/>
      <c r="W76" s="2101"/>
      <c r="X76" s="2101"/>
      <c r="Y76" s="2101"/>
      <c r="Z76" s="2101"/>
      <c r="AA76" s="2101"/>
      <c r="AB76" s="2101"/>
      <c r="AC76" s="2101"/>
      <c r="AD76" s="2101"/>
      <c r="AE76" s="2101"/>
      <c r="AF76" s="2101"/>
      <c r="AG76" s="2101"/>
      <c r="AI76" s="18"/>
      <c r="AJ76" s="18"/>
      <c r="AK76" s="18"/>
      <c r="AL76" s="18"/>
      <c r="AM76" s="18"/>
      <c r="AN76" s="18"/>
      <c r="AO76" s="18"/>
      <c r="AP76" s="18"/>
      <c r="AQ76" s="18"/>
    </row>
    <row r="77" spans="1:43" s="584" customFormat="1">
      <c r="A77" s="597"/>
      <c r="AI77" s="18"/>
      <c r="AJ77" s="18"/>
      <c r="AK77" s="18"/>
      <c r="AL77" s="18"/>
      <c r="AM77" s="18"/>
      <c r="AN77" s="18"/>
      <c r="AO77" s="18"/>
      <c r="AP77" s="18"/>
      <c r="AQ77" s="18"/>
    </row>
    <row r="78" spans="1:43" s="584" customFormat="1">
      <c r="A78" s="597"/>
      <c r="D78" s="2101" t="s">
        <v>1336</v>
      </c>
      <c r="E78" s="2101"/>
      <c r="F78" s="2101"/>
      <c r="G78" s="2101"/>
      <c r="H78" s="2101"/>
      <c r="I78" s="2101"/>
      <c r="J78" s="2101"/>
      <c r="K78" s="2101"/>
      <c r="L78" s="2101"/>
      <c r="M78" s="2101"/>
      <c r="N78" s="2101"/>
      <c r="O78" s="2101"/>
      <c r="P78" s="2101"/>
      <c r="Q78" s="2101"/>
      <c r="R78" s="2101"/>
      <c r="S78" s="2101"/>
      <c r="T78" s="2101"/>
      <c r="U78" s="2101"/>
      <c r="V78" s="2101"/>
      <c r="W78" s="2101"/>
      <c r="X78" s="2101"/>
      <c r="Y78" s="2101"/>
      <c r="Z78" s="2101"/>
      <c r="AA78" s="2101"/>
      <c r="AB78" s="2101"/>
      <c r="AC78" s="2101"/>
      <c r="AD78" s="2101"/>
      <c r="AE78" s="2101"/>
      <c r="AF78" s="2101"/>
      <c r="AG78" s="2101"/>
      <c r="AI78" s="18"/>
      <c r="AJ78" s="18"/>
      <c r="AK78" s="18"/>
      <c r="AL78" s="18"/>
      <c r="AM78" s="18"/>
      <c r="AN78" s="18"/>
      <c r="AO78" s="18"/>
      <c r="AP78" s="18"/>
      <c r="AQ78" s="18"/>
    </row>
    <row r="79" spans="1:43" s="584" customFormat="1">
      <c r="A79" s="597"/>
      <c r="D79" s="2101"/>
      <c r="E79" s="2101"/>
      <c r="F79" s="2101"/>
      <c r="G79" s="2101"/>
      <c r="H79" s="2101"/>
      <c r="I79" s="2101"/>
      <c r="J79" s="2101"/>
      <c r="K79" s="2101"/>
      <c r="L79" s="2101"/>
      <c r="M79" s="2101"/>
      <c r="N79" s="2101"/>
      <c r="O79" s="2101"/>
      <c r="P79" s="2101"/>
      <c r="Q79" s="2101"/>
      <c r="R79" s="2101"/>
      <c r="S79" s="2101"/>
      <c r="T79" s="2101"/>
      <c r="U79" s="2101"/>
      <c r="V79" s="2101"/>
      <c r="W79" s="2101"/>
      <c r="X79" s="2101"/>
      <c r="Y79" s="2101"/>
      <c r="Z79" s="2101"/>
      <c r="AA79" s="2101"/>
      <c r="AB79" s="2101"/>
      <c r="AC79" s="2101"/>
      <c r="AD79" s="2101"/>
      <c r="AE79" s="2101"/>
      <c r="AF79" s="2101"/>
      <c r="AG79" s="2101"/>
      <c r="AI79" s="18"/>
      <c r="AJ79" s="18"/>
      <c r="AK79" s="18"/>
      <c r="AL79" s="18"/>
      <c r="AM79" s="18"/>
      <c r="AN79" s="18"/>
      <c r="AO79" s="18"/>
      <c r="AP79" s="18"/>
      <c r="AQ79" s="18"/>
    </row>
    <row r="80" spans="1:43" s="584" customFormat="1">
      <c r="A80" s="597"/>
      <c r="AI80" s="18"/>
      <c r="AJ80" s="18"/>
      <c r="AK80" s="18"/>
      <c r="AL80" s="18"/>
      <c r="AM80" s="18"/>
      <c r="AN80" s="18"/>
      <c r="AO80" s="18"/>
      <c r="AP80" s="18"/>
      <c r="AQ80" s="18"/>
    </row>
    <row r="81" spans="1:43" s="584" customFormat="1">
      <c r="A81" s="597"/>
      <c r="D81" s="2057" t="s">
        <v>3019</v>
      </c>
      <c r="E81" s="2101"/>
      <c r="F81" s="2101"/>
      <c r="G81" s="2101"/>
      <c r="H81" s="2101"/>
      <c r="I81" s="2101"/>
      <c r="J81" s="2101"/>
      <c r="K81" s="2101"/>
      <c r="L81" s="2101"/>
      <c r="M81" s="2101"/>
      <c r="N81" s="2101"/>
      <c r="O81" s="2101"/>
      <c r="P81" s="2101"/>
      <c r="Q81" s="2101"/>
      <c r="R81" s="2101"/>
      <c r="S81" s="2101"/>
      <c r="T81" s="2101"/>
      <c r="U81" s="2101"/>
      <c r="V81" s="2101"/>
      <c r="W81" s="2101"/>
      <c r="X81" s="2101"/>
      <c r="Y81" s="2101"/>
      <c r="Z81" s="2101"/>
      <c r="AA81" s="2101"/>
      <c r="AB81" s="2101"/>
      <c r="AC81" s="2101"/>
      <c r="AD81" s="2101"/>
      <c r="AE81" s="2101"/>
      <c r="AF81" s="2101"/>
      <c r="AG81" s="2101"/>
      <c r="AI81" s="18"/>
      <c r="AJ81" s="18"/>
      <c r="AK81" s="18"/>
      <c r="AL81" s="18"/>
      <c r="AM81" s="18"/>
      <c r="AN81" s="18"/>
      <c r="AO81" s="18"/>
      <c r="AP81" s="18"/>
      <c r="AQ81" s="18"/>
    </row>
    <row r="82" spans="1:43" s="584" customFormat="1" ht="42.6" customHeight="1">
      <c r="A82" s="597"/>
      <c r="D82" s="2101"/>
      <c r="E82" s="2101"/>
      <c r="F82" s="2101"/>
      <c r="G82" s="2101"/>
      <c r="H82" s="2101"/>
      <c r="I82" s="2101"/>
      <c r="J82" s="2101"/>
      <c r="K82" s="2101"/>
      <c r="L82" s="2101"/>
      <c r="M82" s="2101"/>
      <c r="N82" s="2101"/>
      <c r="O82" s="2101"/>
      <c r="P82" s="2101"/>
      <c r="Q82" s="2101"/>
      <c r="R82" s="2101"/>
      <c r="S82" s="2101"/>
      <c r="T82" s="2101"/>
      <c r="U82" s="2101"/>
      <c r="V82" s="2101"/>
      <c r="W82" s="2101"/>
      <c r="X82" s="2101"/>
      <c r="Y82" s="2101"/>
      <c r="Z82" s="2101"/>
      <c r="AA82" s="2101"/>
      <c r="AB82" s="2101"/>
      <c r="AC82" s="2101"/>
      <c r="AD82" s="2101"/>
      <c r="AE82" s="2101"/>
      <c r="AF82" s="2101"/>
      <c r="AG82" s="2101"/>
      <c r="AI82" s="18"/>
      <c r="AJ82" s="18"/>
      <c r="AK82" s="18"/>
      <c r="AL82" s="18"/>
      <c r="AM82" s="18"/>
      <c r="AN82" s="18"/>
      <c r="AO82" s="18"/>
      <c r="AP82" s="18"/>
      <c r="AQ82" s="18"/>
    </row>
    <row r="83" spans="1:43" s="584" customFormat="1">
      <c r="A83" s="597"/>
      <c r="AI83" s="18"/>
      <c r="AJ83" s="18"/>
      <c r="AK83" s="18"/>
      <c r="AL83" s="18"/>
      <c r="AM83" s="18"/>
      <c r="AN83" s="18"/>
      <c r="AO83" s="18"/>
      <c r="AP83" s="18"/>
      <c r="AQ83" s="18"/>
    </row>
    <row r="84" spans="1:43" s="584" customFormat="1">
      <c r="A84" s="597"/>
      <c r="D84" s="600" t="s">
        <v>1337</v>
      </c>
      <c r="AI84" s="18"/>
      <c r="AJ84" s="18"/>
      <c r="AK84" s="18"/>
      <c r="AL84" s="18"/>
      <c r="AM84" s="18"/>
      <c r="AN84" s="18"/>
      <c r="AO84" s="18"/>
      <c r="AP84" s="18"/>
      <c r="AQ84" s="18"/>
    </row>
    <row r="85" spans="1:43" s="584" customFormat="1">
      <c r="A85" s="597"/>
      <c r="D85" s="773"/>
      <c r="E85" s="773"/>
      <c r="F85" s="773"/>
      <c r="G85" s="773"/>
      <c r="H85" s="773"/>
      <c r="I85" s="773"/>
      <c r="J85" s="773"/>
      <c r="K85" s="773"/>
      <c r="L85" s="773"/>
      <c r="M85" s="773"/>
      <c r="N85" s="773"/>
      <c r="O85" s="773"/>
      <c r="P85" s="773"/>
      <c r="Q85" s="773"/>
      <c r="R85" s="773"/>
      <c r="S85" s="773"/>
      <c r="T85" s="773"/>
      <c r="U85" s="773"/>
      <c r="V85" s="773"/>
      <c r="W85" s="773"/>
      <c r="X85" s="773"/>
      <c r="Y85" s="773"/>
      <c r="Z85" s="773"/>
      <c r="AA85" s="773"/>
      <c r="AB85" s="773"/>
      <c r="AC85" s="773"/>
      <c r="AD85" s="773"/>
      <c r="AE85" s="773"/>
      <c r="AF85" s="773"/>
      <c r="AG85" s="773"/>
      <c r="AI85" s="18"/>
      <c r="AJ85" s="18"/>
      <c r="AK85" s="18"/>
      <c r="AL85" s="18"/>
      <c r="AM85" s="18"/>
      <c r="AN85" s="18"/>
      <c r="AO85" s="18"/>
      <c r="AP85" s="18"/>
      <c r="AQ85" s="18"/>
    </row>
    <row r="86" spans="1:43" s="584" customFormat="1">
      <c r="A86" s="597"/>
      <c r="D86" s="1510" t="s">
        <v>2913</v>
      </c>
      <c r="E86" s="1511"/>
      <c r="F86" s="1511"/>
      <c r="G86" s="1511"/>
      <c r="H86" s="1511"/>
      <c r="I86" s="1511"/>
      <c r="J86" s="1511"/>
      <c r="K86" s="1511"/>
      <c r="L86" s="1511"/>
      <c r="M86" s="1511"/>
      <c r="N86" s="1511"/>
      <c r="O86" s="1511"/>
      <c r="P86" s="1511"/>
      <c r="Q86" s="1511"/>
      <c r="R86" s="1511"/>
      <c r="S86" s="1511"/>
      <c r="T86" s="1511"/>
      <c r="U86" s="1511"/>
      <c r="V86" s="1511"/>
      <c r="W86" s="1511"/>
      <c r="X86" s="1511"/>
      <c r="Y86" s="1511"/>
      <c r="Z86" s="1511"/>
      <c r="AA86" s="1511"/>
      <c r="AB86" s="1511"/>
      <c r="AC86" s="1511"/>
      <c r="AD86" s="1511"/>
      <c r="AE86" s="1511"/>
      <c r="AF86" s="1511"/>
      <c r="AG86" s="1511"/>
      <c r="AI86" s="18"/>
      <c r="AJ86" s="18"/>
      <c r="AK86" s="18"/>
      <c r="AL86" s="18"/>
      <c r="AM86" s="18"/>
      <c r="AN86" s="18"/>
      <c r="AO86" s="18"/>
      <c r="AP86" s="18"/>
      <c r="AQ86" s="18"/>
    </row>
    <row r="87" spans="1:43" s="584" customFormat="1">
      <c r="A87" s="597"/>
      <c r="D87" s="1510" t="s">
        <v>2914</v>
      </c>
      <c r="E87" s="1511"/>
      <c r="F87" s="1511"/>
      <c r="G87" s="1511"/>
      <c r="H87" s="1511"/>
      <c r="I87" s="1511"/>
      <c r="J87" s="1511"/>
      <c r="K87" s="1511"/>
      <c r="L87" s="1511"/>
      <c r="M87" s="1511"/>
      <c r="N87" s="1511"/>
      <c r="O87" s="1511"/>
      <c r="P87" s="1511"/>
      <c r="Q87" s="1511"/>
      <c r="R87" s="1511"/>
      <c r="S87" s="1511"/>
      <c r="T87" s="1511"/>
      <c r="U87" s="1511"/>
      <c r="V87" s="1511"/>
      <c r="W87" s="1511"/>
      <c r="X87" s="1511"/>
      <c r="Y87" s="1511"/>
      <c r="Z87" s="1511"/>
      <c r="AA87" s="1511"/>
      <c r="AB87" s="1511"/>
      <c r="AC87" s="1511"/>
      <c r="AD87" s="1511"/>
      <c r="AE87" s="1511"/>
      <c r="AF87" s="1511"/>
      <c r="AG87" s="1511"/>
      <c r="AI87" s="18"/>
      <c r="AJ87" s="18"/>
      <c r="AK87" s="18"/>
      <c r="AL87" s="18"/>
      <c r="AM87" s="18"/>
      <c r="AN87" s="18"/>
      <c r="AO87" s="18"/>
      <c r="AP87" s="18"/>
      <c r="AQ87" s="18"/>
    </row>
    <row r="88" spans="1:43" s="584" customFormat="1" ht="6.6" customHeight="1">
      <c r="A88" s="597"/>
      <c r="D88" s="1510"/>
      <c r="E88" s="1511"/>
      <c r="F88" s="1511"/>
      <c r="G88" s="1511"/>
      <c r="H88" s="1511"/>
      <c r="I88" s="1511"/>
      <c r="J88" s="1511"/>
      <c r="K88" s="1511"/>
      <c r="L88" s="1511"/>
      <c r="M88" s="1511"/>
      <c r="N88" s="1511"/>
      <c r="O88" s="1511"/>
      <c r="P88" s="1511"/>
      <c r="Q88" s="1511"/>
      <c r="R88" s="1511"/>
      <c r="S88" s="1511"/>
      <c r="T88" s="1511"/>
      <c r="U88" s="1511"/>
      <c r="V88" s="1511"/>
      <c r="W88" s="1511"/>
      <c r="X88" s="1511"/>
      <c r="Y88" s="1511"/>
      <c r="Z88" s="1511"/>
      <c r="AA88" s="1511"/>
      <c r="AB88" s="1511"/>
      <c r="AC88" s="1511"/>
      <c r="AD88" s="1511"/>
      <c r="AE88" s="1511"/>
      <c r="AF88" s="1511"/>
      <c r="AG88" s="1511"/>
      <c r="AI88" s="18"/>
      <c r="AJ88" s="18"/>
      <c r="AK88" s="18"/>
      <c r="AL88" s="18"/>
      <c r="AM88" s="18"/>
      <c r="AN88" s="18"/>
      <c r="AO88" s="18"/>
      <c r="AP88" s="18"/>
      <c r="AQ88" s="18"/>
    </row>
    <row r="89" spans="1:43" s="584" customFormat="1">
      <c r="A89" s="597"/>
      <c r="D89" s="1885" t="s">
        <v>1340</v>
      </c>
      <c r="E89" s="1885"/>
      <c r="F89" s="1885"/>
      <c r="G89" s="1885"/>
      <c r="H89" s="1885"/>
      <c r="I89" s="1885"/>
      <c r="J89" s="1885"/>
      <c r="K89" s="1885"/>
      <c r="L89" s="1885"/>
      <c r="M89" s="1885"/>
      <c r="N89" s="1885"/>
      <c r="O89" s="1885"/>
      <c r="P89" s="1885"/>
      <c r="Q89" s="1885"/>
      <c r="R89" s="1885"/>
      <c r="S89" s="1885"/>
      <c r="T89" s="1885"/>
      <c r="U89" s="1885"/>
      <c r="V89" s="1885"/>
      <c r="W89" s="1885"/>
      <c r="X89" s="1885"/>
      <c r="Y89" s="1885"/>
      <c r="Z89" s="1885"/>
      <c r="AA89" s="1885"/>
      <c r="AB89" s="1885"/>
      <c r="AC89" s="1885"/>
      <c r="AD89" s="1885"/>
      <c r="AE89" s="1885"/>
      <c r="AF89" s="1885"/>
      <c r="AG89" s="1885"/>
      <c r="AI89" s="18"/>
      <c r="AJ89" s="18"/>
      <c r="AK89" s="18"/>
      <c r="AL89" s="18"/>
      <c r="AM89" s="18"/>
      <c r="AN89" s="18"/>
      <c r="AO89" s="18"/>
      <c r="AP89" s="18"/>
      <c r="AQ89" s="18"/>
    </row>
    <row r="90" spans="1:43" s="584" customFormat="1">
      <c r="A90" s="597"/>
      <c r="D90" s="1885"/>
      <c r="E90" s="1885"/>
      <c r="F90" s="1885"/>
      <c r="G90" s="1885"/>
      <c r="H90" s="1885"/>
      <c r="I90" s="1885"/>
      <c r="J90" s="1885"/>
      <c r="K90" s="1885"/>
      <c r="L90" s="1885"/>
      <c r="M90" s="1885"/>
      <c r="N90" s="1885"/>
      <c r="O90" s="1885"/>
      <c r="P90" s="1885"/>
      <c r="Q90" s="1885"/>
      <c r="R90" s="1885"/>
      <c r="S90" s="1885"/>
      <c r="T90" s="1885"/>
      <c r="U90" s="1885"/>
      <c r="V90" s="1885"/>
      <c r="W90" s="1885"/>
      <c r="X90" s="1885"/>
      <c r="Y90" s="1885"/>
      <c r="Z90" s="1885"/>
      <c r="AA90" s="1885"/>
      <c r="AB90" s="1885"/>
      <c r="AC90" s="1885"/>
      <c r="AD90" s="1885"/>
      <c r="AE90" s="1885"/>
      <c r="AF90" s="1885"/>
      <c r="AG90" s="1885"/>
      <c r="AI90" s="18"/>
      <c r="AJ90" s="18"/>
      <c r="AK90" s="18"/>
      <c r="AL90" s="18"/>
      <c r="AM90" s="18"/>
      <c r="AN90" s="18"/>
      <c r="AO90" s="18"/>
      <c r="AP90" s="18"/>
      <c r="AQ90" s="18"/>
    </row>
    <row r="91" spans="1:43" s="584" customFormat="1">
      <c r="A91" s="597"/>
      <c r="AI91" s="18"/>
      <c r="AJ91" s="18"/>
      <c r="AK91" s="18"/>
      <c r="AL91" s="18"/>
      <c r="AM91" s="18"/>
      <c r="AN91" s="18"/>
      <c r="AO91" s="18"/>
      <c r="AP91" s="18"/>
      <c r="AQ91" s="18"/>
    </row>
    <row r="92" spans="1:43" s="584" customFormat="1">
      <c r="A92" s="597"/>
      <c r="D92" s="582" t="s">
        <v>1341</v>
      </c>
      <c r="AI92" s="18"/>
      <c r="AJ92" s="18"/>
      <c r="AK92" s="18"/>
      <c r="AL92" s="18"/>
      <c r="AM92" s="18"/>
      <c r="AN92" s="18"/>
      <c r="AO92" s="18"/>
      <c r="AP92" s="18"/>
      <c r="AQ92" s="18"/>
    </row>
    <row r="93" spans="1:43" s="584" customFormat="1">
      <c r="A93" s="597"/>
      <c r="AI93" s="18"/>
      <c r="AJ93" s="18"/>
      <c r="AK93" s="18"/>
      <c r="AL93" s="18"/>
      <c r="AM93" s="18"/>
      <c r="AN93" s="18"/>
      <c r="AO93" s="18"/>
      <c r="AP93" s="18"/>
      <c r="AQ93" s="18"/>
    </row>
    <row r="94" spans="1:43" s="584" customFormat="1">
      <c r="A94" s="597"/>
      <c r="D94" s="2101" t="s">
        <v>1342</v>
      </c>
      <c r="E94" s="2101"/>
      <c r="F94" s="2101"/>
      <c r="G94" s="2101"/>
      <c r="H94" s="2101"/>
      <c r="I94" s="2101"/>
      <c r="J94" s="2101"/>
      <c r="K94" s="2101"/>
      <c r="L94" s="2101"/>
      <c r="M94" s="2101"/>
      <c r="N94" s="2101"/>
      <c r="O94" s="2101"/>
      <c r="P94" s="2101"/>
      <c r="Q94" s="2101"/>
      <c r="R94" s="2101"/>
      <c r="S94" s="2101"/>
      <c r="T94" s="2101"/>
      <c r="U94" s="2101"/>
      <c r="V94" s="2101"/>
      <c r="W94" s="2101"/>
      <c r="X94" s="2101"/>
      <c r="Y94" s="2101"/>
      <c r="Z94" s="2101"/>
      <c r="AA94" s="2101"/>
      <c r="AB94" s="2101"/>
      <c r="AC94" s="2101"/>
      <c r="AD94" s="2101"/>
      <c r="AE94" s="2101"/>
      <c r="AF94" s="2101"/>
      <c r="AG94" s="2101"/>
      <c r="AI94" s="18"/>
      <c r="AJ94" s="18"/>
      <c r="AK94" s="18"/>
      <c r="AL94" s="18"/>
      <c r="AM94" s="18"/>
      <c r="AN94" s="18"/>
      <c r="AO94" s="18"/>
      <c r="AP94" s="18"/>
      <c r="AQ94" s="18"/>
    </row>
    <row r="95" spans="1:43" s="584" customFormat="1">
      <c r="A95" s="597"/>
      <c r="D95" s="2101"/>
      <c r="E95" s="2101"/>
      <c r="F95" s="2101"/>
      <c r="G95" s="2101"/>
      <c r="H95" s="2101"/>
      <c r="I95" s="2101"/>
      <c r="J95" s="2101"/>
      <c r="K95" s="2101"/>
      <c r="L95" s="2101"/>
      <c r="M95" s="2101"/>
      <c r="N95" s="2101"/>
      <c r="O95" s="2101"/>
      <c r="P95" s="2101"/>
      <c r="Q95" s="2101"/>
      <c r="R95" s="2101"/>
      <c r="S95" s="2101"/>
      <c r="T95" s="2101"/>
      <c r="U95" s="2101"/>
      <c r="V95" s="2101"/>
      <c r="W95" s="2101"/>
      <c r="X95" s="2101"/>
      <c r="Y95" s="2101"/>
      <c r="Z95" s="2101"/>
      <c r="AA95" s="2101"/>
      <c r="AB95" s="2101"/>
      <c r="AC95" s="2101"/>
      <c r="AD95" s="2101"/>
      <c r="AE95" s="2101"/>
      <c r="AF95" s="2101"/>
      <c r="AG95" s="2101"/>
      <c r="AI95" s="18"/>
      <c r="AJ95" s="18"/>
      <c r="AK95" s="18"/>
      <c r="AL95" s="18"/>
      <c r="AM95" s="18"/>
      <c r="AN95" s="18"/>
      <c r="AO95" s="18"/>
      <c r="AP95" s="18"/>
      <c r="AQ95" s="18"/>
    </row>
    <row r="96" spans="1:43" s="584" customFormat="1">
      <c r="A96" s="597"/>
      <c r="AI96" s="18"/>
      <c r="AJ96" s="18"/>
      <c r="AK96" s="18"/>
      <c r="AL96" s="18"/>
      <c r="AM96" s="18"/>
      <c r="AN96" s="18"/>
      <c r="AO96" s="18"/>
      <c r="AP96" s="18"/>
      <c r="AQ96" s="18"/>
    </row>
    <row r="97" spans="1:43" s="584" customFormat="1">
      <c r="A97" s="597"/>
      <c r="D97" s="2101" t="s">
        <v>1343</v>
      </c>
      <c r="E97" s="2101"/>
      <c r="F97" s="2101"/>
      <c r="G97" s="2101"/>
      <c r="H97" s="2101"/>
      <c r="I97" s="2101"/>
      <c r="J97" s="2101"/>
      <c r="K97" s="2101"/>
      <c r="L97" s="2101"/>
      <c r="M97" s="2101"/>
      <c r="N97" s="2101"/>
      <c r="O97" s="2101"/>
      <c r="P97" s="2101"/>
      <c r="Q97" s="2101"/>
      <c r="R97" s="2101"/>
      <c r="S97" s="2101"/>
      <c r="T97" s="2101"/>
      <c r="U97" s="2101"/>
      <c r="V97" s="2101"/>
      <c r="W97" s="2101"/>
      <c r="X97" s="2101"/>
      <c r="Y97" s="2101"/>
      <c r="Z97" s="2101"/>
      <c r="AA97" s="2101"/>
      <c r="AB97" s="2101"/>
      <c r="AC97" s="2101"/>
      <c r="AD97" s="2101"/>
      <c r="AE97" s="2101"/>
      <c r="AF97" s="2101"/>
      <c r="AG97" s="2101"/>
      <c r="AI97" s="18"/>
      <c r="AJ97" s="18"/>
      <c r="AK97" s="18"/>
      <c r="AL97" s="18"/>
      <c r="AM97" s="18"/>
      <c r="AN97" s="18"/>
      <c r="AO97" s="18"/>
      <c r="AP97" s="18"/>
      <c r="AQ97" s="18"/>
    </row>
    <row r="98" spans="1:43" s="584" customFormat="1">
      <c r="A98" s="597"/>
      <c r="D98" s="2101"/>
      <c r="E98" s="2101"/>
      <c r="F98" s="2101"/>
      <c r="G98" s="2101"/>
      <c r="H98" s="2101"/>
      <c r="I98" s="2101"/>
      <c r="J98" s="2101"/>
      <c r="K98" s="2101"/>
      <c r="L98" s="2101"/>
      <c r="M98" s="2101"/>
      <c r="N98" s="2101"/>
      <c r="O98" s="2101"/>
      <c r="P98" s="2101"/>
      <c r="Q98" s="2101"/>
      <c r="R98" s="2101"/>
      <c r="S98" s="2101"/>
      <c r="T98" s="2101"/>
      <c r="U98" s="2101"/>
      <c r="V98" s="2101"/>
      <c r="W98" s="2101"/>
      <c r="X98" s="2101"/>
      <c r="Y98" s="2101"/>
      <c r="Z98" s="2101"/>
      <c r="AA98" s="2101"/>
      <c r="AB98" s="2101"/>
      <c r="AC98" s="2101"/>
      <c r="AD98" s="2101"/>
      <c r="AE98" s="2101"/>
      <c r="AF98" s="2101"/>
      <c r="AG98" s="2101"/>
      <c r="AI98" s="18"/>
      <c r="AJ98" s="18"/>
      <c r="AK98" s="18"/>
      <c r="AL98" s="18"/>
      <c r="AM98" s="18"/>
      <c r="AN98" s="18"/>
      <c r="AO98" s="18"/>
      <c r="AP98" s="18"/>
      <c r="AQ98" s="18"/>
    </row>
    <row r="99" spans="1:43" s="584" customFormat="1">
      <c r="A99" s="597"/>
      <c r="AI99" s="18"/>
      <c r="AJ99" s="18"/>
      <c r="AK99" s="18"/>
      <c r="AL99" s="18"/>
      <c r="AM99" s="18"/>
      <c r="AN99" s="18"/>
      <c r="AO99" s="18"/>
      <c r="AP99" s="18"/>
      <c r="AQ99" s="18"/>
    </row>
    <row r="100" spans="1:43" s="584" customFormat="1">
      <c r="A100" s="597"/>
      <c r="D100" s="2101" t="s">
        <v>1344</v>
      </c>
      <c r="E100" s="2101"/>
      <c r="F100" s="2101"/>
      <c r="G100" s="2101"/>
      <c r="H100" s="2101"/>
      <c r="I100" s="2101"/>
      <c r="J100" s="2101"/>
      <c r="K100" s="2101"/>
      <c r="L100" s="2101"/>
      <c r="M100" s="2101"/>
      <c r="N100" s="2101"/>
      <c r="O100" s="2101"/>
      <c r="P100" s="2101"/>
      <c r="Q100" s="2101"/>
      <c r="R100" s="2101"/>
      <c r="S100" s="2101"/>
      <c r="T100" s="2101"/>
      <c r="U100" s="2101"/>
      <c r="V100" s="2101"/>
      <c r="W100" s="2101"/>
      <c r="X100" s="2101"/>
      <c r="Y100" s="2101"/>
      <c r="Z100" s="2101"/>
      <c r="AA100" s="2101"/>
      <c r="AB100" s="2101"/>
      <c r="AC100" s="2101"/>
      <c r="AD100" s="2101"/>
      <c r="AE100" s="2101"/>
      <c r="AF100" s="2101"/>
      <c r="AG100" s="2101"/>
      <c r="AI100" s="18"/>
      <c r="AJ100" s="18"/>
      <c r="AK100" s="18"/>
      <c r="AL100" s="18"/>
      <c r="AM100" s="18"/>
      <c r="AN100" s="18"/>
      <c r="AO100" s="18"/>
      <c r="AP100" s="18"/>
      <c r="AQ100" s="18"/>
    </row>
    <row r="101" spans="1:43" s="584" customFormat="1">
      <c r="A101" s="597"/>
      <c r="D101" s="2101"/>
      <c r="E101" s="2101"/>
      <c r="F101" s="2101"/>
      <c r="G101" s="2101"/>
      <c r="H101" s="2101"/>
      <c r="I101" s="2101"/>
      <c r="J101" s="2101"/>
      <c r="K101" s="2101"/>
      <c r="L101" s="2101"/>
      <c r="M101" s="2101"/>
      <c r="N101" s="2101"/>
      <c r="O101" s="2101"/>
      <c r="P101" s="2101"/>
      <c r="Q101" s="2101"/>
      <c r="R101" s="2101"/>
      <c r="S101" s="2101"/>
      <c r="T101" s="2101"/>
      <c r="U101" s="2101"/>
      <c r="V101" s="2101"/>
      <c r="W101" s="2101"/>
      <c r="X101" s="2101"/>
      <c r="Y101" s="2101"/>
      <c r="Z101" s="2101"/>
      <c r="AA101" s="2101"/>
      <c r="AB101" s="2101"/>
      <c r="AC101" s="2101"/>
      <c r="AD101" s="2101"/>
      <c r="AE101" s="2101"/>
      <c r="AF101" s="2101"/>
      <c r="AG101" s="2101"/>
      <c r="AI101" s="18"/>
      <c r="AJ101" s="18"/>
      <c r="AK101" s="18"/>
      <c r="AL101" s="18"/>
      <c r="AM101" s="18"/>
      <c r="AN101" s="18"/>
      <c r="AO101" s="18"/>
      <c r="AP101" s="18"/>
      <c r="AQ101" s="18"/>
    </row>
    <row r="102" spans="1:43" s="584" customFormat="1">
      <c r="A102" s="597"/>
      <c r="AI102" s="18"/>
      <c r="AJ102" s="18"/>
      <c r="AK102" s="18"/>
      <c r="AL102" s="18"/>
      <c r="AM102" s="18"/>
      <c r="AN102" s="18"/>
      <c r="AO102" s="18"/>
      <c r="AP102" s="18"/>
      <c r="AQ102" s="18"/>
    </row>
    <row r="103" spans="1:43" s="584" customFormat="1">
      <c r="A103" s="597"/>
      <c r="D103" s="600" t="s">
        <v>1337</v>
      </c>
      <c r="AI103" s="18"/>
      <c r="AJ103" s="18"/>
      <c r="AK103" s="18"/>
      <c r="AL103" s="18"/>
      <c r="AM103" s="18"/>
      <c r="AN103" s="18"/>
      <c r="AO103" s="18"/>
      <c r="AP103" s="18"/>
      <c r="AQ103" s="18"/>
    </row>
    <row r="104" spans="1:43" s="584" customFormat="1">
      <c r="A104" s="597"/>
      <c r="AI104" s="18"/>
      <c r="AJ104" s="18"/>
      <c r="AK104" s="18"/>
      <c r="AL104" s="18"/>
      <c r="AM104" s="18"/>
      <c r="AN104" s="18"/>
      <c r="AO104" s="18"/>
      <c r="AP104" s="18"/>
      <c r="AQ104" s="18"/>
    </row>
    <row r="105" spans="1:43" s="584" customFormat="1">
      <c r="A105" s="597"/>
      <c r="D105" s="2101" t="s">
        <v>1349</v>
      </c>
      <c r="E105" s="2101"/>
      <c r="F105" s="2101"/>
      <c r="G105" s="2101"/>
      <c r="H105" s="2101"/>
      <c r="I105" s="2101"/>
      <c r="J105" s="2101"/>
      <c r="K105" s="2101"/>
      <c r="L105" s="2101"/>
      <c r="M105" s="2101"/>
      <c r="N105" s="2101"/>
      <c r="O105" s="2101"/>
      <c r="P105" s="2101"/>
      <c r="Q105" s="2101"/>
      <c r="R105" s="2101"/>
      <c r="S105" s="2101"/>
      <c r="T105" s="2101"/>
      <c r="U105" s="2101"/>
      <c r="V105" s="2101"/>
      <c r="W105" s="2101"/>
      <c r="X105" s="2101"/>
      <c r="Y105" s="2101"/>
      <c r="Z105" s="2101"/>
      <c r="AA105" s="2101"/>
      <c r="AB105" s="2101"/>
      <c r="AC105" s="2101"/>
      <c r="AD105" s="2101"/>
      <c r="AE105" s="2101"/>
      <c r="AF105" s="2101"/>
      <c r="AG105" s="2101"/>
      <c r="AI105" s="18"/>
      <c r="AJ105" s="18"/>
      <c r="AK105" s="18"/>
      <c r="AL105" s="18"/>
      <c r="AM105" s="18"/>
      <c r="AN105" s="18"/>
      <c r="AO105" s="18"/>
      <c r="AP105" s="18"/>
      <c r="AQ105" s="18"/>
    </row>
    <row r="106" spans="1:43" s="584" customFormat="1">
      <c r="A106" s="597"/>
      <c r="D106" s="2101"/>
      <c r="E106" s="2101"/>
      <c r="F106" s="2101"/>
      <c r="G106" s="2101"/>
      <c r="H106" s="2101"/>
      <c r="I106" s="2101"/>
      <c r="J106" s="2101"/>
      <c r="K106" s="2101"/>
      <c r="L106" s="2101"/>
      <c r="M106" s="2101"/>
      <c r="N106" s="2101"/>
      <c r="O106" s="2101"/>
      <c r="P106" s="2101"/>
      <c r="Q106" s="2101"/>
      <c r="R106" s="2101"/>
      <c r="S106" s="2101"/>
      <c r="T106" s="2101"/>
      <c r="U106" s="2101"/>
      <c r="V106" s="2101"/>
      <c r="W106" s="2101"/>
      <c r="X106" s="2101"/>
      <c r="Y106" s="2101"/>
      <c r="Z106" s="2101"/>
      <c r="AA106" s="2101"/>
      <c r="AB106" s="2101"/>
      <c r="AC106" s="2101"/>
      <c r="AD106" s="2101"/>
      <c r="AE106" s="2101"/>
      <c r="AF106" s="2101"/>
      <c r="AG106" s="2101"/>
      <c r="AI106" s="18"/>
      <c r="AJ106" s="18"/>
      <c r="AK106" s="18"/>
      <c r="AL106" s="18"/>
      <c r="AM106" s="18"/>
      <c r="AN106" s="18"/>
      <c r="AO106" s="18"/>
      <c r="AP106" s="18"/>
      <c r="AQ106" s="18"/>
    </row>
    <row r="107" spans="1:43" s="584" customFormat="1">
      <c r="A107" s="597"/>
      <c r="D107" s="2101"/>
      <c r="E107" s="2101"/>
      <c r="F107" s="2101"/>
      <c r="G107" s="2101"/>
      <c r="H107" s="2101"/>
      <c r="I107" s="2101"/>
      <c r="J107" s="2101"/>
      <c r="K107" s="2101"/>
      <c r="L107" s="2101"/>
      <c r="M107" s="2101"/>
      <c r="N107" s="2101"/>
      <c r="O107" s="2101"/>
      <c r="P107" s="2101"/>
      <c r="Q107" s="2101"/>
      <c r="R107" s="2101"/>
      <c r="S107" s="2101"/>
      <c r="T107" s="2101"/>
      <c r="U107" s="2101"/>
      <c r="V107" s="2101"/>
      <c r="W107" s="2101"/>
      <c r="X107" s="2101"/>
      <c r="Y107" s="2101"/>
      <c r="Z107" s="2101"/>
      <c r="AA107" s="2101"/>
      <c r="AB107" s="2101"/>
      <c r="AC107" s="2101"/>
      <c r="AD107" s="2101"/>
      <c r="AE107" s="2101"/>
      <c r="AF107" s="2101"/>
      <c r="AG107" s="2101"/>
      <c r="AI107" s="18"/>
      <c r="AJ107" s="18"/>
      <c r="AK107" s="18"/>
      <c r="AL107" s="18"/>
      <c r="AM107" s="18"/>
      <c r="AN107" s="18"/>
      <c r="AO107" s="18"/>
      <c r="AP107" s="18"/>
      <c r="AQ107" s="18"/>
    </row>
    <row r="108" spans="1:43" s="584" customFormat="1">
      <c r="A108" s="597"/>
      <c r="D108" s="599"/>
      <c r="E108" s="599"/>
      <c r="F108" s="599"/>
      <c r="G108" s="599"/>
      <c r="H108" s="599"/>
      <c r="I108" s="599"/>
      <c r="J108" s="599"/>
      <c r="K108" s="599"/>
      <c r="L108" s="599"/>
      <c r="M108" s="599"/>
      <c r="N108" s="599"/>
      <c r="O108" s="599"/>
      <c r="P108" s="599"/>
      <c r="Q108" s="599"/>
      <c r="R108" s="599"/>
      <c r="S108" s="599"/>
      <c r="T108" s="599"/>
      <c r="U108" s="599"/>
      <c r="V108" s="599"/>
      <c r="W108" s="599"/>
      <c r="X108" s="599"/>
      <c r="Y108" s="599"/>
      <c r="Z108" s="599"/>
      <c r="AA108" s="599"/>
      <c r="AB108" s="599"/>
      <c r="AC108" s="599"/>
      <c r="AD108" s="599"/>
      <c r="AE108" s="599"/>
      <c r="AF108" s="599"/>
      <c r="AG108" s="599"/>
      <c r="AI108" s="18"/>
      <c r="AJ108" s="18"/>
      <c r="AK108" s="18"/>
      <c r="AL108" s="18"/>
      <c r="AM108" s="18"/>
      <c r="AN108" s="18"/>
      <c r="AO108" s="18"/>
      <c r="AP108" s="18"/>
      <c r="AQ108" s="18"/>
    </row>
    <row r="109" spans="1:43" s="584" customFormat="1" ht="29.25" customHeight="1" thickBot="1">
      <c r="A109" s="597"/>
      <c r="D109" s="602"/>
      <c r="E109" s="602"/>
      <c r="F109" s="602"/>
      <c r="G109" s="602"/>
      <c r="H109" s="602"/>
      <c r="I109" s="602"/>
      <c r="J109" s="602"/>
      <c r="K109" s="602"/>
      <c r="L109" s="602"/>
      <c r="M109" s="602"/>
      <c r="N109" s="602"/>
      <c r="O109" s="2113" t="s">
        <v>1338</v>
      </c>
      <c r="P109" s="2113"/>
      <c r="Q109" s="2113"/>
      <c r="R109" s="2113"/>
      <c r="S109" s="2113"/>
      <c r="T109" s="2114" t="s">
        <v>2923</v>
      </c>
      <c r="U109" s="2114"/>
      <c r="V109" s="2114"/>
      <c r="W109" s="2114"/>
      <c r="X109" s="2114"/>
      <c r="Y109" s="2113" t="s">
        <v>1397</v>
      </c>
      <c r="Z109" s="2113"/>
      <c r="AA109" s="2113"/>
      <c r="AB109" s="2113"/>
      <c r="AC109" s="2113"/>
      <c r="AI109" s="18"/>
      <c r="AJ109" s="18"/>
      <c r="AK109" s="18"/>
      <c r="AL109" s="18"/>
      <c r="AM109" s="18"/>
      <c r="AN109" s="18"/>
      <c r="AO109" s="18"/>
      <c r="AP109" s="18"/>
      <c r="AQ109" s="18"/>
    </row>
    <row r="110" spans="1:43" s="584" customFormat="1">
      <c r="A110" s="597"/>
      <c r="D110" s="2107" t="s">
        <v>42</v>
      </c>
      <c r="E110" s="2107"/>
      <c r="F110" s="2107"/>
      <c r="G110" s="2107"/>
      <c r="H110" s="2107"/>
      <c r="I110" s="2107"/>
      <c r="J110" s="2107"/>
      <c r="K110" s="2107"/>
      <c r="L110" s="2107"/>
      <c r="M110" s="2107"/>
      <c r="N110" s="2107"/>
      <c r="O110" s="2108" t="s">
        <v>2891</v>
      </c>
      <c r="P110" s="2108"/>
      <c r="Q110" s="2108"/>
      <c r="R110" s="2108"/>
      <c r="S110" s="2108"/>
      <c r="T110" s="2108">
        <v>10</v>
      </c>
      <c r="U110" s="2108"/>
      <c r="V110" s="2108"/>
      <c r="W110" s="2108"/>
      <c r="X110" s="2108"/>
      <c r="Y110" s="2109" t="s">
        <v>2733</v>
      </c>
      <c r="Z110" s="2109"/>
      <c r="AA110" s="2109"/>
      <c r="AB110" s="2109"/>
      <c r="AC110" s="2109"/>
      <c r="AI110" s="18"/>
      <c r="AJ110" s="18"/>
      <c r="AK110" s="18"/>
      <c r="AL110" s="18"/>
      <c r="AM110" s="18"/>
      <c r="AN110" s="18"/>
      <c r="AO110" s="18"/>
      <c r="AP110" s="18"/>
      <c r="AQ110" s="18"/>
    </row>
    <row r="111" spans="1:43" s="584" customFormat="1">
      <c r="A111" s="597"/>
      <c r="D111" s="2107" t="s">
        <v>1345</v>
      </c>
      <c r="E111" s="2107"/>
      <c r="F111" s="2107"/>
      <c r="G111" s="2107"/>
      <c r="H111" s="2107"/>
      <c r="I111" s="2107"/>
      <c r="J111" s="2107"/>
      <c r="K111" s="2107"/>
      <c r="L111" s="2107"/>
      <c r="M111" s="2107"/>
      <c r="N111" s="2107"/>
      <c r="O111" s="2110" t="s">
        <v>2924</v>
      </c>
      <c r="P111" s="2110"/>
      <c r="Q111" s="2110"/>
      <c r="R111" s="2110"/>
      <c r="S111" s="2110"/>
      <c r="T111" s="2111" t="s">
        <v>2925</v>
      </c>
      <c r="U111" s="2112"/>
      <c r="V111" s="2112"/>
      <c r="W111" s="2112"/>
      <c r="X111" s="2112"/>
      <c r="Y111" s="2109" t="s">
        <v>2733</v>
      </c>
      <c r="Z111" s="2109"/>
      <c r="AA111" s="2109"/>
      <c r="AB111" s="2109"/>
      <c r="AC111" s="2109"/>
      <c r="AI111" s="18"/>
      <c r="AJ111" s="18"/>
      <c r="AK111" s="18"/>
      <c r="AL111" s="18"/>
      <c r="AM111" s="18"/>
      <c r="AN111" s="18"/>
      <c r="AO111" s="18"/>
      <c r="AP111" s="18"/>
      <c r="AQ111" s="18"/>
    </row>
    <row r="112" spans="1:43" s="584" customFormat="1">
      <c r="A112" s="597"/>
      <c r="D112" s="2107" t="s">
        <v>1346</v>
      </c>
      <c r="E112" s="2107"/>
      <c r="F112" s="2107"/>
      <c r="G112" s="2107"/>
      <c r="H112" s="2107"/>
      <c r="I112" s="2107"/>
      <c r="J112" s="2107"/>
      <c r="K112" s="2107"/>
      <c r="L112" s="2107"/>
      <c r="M112" s="2107"/>
      <c r="N112" s="2107"/>
      <c r="O112" s="2137" t="s">
        <v>1339</v>
      </c>
      <c r="P112" s="2137"/>
      <c r="Q112" s="2137"/>
      <c r="R112" s="2137"/>
      <c r="S112" s="2137"/>
      <c r="T112" s="2137" t="s">
        <v>1339</v>
      </c>
      <c r="U112" s="2137"/>
      <c r="V112" s="2137"/>
      <c r="W112" s="2137"/>
      <c r="X112" s="2137"/>
      <c r="Y112" s="2137" t="s">
        <v>1339</v>
      </c>
      <c r="Z112" s="2137"/>
      <c r="AA112" s="2137"/>
      <c r="AB112" s="2137"/>
      <c r="AC112" s="2137"/>
      <c r="AI112" s="18"/>
      <c r="AJ112" s="18"/>
      <c r="AK112" s="18"/>
      <c r="AL112" s="18"/>
      <c r="AM112" s="18"/>
      <c r="AN112" s="18"/>
      <c r="AO112" s="18"/>
      <c r="AP112" s="18"/>
      <c r="AQ112" s="18"/>
    </row>
    <row r="113" spans="1:43" s="584" customFormat="1">
      <c r="A113" s="597"/>
      <c r="D113" s="2107" t="s">
        <v>1347</v>
      </c>
      <c r="E113" s="2107"/>
      <c r="F113" s="2107"/>
      <c r="G113" s="2107"/>
      <c r="H113" s="2107"/>
      <c r="I113" s="2107"/>
      <c r="J113" s="2107"/>
      <c r="K113" s="2107"/>
      <c r="L113" s="2107"/>
      <c r="M113" s="2107"/>
      <c r="N113" s="2107"/>
      <c r="O113" s="2137" t="s">
        <v>1339</v>
      </c>
      <c r="P113" s="2137"/>
      <c r="Q113" s="2137"/>
      <c r="R113" s="2137"/>
      <c r="S113" s="2137"/>
      <c r="T113" s="2137" t="s">
        <v>1339</v>
      </c>
      <c r="U113" s="2137"/>
      <c r="V113" s="2137"/>
      <c r="W113" s="2137"/>
      <c r="X113" s="2137"/>
      <c r="Y113" s="2137" t="s">
        <v>1339</v>
      </c>
      <c r="Z113" s="2137"/>
      <c r="AA113" s="2137"/>
      <c r="AB113" s="2137"/>
      <c r="AC113" s="2137"/>
      <c r="AI113" s="18"/>
      <c r="AJ113" s="18"/>
      <c r="AK113" s="18"/>
      <c r="AL113" s="18"/>
      <c r="AM113" s="18"/>
      <c r="AN113" s="18"/>
      <c r="AO113" s="18"/>
      <c r="AP113" s="18"/>
      <c r="AQ113" s="18"/>
    </row>
    <row r="114" spans="1:43" s="584" customFormat="1">
      <c r="A114" s="597"/>
      <c r="D114" s="2138" t="s">
        <v>1348</v>
      </c>
      <c r="E114" s="2138"/>
      <c r="F114" s="2138"/>
      <c r="G114" s="2138"/>
      <c r="H114" s="2138"/>
      <c r="I114" s="2138"/>
      <c r="J114" s="2138"/>
      <c r="K114" s="2138"/>
      <c r="L114" s="2138"/>
      <c r="M114" s="2138"/>
      <c r="N114" s="2138"/>
      <c r="O114" s="2139" t="s">
        <v>1339</v>
      </c>
      <c r="P114" s="2139"/>
      <c r="Q114" s="2139"/>
      <c r="R114" s="2139"/>
      <c r="S114" s="2139"/>
      <c r="T114" s="2139" t="s">
        <v>1339</v>
      </c>
      <c r="U114" s="2139"/>
      <c r="V114" s="2139"/>
      <c r="W114" s="2139"/>
      <c r="X114" s="2139"/>
      <c r="Y114" s="2139" t="s">
        <v>1339</v>
      </c>
      <c r="Z114" s="2139"/>
      <c r="AA114" s="2139"/>
      <c r="AB114" s="2139"/>
      <c r="AC114" s="2139"/>
      <c r="AI114" s="18"/>
      <c r="AJ114" s="18"/>
      <c r="AK114" s="18"/>
      <c r="AL114" s="18"/>
      <c r="AM114" s="18"/>
      <c r="AN114" s="18"/>
      <c r="AO114" s="18"/>
      <c r="AP114" s="18"/>
      <c r="AQ114" s="18"/>
    </row>
    <row r="115" spans="1:43" s="584" customFormat="1">
      <c r="A115" s="597"/>
      <c r="AI115" s="18"/>
      <c r="AJ115" s="18"/>
      <c r="AK115" s="18"/>
      <c r="AL115" s="18"/>
      <c r="AM115" s="18"/>
      <c r="AN115" s="18"/>
      <c r="AO115" s="18"/>
      <c r="AP115" s="18"/>
      <c r="AQ115" s="18"/>
    </row>
    <row r="116" spans="1:43" s="584" customFormat="1">
      <c r="A116" s="597"/>
      <c r="D116" s="2101" t="s">
        <v>1350</v>
      </c>
      <c r="E116" s="2101"/>
      <c r="F116" s="2101"/>
      <c r="G116" s="2101"/>
      <c r="H116" s="2101"/>
      <c r="I116" s="2101"/>
      <c r="J116" s="2101"/>
      <c r="K116" s="2101"/>
      <c r="L116" s="2101"/>
      <c r="M116" s="2101"/>
      <c r="N116" s="2101"/>
      <c r="O116" s="2101"/>
      <c r="P116" s="2101"/>
      <c r="Q116" s="2101"/>
      <c r="R116" s="2101"/>
      <c r="S116" s="2101"/>
      <c r="T116" s="2101"/>
      <c r="U116" s="2101"/>
      <c r="V116" s="2101"/>
      <c r="W116" s="2101"/>
      <c r="X116" s="2101"/>
      <c r="Y116" s="2101"/>
      <c r="Z116" s="2101"/>
      <c r="AA116" s="2101"/>
      <c r="AB116" s="2101"/>
      <c r="AC116" s="2101"/>
      <c r="AD116" s="2101"/>
      <c r="AE116" s="2101"/>
      <c r="AF116" s="2101"/>
      <c r="AG116" s="2101"/>
      <c r="AI116" s="18"/>
      <c r="AJ116" s="18"/>
      <c r="AK116" s="18"/>
      <c r="AL116" s="18"/>
      <c r="AM116" s="18"/>
      <c r="AN116" s="18"/>
      <c r="AO116" s="18"/>
      <c r="AP116" s="18"/>
      <c r="AQ116" s="18"/>
    </row>
    <row r="117" spans="1:43" s="584" customFormat="1">
      <c r="A117" s="597"/>
      <c r="D117" s="2101"/>
      <c r="E117" s="2101"/>
      <c r="F117" s="2101"/>
      <c r="G117" s="2101"/>
      <c r="H117" s="2101"/>
      <c r="I117" s="2101"/>
      <c r="J117" s="2101"/>
      <c r="K117" s="2101"/>
      <c r="L117" s="2101"/>
      <c r="M117" s="2101"/>
      <c r="N117" s="2101"/>
      <c r="O117" s="2101"/>
      <c r="P117" s="2101"/>
      <c r="Q117" s="2101"/>
      <c r="R117" s="2101"/>
      <c r="S117" s="2101"/>
      <c r="T117" s="2101"/>
      <c r="U117" s="2101"/>
      <c r="V117" s="2101"/>
      <c r="W117" s="2101"/>
      <c r="X117" s="2101"/>
      <c r="Y117" s="2101"/>
      <c r="Z117" s="2101"/>
      <c r="AA117" s="2101"/>
      <c r="AB117" s="2101"/>
      <c r="AC117" s="2101"/>
      <c r="AD117" s="2101"/>
      <c r="AE117" s="2101"/>
      <c r="AF117" s="2101"/>
      <c r="AG117" s="2101"/>
      <c r="AI117" s="18"/>
      <c r="AJ117" s="18"/>
      <c r="AK117" s="18"/>
      <c r="AL117" s="18"/>
      <c r="AM117" s="18"/>
      <c r="AN117" s="18"/>
      <c r="AO117" s="18"/>
      <c r="AP117" s="18"/>
      <c r="AQ117" s="18"/>
    </row>
    <row r="118" spans="1:43" s="584" customFormat="1">
      <c r="A118" s="597"/>
      <c r="AI118" s="18"/>
      <c r="AJ118" s="18"/>
      <c r="AK118" s="18"/>
      <c r="AL118" s="18"/>
      <c r="AM118" s="18"/>
      <c r="AN118" s="18"/>
      <c r="AO118" s="18"/>
      <c r="AP118" s="18"/>
      <c r="AQ118" s="18"/>
    </row>
    <row r="119" spans="1:43" s="584" customFormat="1">
      <c r="A119" s="597"/>
      <c r="D119" s="582" t="s">
        <v>1352</v>
      </c>
      <c r="AI119" s="18"/>
      <c r="AJ119" s="18"/>
      <c r="AK119" s="18"/>
      <c r="AL119" s="18"/>
      <c r="AM119" s="18"/>
      <c r="AN119" s="18"/>
      <c r="AO119" s="18"/>
      <c r="AP119" s="18"/>
      <c r="AQ119" s="18"/>
    </row>
    <row r="120" spans="1:43" s="584" customFormat="1">
      <c r="A120" s="597"/>
      <c r="AI120" s="18"/>
      <c r="AJ120" s="18"/>
      <c r="AK120" s="18"/>
      <c r="AL120" s="18"/>
      <c r="AM120" s="18"/>
      <c r="AN120" s="18"/>
      <c r="AO120" s="18"/>
      <c r="AP120" s="18"/>
      <c r="AQ120" s="18"/>
    </row>
    <row r="121" spans="1:43" s="584" customFormat="1">
      <c r="A121" s="597"/>
      <c r="D121" s="2057" t="s">
        <v>2734</v>
      </c>
      <c r="E121" s="2101"/>
      <c r="F121" s="2101"/>
      <c r="G121" s="2101"/>
      <c r="H121" s="2101"/>
      <c r="I121" s="2101"/>
      <c r="J121" s="2101"/>
      <c r="K121" s="2101"/>
      <c r="L121" s="2101"/>
      <c r="M121" s="2101"/>
      <c r="N121" s="2101"/>
      <c r="O121" s="2101"/>
      <c r="P121" s="2101"/>
      <c r="Q121" s="2101"/>
      <c r="R121" s="2101"/>
      <c r="S121" s="2101"/>
      <c r="T121" s="2101"/>
      <c r="U121" s="2101"/>
      <c r="V121" s="2101"/>
      <c r="W121" s="2101"/>
      <c r="X121" s="2101"/>
      <c r="Y121" s="2101"/>
      <c r="Z121" s="2101"/>
      <c r="AA121" s="2101"/>
      <c r="AB121" s="2101"/>
      <c r="AC121" s="2101"/>
      <c r="AD121" s="2101"/>
      <c r="AE121" s="2101"/>
      <c r="AF121" s="2101"/>
      <c r="AG121" s="2101"/>
      <c r="AI121" s="18"/>
      <c r="AJ121" s="18"/>
      <c r="AK121" s="18"/>
      <c r="AL121" s="18"/>
      <c r="AM121" s="18"/>
      <c r="AN121" s="18"/>
      <c r="AO121" s="18"/>
      <c r="AP121" s="18"/>
      <c r="AQ121" s="18"/>
    </row>
    <row r="122" spans="1:43" s="584" customFormat="1" ht="3" customHeight="1">
      <c r="A122" s="597"/>
      <c r="D122" s="2101"/>
      <c r="E122" s="2101"/>
      <c r="F122" s="2101"/>
      <c r="G122" s="2101"/>
      <c r="H122" s="2101"/>
      <c r="I122" s="2101"/>
      <c r="J122" s="2101"/>
      <c r="K122" s="2101"/>
      <c r="L122" s="2101"/>
      <c r="M122" s="2101"/>
      <c r="N122" s="2101"/>
      <c r="O122" s="2101"/>
      <c r="P122" s="2101"/>
      <c r="Q122" s="2101"/>
      <c r="R122" s="2101"/>
      <c r="S122" s="2101"/>
      <c r="T122" s="2101"/>
      <c r="U122" s="2101"/>
      <c r="V122" s="2101"/>
      <c r="W122" s="2101"/>
      <c r="X122" s="2101"/>
      <c r="Y122" s="2101"/>
      <c r="Z122" s="2101"/>
      <c r="AA122" s="2101"/>
      <c r="AB122" s="2101"/>
      <c r="AC122" s="2101"/>
      <c r="AD122" s="2101"/>
      <c r="AE122" s="2101"/>
      <c r="AF122" s="2101"/>
      <c r="AG122" s="2101"/>
      <c r="AI122" s="18"/>
      <c r="AJ122" s="18"/>
      <c r="AK122" s="18"/>
      <c r="AL122" s="18"/>
      <c r="AM122" s="18"/>
      <c r="AN122" s="18"/>
      <c r="AO122" s="18"/>
      <c r="AP122" s="18"/>
      <c r="AQ122" s="18"/>
    </row>
    <row r="123" spans="1:43" s="584" customFormat="1" hidden="1">
      <c r="A123" s="597"/>
      <c r="D123" s="2101"/>
      <c r="E123" s="2101"/>
      <c r="F123" s="2101"/>
      <c r="G123" s="2101"/>
      <c r="H123" s="2101"/>
      <c r="I123" s="2101"/>
      <c r="J123" s="2101"/>
      <c r="K123" s="2101"/>
      <c r="L123" s="2101"/>
      <c r="M123" s="2101"/>
      <c r="N123" s="2101"/>
      <c r="O123" s="2101"/>
      <c r="P123" s="2101"/>
      <c r="Q123" s="2101"/>
      <c r="R123" s="2101"/>
      <c r="S123" s="2101"/>
      <c r="T123" s="2101"/>
      <c r="U123" s="2101"/>
      <c r="V123" s="2101"/>
      <c r="W123" s="2101"/>
      <c r="X123" s="2101"/>
      <c r="Y123" s="2101"/>
      <c r="Z123" s="2101"/>
      <c r="AA123" s="2101"/>
      <c r="AB123" s="2101"/>
      <c r="AC123" s="2101"/>
      <c r="AD123" s="2101"/>
      <c r="AE123" s="2101"/>
      <c r="AF123" s="2101"/>
      <c r="AG123" s="2101"/>
      <c r="AI123" s="18"/>
      <c r="AJ123" s="18"/>
      <c r="AK123" s="18"/>
      <c r="AL123" s="18"/>
      <c r="AM123" s="18"/>
      <c r="AN123" s="18"/>
      <c r="AO123" s="18"/>
      <c r="AP123" s="18"/>
      <c r="AQ123" s="18"/>
    </row>
    <row r="124" spans="1:43" s="584" customFormat="1">
      <c r="A124" s="597"/>
      <c r="AI124" s="18"/>
      <c r="AJ124" s="18"/>
      <c r="AK124" s="18"/>
      <c r="AL124" s="18"/>
      <c r="AM124" s="18"/>
      <c r="AN124" s="18"/>
      <c r="AO124" s="18"/>
      <c r="AP124" s="18"/>
      <c r="AQ124" s="18"/>
    </row>
    <row r="125" spans="1:43" s="584" customFormat="1">
      <c r="A125" s="597"/>
      <c r="D125" s="582" t="s">
        <v>1351</v>
      </c>
      <c r="AI125" s="18"/>
      <c r="AJ125" s="18"/>
      <c r="AK125" s="18"/>
      <c r="AL125" s="18"/>
      <c r="AM125" s="18"/>
      <c r="AN125" s="18"/>
      <c r="AO125" s="18"/>
      <c r="AP125" s="18"/>
      <c r="AQ125" s="18"/>
    </row>
    <row r="126" spans="1:43" s="584" customFormat="1">
      <c r="A126" s="597"/>
      <c r="AI126" s="18"/>
      <c r="AJ126" s="18"/>
      <c r="AK126" s="18"/>
      <c r="AL126" s="18"/>
      <c r="AM126" s="18"/>
      <c r="AN126" s="18"/>
      <c r="AO126" s="18"/>
      <c r="AP126" s="18"/>
      <c r="AQ126" s="18"/>
    </row>
    <row r="127" spans="1:43" s="584" customFormat="1">
      <c r="A127" s="597"/>
      <c r="D127" s="1884" t="s">
        <v>2926</v>
      </c>
      <c r="E127" s="1885"/>
      <c r="F127" s="1885"/>
      <c r="G127" s="1885"/>
      <c r="H127" s="1885"/>
      <c r="I127" s="1885"/>
      <c r="J127" s="1885"/>
      <c r="K127" s="1885"/>
      <c r="L127" s="1885"/>
      <c r="M127" s="1885"/>
      <c r="N127" s="1885"/>
      <c r="O127" s="1885"/>
      <c r="P127" s="1885"/>
      <c r="Q127" s="1885"/>
      <c r="R127" s="1885"/>
      <c r="S127" s="1885"/>
      <c r="T127" s="1885"/>
      <c r="U127" s="1885"/>
      <c r="V127" s="1885"/>
      <c r="W127" s="1885"/>
      <c r="X127" s="1885"/>
      <c r="Y127" s="1885"/>
      <c r="Z127" s="1885"/>
      <c r="AA127" s="1885"/>
      <c r="AB127" s="1885"/>
      <c r="AC127" s="1885"/>
      <c r="AD127" s="1885"/>
      <c r="AE127" s="1885"/>
      <c r="AF127" s="1885"/>
      <c r="AG127" s="1885"/>
      <c r="AI127" s="18"/>
      <c r="AJ127" s="18"/>
      <c r="AK127" s="18"/>
      <c r="AL127" s="18"/>
      <c r="AM127" s="18"/>
      <c r="AN127" s="18"/>
      <c r="AO127" s="18"/>
      <c r="AP127" s="18"/>
      <c r="AQ127" s="18"/>
    </row>
    <row r="128" spans="1:43" s="584" customFormat="1">
      <c r="A128" s="597"/>
      <c r="D128" s="1885"/>
      <c r="E128" s="1885"/>
      <c r="F128" s="1885"/>
      <c r="G128" s="1885"/>
      <c r="H128" s="1885"/>
      <c r="I128" s="1885"/>
      <c r="J128" s="1885"/>
      <c r="K128" s="1885"/>
      <c r="L128" s="1885"/>
      <c r="M128" s="1885"/>
      <c r="N128" s="1885"/>
      <c r="O128" s="1885"/>
      <c r="P128" s="1885"/>
      <c r="Q128" s="1885"/>
      <c r="R128" s="1885"/>
      <c r="S128" s="1885"/>
      <c r="T128" s="1885"/>
      <c r="U128" s="1885"/>
      <c r="V128" s="1885"/>
      <c r="W128" s="1885"/>
      <c r="X128" s="1885"/>
      <c r="Y128" s="1885"/>
      <c r="Z128" s="1885"/>
      <c r="AA128" s="1885"/>
      <c r="AB128" s="1885"/>
      <c r="AC128" s="1885"/>
      <c r="AD128" s="1885"/>
      <c r="AE128" s="1885"/>
      <c r="AF128" s="1885"/>
      <c r="AG128" s="1885"/>
      <c r="AI128" s="18"/>
      <c r="AJ128" s="18"/>
      <c r="AK128" s="18"/>
      <c r="AL128" s="18"/>
      <c r="AM128" s="18"/>
      <c r="AN128" s="18"/>
      <c r="AO128" s="18"/>
      <c r="AP128" s="18"/>
      <c r="AQ128" s="18"/>
    </row>
    <row r="129" spans="1:43" s="584" customFormat="1">
      <c r="A129" s="597"/>
      <c r="D129" s="1885"/>
      <c r="E129" s="1885"/>
      <c r="F129" s="1885"/>
      <c r="G129" s="1885"/>
      <c r="H129" s="1885"/>
      <c r="I129" s="1885"/>
      <c r="J129" s="1885"/>
      <c r="K129" s="1885"/>
      <c r="L129" s="1885"/>
      <c r="M129" s="1885"/>
      <c r="N129" s="1885"/>
      <c r="O129" s="1885"/>
      <c r="P129" s="1885"/>
      <c r="Q129" s="1885"/>
      <c r="R129" s="1885"/>
      <c r="S129" s="1885"/>
      <c r="T129" s="1885"/>
      <c r="U129" s="1885"/>
      <c r="V129" s="1885"/>
      <c r="W129" s="1885"/>
      <c r="X129" s="1885"/>
      <c r="Y129" s="1885"/>
      <c r="Z129" s="1885"/>
      <c r="AA129" s="1885"/>
      <c r="AB129" s="1885"/>
      <c r="AC129" s="1885"/>
      <c r="AD129" s="1885"/>
      <c r="AE129" s="1885"/>
      <c r="AF129" s="1885"/>
      <c r="AG129" s="1885"/>
      <c r="AI129" s="18"/>
      <c r="AJ129" s="18"/>
      <c r="AK129" s="18"/>
      <c r="AL129" s="18"/>
      <c r="AM129" s="18"/>
      <c r="AN129" s="18"/>
      <c r="AO129" s="18"/>
      <c r="AP129" s="18"/>
      <c r="AQ129" s="18"/>
    </row>
    <row r="130" spans="1:43" s="584" customFormat="1">
      <c r="A130" s="597"/>
      <c r="D130" s="1885"/>
      <c r="E130" s="1885"/>
      <c r="F130" s="1885"/>
      <c r="G130" s="1885"/>
      <c r="H130" s="1885"/>
      <c r="I130" s="1885"/>
      <c r="J130" s="1885"/>
      <c r="K130" s="1885"/>
      <c r="L130" s="1885"/>
      <c r="M130" s="1885"/>
      <c r="N130" s="1885"/>
      <c r="O130" s="1885"/>
      <c r="P130" s="1885"/>
      <c r="Q130" s="1885"/>
      <c r="R130" s="1885"/>
      <c r="S130" s="1885"/>
      <c r="T130" s="1885"/>
      <c r="U130" s="1885"/>
      <c r="V130" s="1885"/>
      <c r="W130" s="1885"/>
      <c r="X130" s="1885"/>
      <c r="Y130" s="1885"/>
      <c r="Z130" s="1885"/>
      <c r="AA130" s="1885"/>
      <c r="AB130" s="1885"/>
      <c r="AC130" s="1885"/>
      <c r="AD130" s="1885"/>
      <c r="AE130" s="1885"/>
      <c r="AF130" s="1885"/>
      <c r="AG130" s="1885"/>
      <c r="AI130" s="18"/>
      <c r="AJ130" s="18"/>
      <c r="AK130" s="18"/>
      <c r="AL130" s="18"/>
      <c r="AM130" s="18"/>
      <c r="AN130" s="18"/>
      <c r="AO130" s="18"/>
      <c r="AP130" s="18"/>
      <c r="AQ130" s="18"/>
    </row>
    <row r="131" spans="1:43" s="584" customFormat="1">
      <c r="A131" s="597"/>
      <c r="D131" s="1885"/>
      <c r="E131" s="1885"/>
      <c r="F131" s="1885"/>
      <c r="G131" s="1885"/>
      <c r="H131" s="1885"/>
      <c r="I131" s="1885"/>
      <c r="J131" s="1885"/>
      <c r="K131" s="1885"/>
      <c r="L131" s="1885"/>
      <c r="M131" s="1885"/>
      <c r="N131" s="1885"/>
      <c r="O131" s="1885"/>
      <c r="P131" s="1885"/>
      <c r="Q131" s="1885"/>
      <c r="R131" s="1885"/>
      <c r="S131" s="1885"/>
      <c r="T131" s="1885"/>
      <c r="U131" s="1885"/>
      <c r="V131" s="1885"/>
      <c r="W131" s="1885"/>
      <c r="X131" s="1885"/>
      <c r="Y131" s="1885"/>
      <c r="Z131" s="1885"/>
      <c r="AA131" s="1885"/>
      <c r="AB131" s="1885"/>
      <c r="AC131" s="1885"/>
      <c r="AD131" s="1885"/>
      <c r="AE131" s="1885"/>
      <c r="AF131" s="1885"/>
      <c r="AG131" s="1885"/>
      <c r="AI131" s="18"/>
      <c r="AJ131" s="18"/>
      <c r="AK131" s="18"/>
      <c r="AL131" s="18"/>
      <c r="AM131" s="18"/>
      <c r="AN131" s="18"/>
      <c r="AO131" s="18"/>
      <c r="AP131" s="18"/>
      <c r="AQ131" s="18"/>
    </row>
    <row r="132" spans="1:43" s="584" customFormat="1">
      <c r="A132" s="597"/>
      <c r="D132" s="2057" t="s">
        <v>2735</v>
      </c>
      <c r="E132" s="2101"/>
      <c r="F132" s="2101"/>
      <c r="G132" s="2101"/>
      <c r="H132" s="2101"/>
      <c r="I132" s="2101"/>
      <c r="J132" s="2101"/>
      <c r="K132" s="2101"/>
      <c r="L132" s="2101"/>
      <c r="M132" s="2101"/>
      <c r="N132" s="2101"/>
      <c r="O132" s="2101"/>
      <c r="P132" s="2101"/>
      <c r="Q132" s="2101"/>
      <c r="R132" s="2101"/>
      <c r="S132" s="2101"/>
      <c r="T132" s="2101"/>
      <c r="U132" s="2101"/>
      <c r="V132" s="2101"/>
      <c r="W132" s="2101"/>
      <c r="X132" s="2101"/>
      <c r="Y132" s="2101"/>
      <c r="Z132" s="2101"/>
      <c r="AA132" s="2101"/>
      <c r="AB132" s="2101"/>
      <c r="AC132" s="2101"/>
      <c r="AD132" s="2101"/>
      <c r="AE132" s="2101"/>
      <c r="AF132" s="2101"/>
      <c r="AG132" s="2101"/>
      <c r="AI132" s="18"/>
      <c r="AJ132" s="18"/>
      <c r="AK132" s="18"/>
      <c r="AL132" s="18"/>
      <c r="AM132" s="18"/>
      <c r="AN132" s="18"/>
      <c r="AO132" s="18"/>
      <c r="AP132" s="18"/>
      <c r="AQ132" s="18"/>
    </row>
    <row r="133" spans="1:43" s="584" customFormat="1">
      <c r="A133" s="597"/>
      <c r="D133" s="2101"/>
      <c r="E133" s="2101"/>
      <c r="F133" s="2101"/>
      <c r="G133" s="2101"/>
      <c r="H133" s="2101"/>
      <c r="I133" s="2101"/>
      <c r="J133" s="2101"/>
      <c r="K133" s="2101"/>
      <c r="L133" s="2101"/>
      <c r="M133" s="2101"/>
      <c r="N133" s="2101"/>
      <c r="O133" s="2101"/>
      <c r="P133" s="2101"/>
      <c r="Q133" s="2101"/>
      <c r="R133" s="2101"/>
      <c r="S133" s="2101"/>
      <c r="T133" s="2101"/>
      <c r="U133" s="2101"/>
      <c r="V133" s="2101"/>
      <c r="W133" s="2101"/>
      <c r="X133" s="2101"/>
      <c r="Y133" s="2101"/>
      <c r="Z133" s="2101"/>
      <c r="AA133" s="2101"/>
      <c r="AB133" s="2101"/>
      <c r="AC133" s="2101"/>
      <c r="AD133" s="2101"/>
      <c r="AE133" s="2101"/>
      <c r="AF133" s="2101"/>
      <c r="AG133" s="2101"/>
      <c r="AI133" s="18"/>
      <c r="AJ133" s="18"/>
      <c r="AK133" s="18"/>
      <c r="AL133" s="18"/>
      <c r="AM133" s="18"/>
      <c r="AN133" s="18"/>
      <c r="AO133" s="18"/>
      <c r="AP133" s="18"/>
      <c r="AQ133" s="18"/>
    </row>
    <row r="134" spans="1:43" s="584" customFormat="1">
      <c r="A134" s="597"/>
      <c r="AI134" s="18"/>
      <c r="AJ134" s="18"/>
      <c r="AK134" s="18"/>
      <c r="AL134" s="18"/>
      <c r="AM134" s="18"/>
      <c r="AN134" s="18"/>
      <c r="AO134" s="18"/>
      <c r="AP134" s="18"/>
      <c r="AQ134" s="18"/>
    </row>
    <row r="135" spans="1:43" s="584" customFormat="1" ht="54.75" customHeight="1">
      <c r="A135" s="597"/>
      <c r="D135" s="1823" t="s">
        <v>2927</v>
      </c>
      <c r="E135" s="2136"/>
      <c r="F135" s="2136"/>
      <c r="G135" s="2136"/>
      <c r="H135" s="2136"/>
      <c r="I135" s="2136"/>
      <c r="J135" s="2136"/>
      <c r="K135" s="2136"/>
      <c r="L135" s="2136"/>
      <c r="M135" s="2136"/>
      <c r="N135" s="2136"/>
      <c r="O135" s="2136"/>
      <c r="P135" s="2136"/>
      <c r="Q135" s="2136"/>
      <c r="R135" s="2136"/>
      <c r="S135" s="2136"/>
      <c r="T135" s="2136"/>
      <c r="U135" s="2136"/>
      <c r="V135" s="2136"/>
      <c r="W135" s="2136"/>
      <c r="X135" s="2136"/>
      <c r="Y135" s="2136"/>
      <c r="Z135" s="2136"/>
      <c r="AA135" s="2136"/>
      <c r="AB135" s="2136"/>
      <c r="AC135" s="2136"/>
      <c r="AD135" s="2136"/>
      <c r="AE135" s="2136"/>
      <c r="AF135" s="2136"/>
      <c r="AG135" s="2136"/>
      <c r="AI135" s="18"/>
      <c r="AJ135" s="18"/>
      <c r="AK135" s="18"/>
      <c r="AL135" s="18"/>
      <c r="AM135" s="18"/>
      <c r="AN135" s="18"/>
      <c r="AO135" s="18"/>
      <c r="AP135" s="18"/>
      <c r="AQ135" s="18"/>
    </row>
    <row r="136" spans="1:43" s="584" customFormat="1">
      <c r="A136" s="597"/>
      <c r="AI136" s="18"/>
      <c r="AJ136" s="18"/>
      <c r="AK136" s="18"/>
      <c r="AL136" s="18"/>
      <c r="AM136" s="18"/>
      <c r="AN136" s="18"/>
      <c r="AO136" s="18"/>
      <c r="AP136" s="18"/>
      <c r="AQ136" s="18"/>
    </row>
    <row r="137" spans="1:43" s="584" customFormat="1">
      <c r="A137" s="597"/>
      <c r="D137" s="582" t="s">
        <v>2736</v>
      </c>
      <c r="AI137" s="18"/>
      <c r="AJ137" s="18"/>
      <c r="AK137" s="18"/>
      <c r="AL137" s="18"/>
      <c r="AM137" s="18"/>
      <c r="AN137" s="18"/>
      <c r="AO137" s="18"/>
      <c r="AP137" s="18"/>
      <c r="AQ137" s="18"/>
    </row>
    <row r="138" spans="1:43" s="584" customFormat="1">
      <c r="A138" s="597"/>
      <c r="AI138" s="18"/>
      <c r="AJ138" s="18"/>
      <c r="AK138" s="18"/>
      <c r="AL138" s="18"/>
      <c r="AM138" s="18"/>
      <c r="AN138" s="18"/>
      <c r="AO138" s="18"/>
      <c r="AP138" s="18"/>
      <c r="AQ138" s="18"/>
    </row>
    <row r="139" spans="1:43" s="584" customFormat="1">
      <c r="A139" s="597"/>
      <c r="D139" s="2057" t="s">
        <v>2029</v>
      </c>
      <c r="E139" s="2101"/>
      <c r="F139" s="2101"/>
      <c r="G139" s="2101"/>
      <c r="H139" s="2101"/>
      <c r="I139" s="2101"/>
      <c r="J139" s="2101"/>
      <c r="K139" s="2101"/>
      <c r="L139" s="2101"/>
      <c r="M139" s="2101"/>
      <c r="N139" s="2101"/>
      <c r="O139" s="2101"/>
      <c r="P139" s="2101"/>
      <c r="Q139" s="2101"/>
      <c r="R139" s="2101"/>
      <c r="S139" s="2101"/>
      <c r="T139" s="2101"/>
      <c r="U139" s="2101"/>
      <c r="V139" s="2101"/>
      <c r="W139" s="2101"/>
      <c r="X139" s="2101"/>
      <c r="Y139" s="2101"/>
      <c r="Z139" s="2101"/>
      <c r="AA139" s="2101"/>
      <c r="AB139" s="2101"/>
      <c r="AC139" s="2101"/>
      <c r="AD139" s="2101"/>
      <c r="AE139" s="2101"/>
      <c r="AF139" s="2101"/>
      <c r="AG139" s="2101"/>
      <c r="AI139" s="18"/>
      <c r="AJ139" s="18"/>
      <c r="AK139" s="18"/>
      <c r="AL139" s="18"/>
      <c r="AM139" s="18"/>
      <c r="AN139" s="18"/>
      <c r="AO139" s="18"/>
      <c r="AP139" s="18"/>
      <c r="AQ139" s="18"/>
    </row>
    <row r="140" spans="1:43" s="584" customFormat="1">
      <c r="A140" s="597"/>
      <c r="D140" s="2101"/>
      <c r="E140" s="2101"/>
      <c r="F140" s="2101"/>
      <c r="G140" s="2101"/>
      <c r="H140" s="2101"/>
      <c r="I140" s="2101"/>
      <c r="J140" s="2101"/>
      <c r="K140" s="2101"/>
      <c r="L140" s="2101"/>
      <c r="M140" s="2101"/>
      <c r="N140" s="2101"/>
      <c r="O140" s="2101"/>
      <c r="P140" s="2101"/>
      <c r="Q140" s="2101"/>
      <c r="R140" s="2101"/>
      <c r="S140" s="2101"/>
      <c r="T140" s="2101"/>
      <c r="U140" s="2101"/>
      <c r="V140" s="2101"/>
      <c r="W140" s="2101"/>
      <c r="X140" s="2101"/>
      <c r="Y140" s="2101"/>
      <c r="Z140" s="2101"/>
      <c r="AA140" s="2101"/>
      <c r="AB140" s="2101"/>
      <c r="AC140" s="2101"/>
      <c r="AD140" s="2101"/>
      <c r="AE140" s="2101"/>
      <c r="AF140" s="2101"/>
      <c r="AG140" s="2101"/>
      <c r="AI140" s="18"/>
      <c r="AJ140" s="18"/>
      <c r="AK140" s="18"/>
      <c r="AL140" s="18"/>
      <c r="AM140" s="18"/>
      <c r="AN140" s="18"/>
      <c r="AO140" s="18"/>
      <c r="AP140" s="18"/>
      <c r="AQ140" s="18"/>
    </row>
    <row r="141" spans="1:43" s="584" customFormat="1">
      <c r="A141" s="597"/>
      <c r="D141" s="2101"/>
      <c r="E141" s="2101"/>
      <c r="F141" s="2101"/>
      <c r="G141" s="2101"/>
      <c r="H141" s="2101"/>
      <c r="I141" s="2101"/>
      <c r="J141" s="2101"/>
      <c r="K141" s="2101"/>
      <c r="L141" s="2101"/>
      <c r="M141" s="2101"/>
      <c r="N141" s="2101"/>
      <c r="O141" s="2101"/>
      <c r="P141" s="2101"/>
      <c r="Q141" s="2101"/>
      <c r="R141" s="2101"/>
      <c r="S141" s="2101"/>
      <c r="T141" s="2101"/>
      <c r="U141" s="2101"/>
      <c r="V141" s="2101"/>
      <c r="W141" s="2101"/>
      <c r="X141" s="2101"/>
      <c r="Y141" s="2101"/>
      <c r="Z141" s="2101"/>
      <c r="AA141" s="2101"/>
      <c r="AB141" s="2101"/>
      <c r="AC141" s="2101"/>
      <c r="AD141" s="2101"/>
      <c r="AE141" s="2101"/>
      <c r="AF141" s="2101"/>
      <c r="AG141" s="2101"/>
      <c r="AI141" s="18"/>
      <c r="AJ141" s="18"/>
      <c r="AK141" s="18"/>
      <c r="AL141" s="18"/>
      <c r="AM141" s="18"/>
      <c r="AN141" s="18"/>
      <c r="AO141" s="18"/>
      <c r="AP141" s="18"/>
      <c r="AQ141" s="18"/>
    </row>
    <row r="142" spans="1:43" s="584" customFormat="1">
      <c r="A142" s="597"/>
      <c r="AI142" s="18"/>
      <c r="AJ142" s="18"/>
      <c r="AK142" s="18"/>
      <c r="AL142" s="18"/>
      <c r="AM142" s="18"/>
      <c r="AN142" s="18"/>
      <c r="AO142" s="18"/>
      <c r="AP142" s="18"/>
      <c r="AQ142" s="18"/>
    </row>
    <row r="143" spans="1:43" s="584" customFormat="1">
      <c r="A143" s="597"/>
      <c r="D143" s="582" t="s">
        <v>2737</v>
      </c>
      <c r="AI143" s="18"/>
      <c r="AJ143" s="18"/>
      <c r="AK143" s="18"/>
      <c r="AL143" s="18"/>
      <c r="AM143" s="18"/>
      <c r="AN143" s="18"/>
      <c r="AO143" s="18"/>
      <c r="AP143" s="18"/>
      <c r="AQ143" s="18"/>
    </row>
    <row r="144" spans="1:43" s="584" customFormat="1">
      <c r="A144" s="597"/>
      <c r="AI144" s="18"/>
      <c r="AJ144" s="18"/>
      <c r="AK144" s="18"/>
      <c r="AL144" s="18"/>
      <c r="AM144" s="18"/>
      <c r="AN144" s="18"/>
      <c r="AO144" s="18"/>
      <c r="AP144" s="18"/>
      <c r="AQ144" s="18"/>
    </row>
    <row r="145" spans="1:43" s="584" customFormat="1">
      <c r="A145" s="597"/>
      <c r="D145" s="2101" t="s">
        <v>1353</v>
      </c>
      <c r="E145" s="2101"/>
      <c r="F145" s="2101"/>
      <c r="G145" s="2101"/>
      <c r="H145" s="2101"/>
      <c r="I145" s="2101"/>
      <c r="J145" s="2101"/>
      <c r="K145" s="2101"/>
      <c r="L145" s="2101"/>
      <c r="M145" s="2101"/>
      <c r="N145" s="2101"/>
      <c r="O145" s="2101"/>
      <c r="P145" s="2101"/>
      <c r="Q145" s="2101"/>
      <c r="R145" s="2101"/>
      <c r="S145" s="2101"/>
      <c r="T145" s="2101"/>
      <c r="U145" s="2101"/>
      <c r="V145" s="2101"/>
      <c r="W145" s="2101"/>
      <c r="X145" s="2101"/>
      <c r="Y145" s="2101"/>
      <c r="Z145" s="2101"/>
      <c r="AA145" s="2101"/>
      <c r="AB145" s="2101"/>
      <c r="AC145" s="2101"/>
      <c r="AD145" s="2101"/>
      <c r="AE145" s="2101"/>
      <c r="AF145" s="2101"/>
      <c r="AG145" s="2101"/>
      <c r="AI145" s="18"/>
      <c r="AJ145" s="18"/>
      <c r="AK145" s="18"/>
      <c r="AL145" s="18"/>
      <c r="AM145" s="18"/>
      <c r="AN145" s="18"/>
      <c r="AO145" s="18"/>
      <c r="AP145" s="18"/>
      <c r="AQ145" s="18"/>
    </row>
    <row r="146" spans="1:43" s="584" customFormat="1">
      <c r="A146" s="597"/>
      <c r="D146" s="2101"/>
      <c r="E146" s="2101"/>
      <c r="F146" s="2101"/>
      <c r="G146" s="2101"/>
      <c r="H146" s="2101"/>
      <c r="I146" s="2101"/>
      <c r="J146" s="2101"/>
      <c r="K146" s="2101"/>
      <c r="L146" s="2101"/>
      <c r="M146" s="2101"/>
      <c r="N146" s="2101"/>
      <c r="O146" s="2101"/>
      <c r="P146" s="2101"/>
      <c r="Q146" s="2101"/>
      <c r="R146" s="2101"/>
      <c r="S146" s="2101"/>
      <c r="T146" s="2101"/>
      <c r="U146" s="2101"/>
      <c r="V146" s="2101"/>
      <c r="W146" s="2101"/>
      <c r="X146" s="2101"/>
      <c r="Y146" s="2101"/>
      <c r="Z146" s="2101"/>
      <c r="AA146" s="2101"/>
      <c r="AB146" s="2101"/>
      <c r="AC146" s="2101"/>
      <c r="AD146" s="2101"/>
      <c r="AE146" s="2101"/>
      <c r="AF146" s="2101"/>
      <c r="AG146" s="2101"/>
      <c r="AI146" s="18"/>
      <c r="AJ146" s="18"/>
      <c r="AK146" s="18"/>
      <c r="AL146" s="18"/>
      <c r="AM146" s="18"/>
      <c r="AN146" s="18"/>
      <c r="AO146" s="18"/>
      <c r="AP146" s="18"/>
      <c r="AQ146" s="18"/>
    </row>
    <row r="147" spans="1:43" s="584" customFormat="1">
      <c r="A147" s="597"/>
      <c r="AI147" s="18"/>
      <c r="AJ147" s="18"/>
      <c r="AK147" s="18"/>
      <c r="AL147" s="18"/>
      <c r="AM147" s="18"/>
      <c r="AN147" s="18"/>
      <c r="AO147" s="18"/>
      <c r="AP147" s="18"/>
      <c r="AQ147" s="18"/>
    </row>
    <row r="148" spans="1:43" s="584" customFormat="1">
      <c r="A148" s="597"/>
      <c r="D148" s="582" t="s">
        <v>2738</v>
      </c>
      <c r="AI148" s="18"/>
      <c r="AJ148" s="18"/>
      <c r="AK148" s="18"/>
      <c r="AL148" s="18"/>
      <c r="AM148" s="18"/>
      <c r="AN148" s="18"/>
      <c r="AO148" s="18"/>
      <c r="AP148" s="18"/>
      <c r="AQ148" s="18"/>
    </row>
    <row r="149" spans="1:43" s="584" customFormat="1">
      <c r="A149" s="597"/>
      <c r="AI149" s="18"/>
      <c r="AJ149" s="18"/>
      <c r="AK149" s="18"/>
      <c r="AL149" s="18"/>
      <c r="AM149" s="18"/>
      <c r="AN149" s="18"/>
      <c r="AO149" s="18"/>
      <c r="AP149" s="18"/>
      <c r="AQ149" s="18"/>
    </row>
    <row r="150" spans="1:43" s="584" customFormat="1" ht="38.25" customHeight="1">
      <c r="A150" s="597"/>
      <c r="D150" s="2135" t="s">
        <v>2799</v>
      </c>
      <c r="E150" s="2135"/>
      <c r="F150" s="2135"/>
      <c r="G150" s="2135"/>
      <c r="H150" s="2135"/>
      <c r="I150" s="2135"/>
      <c r="J150" s="2135"/>
      <c r="K150" s="2135"/>
      <c r="L150" s="2135"/>
      <c r="M150" s="2135"/>
      <c r="N150" s="2135"/>
      <c r="O150" s="2135"/>
      <c r="P150" s="2135"/>
      <c r="Q150" s="2135"/>
      <c r="R150" s="2135"/>
      <c r="S150" s="2135"/>
      <c r="T150" s="2135"/>
      <c r="U150" s="2135"/>
      <c r="V150" s="2135"/>
      <c r="W150" s="2135"/>
      <c r="X150" s="2135"/>
      <c r="Y150" s="2135"/>
      <c r="Z150" s="2135"/>
      <c r="AA150" s="2135"/>
      <c r="AB150" s="2135"/>
      <c r="AC150" s="2135"/>
      <c r="AD150" s="2135"/>
      <c r="AE150" s="2135"/>
      <c r="AF150" s="2135"/>
      <c r="AG150" s="2135"/>
      <c r="AI150" s="18"/>
      <c r="AJ150" s="18"/>
      <c r="AK150" s="18"/>
      <c r="AL150" s="18"/>
      <c r="AM150" s="18"/>
      <c r="AN150" s="18"/>
      <c r="AO150" s="18"/>
      <c r="AP150" s="18"/>
      <c r="AQ150" s="18"/>
    </row>
    <row r="151" spans="1:43" s="584" customFormat="1" ht="1.5" customHeight="1">
      <c r="A151" s="597"/>
      <c r="D151" s="2135"/>
      <c r="E151" s="2135"/>
      <c r="F151" s="2135"/>
      <c r="G151" s="2135"/>
      <c r="H151" s="2135"/>
      <c r="I151" s="2135"/>
      <c r="J151" s="2135"/>
      <c r="K151" s="2135"/>
      <c r="L151" s="2135"/>
      <c r="M151" s="2135"/>
      <c r="N151" s="2135"/>
      <c r="O151" s="2135"/>
      <c r="P151" s="2135"/>
      <c r="Q151" s="2135"/>
      <c r="R151" s="2135"/>
      <c r="S151" s="2135"/>
      <c r="T151" s="2135"/>
      <c r="U151" s="2135"/>
      <c r="V151" s="2135"/>
      <c r="W151" s="2135"/>
      <c r="X151" s="2135"/>
      <c r="Y151" s="2135"/>
      <c r="Z151" s="2135"/>
      <c r="AA151" s="2135"/>
      <c r="AB151" s="2135"/>
      <c r="AC151" s="2135"/>
      <c r="AD151" s="2135"/>
      <c r="AE151" s="2135"/>
      <c r="AF151" s="2135"/>
      <c r="AG151" s="2135"/>
      <c r="AI151" s="18"/>
      <c r="AJ151" s="18"/>
      <c r="AK151" s="18"/>
      <c r="AL151" s="18"/>
      <c r="AM151" s="18"/>
      <c r="AN151" s="18"/>
      <c r="AO151" s="18"/>
      <c r="AP151" s="18"/>
      <c r="AQ151" s="18"/>
    </row>
    <row r="152" spans="1:43" s="584" customFormat="1" ht="14.25" customHeight="1">
      <c r="A152" s="597"/>
      <c r="D152" s="2057" t="s">
        <v>1354</v>
      </c>
      <c r="E152" s="2057"/>
      <c r="F152" s="2057"/>
      <c r="G152" s="2057"/>
      <c r="H152" s="2057"/>
      <c r="I152" s="2057"/>
      <c r="J152" s="2057"/>
      <c r="K152" s="2057"/>
      <c r="L152" s="2057"/>
      <c r="M152" s="2057"/>
      <c r="N152" s="2057"/>
      <c r="O152" s="2057"/>
      <c r="P152" s="2057"/>
      <c r="Q152" s="2057"/>
      <c r="R152" s="2057"/>
      <c r="S152" s="2057"/>
      <c r="T152" s="2057"/>
      <c r="U152" s="2057"/>
      <c r="V152" s="2057"/>
      <c r="W152" s="2057"/>
      <c r="X152" s="2057"/>
      <c r="Y152" s="2057"/>
      <c r="Z152" s="2057"/>
      <c r="AA152" s="2057"/>
      <c r="AB152" s="2057"/>
      <c r="AC152" s="2057"/>
      <c r="AD152" s="2057"/>
      <c r="AE152" s="2057"/>
      <c r="AF152" s="2057"/>
      <c r="AG152" s="2057"/>
      <c r="AI152" s="18"/>
      <c r="AJ152" s="18"/>
      <c r="AK152" s="18"/>
      <c r="AL152" s="18"/>
      <c r="AM152" s="18"/>
      <c r="AN152" s="18"/>
      <c r="AO152" s="18"/>
      <c r="AP152" s="18"/>
      <c r="AQ152" s="18"/>
    </row>
    <row r="153" spans="1:43" s="584" customFormat="1">
      <c r="A153" s="597"/>
      <c r="D153" s="2057"/>
      <c r="E153" s="2057"/>
      <c r="F153" s="2057"/>
      <c r="G153" s="2057"/>
      <c r="H153" s="2057"/>
      <c r="I153" s="2057"/>
      <c r="J153" s="2057"/>
      <c r="K153" s="2057"/>
      <c r="L153" s="2057"/>
      <c r="M153" s="2057"/>
      <c r="N153" s="2057"/>
      <c r="O153" s="2057"/>
      <c r="P153" s="2057"/>
      <c r="Q153" s="2057"/>
      <c r="R153" s="2057"/>
      <c r="S153" s="2057"/>
      <c r="T153" s="2057"/>
      <c r="U153" s="2057"/>
      <c r="V153" s="2057"/>
      <c r="W153" s="2057"/>
      <c r="X153" s="2057"/>
      <c r="Y153" s="2057"/>
      <c r="Z153" s="2057"/>
      <c r="AA153" s="2057"/>
      <c r="AB153" s="2057"/>
      <c r="AC153" s="2057"/>
      <c r="AD153" s="2057"/>
      <c r="AE153" s="2057"/>
      <c r="AF153" s="2057"/>
      <c r="AG153" s="2057"/>
      <c r="AI153" s="18"/>
      <c r="AJ153" s="18"/>
      <c r="AK153" s="18"/>
      <c r="AL153" s="18"/>
      <c r="AM153" s="18"/>
      <c r="AN153" s="18"/>
      <c r="AO153" s="18"/>
      <c r="AP153" s="18"/>
      <c r="AQ153" s="18"/>
    </row>
    <row r="154" spans="1:43" s="584" customFormat="1">
      <c r="A154" s="597"/>
      <c r="D154" s="1427"/>
      <c r="E154" s="1427"/>
      <c r="F154" s="1427"/>
      <c r="G154" s="1427"/>
      <c r="H154" s="1427"/>
      <c r="I154" s="1427"/>
      <c r="J154" s="1427"/>
      <c r="K154" s="1427"/>
      <c r="L154" s="1427"/>
      <c r="M154" s="1427"/>
      <c r="N154" s="1427"/>
      <c r="O154" s="1427"/>
      <c r="P154" s="1427"/>
      <c r="Q154" s="1427"/>
      <c r="R154" s="1427"/>
      <c r="S154" s="1427"/>
      <c r="T154" s="1427"/>
      <c r="U154" s="1427"/>
      <c r="V154" s="1427"/>
      <c r="W154" s="1427"/>
      <c r="X154" s="1427"/>
      <c r="Y154" s="1427"/>
      <c r="Z154" s="1427"/>
      <c r="AA154" s="1427"/>
      <c r="AB154" s="1427"/>
      <c r="AC154" s="1427"/>
      <c r="AD154" s="1427"/>
      <c r="AE154" s="1427"/>
      <c r="AF154" s="1427"/>
      <c r="AG154" s="1427"/>
      <c r="AI154" s="18"/>
      <c r="AJ154" s="18"/>
      <c r="AK154" s="18"/>
      <c r="AL154" s="18"/>
      <c r="AM154" s="18"/>
      <c r="AN154" s="18"/>
      <c r="AO154" s="18"/>
      <c r="AP154" s="18"/>
      <c r="AQ154" s="18"/>
    </row>
    <row r="155" spans="1:43" s="584" customFormat="1">
      <c r="A155" s="597"/>
      <c r="D155" s="582" t="s">
        <v>2739</v>
      </c>
      <c r="AI155" s="18"/>
      <c r="AJ155" s="18"/>
      <c r="AK155" s="18"/>
      <c r="AL155" s="18"/>
      <c r="AM155" s="18"/>
      <c r="AN155" s="18"/>
      <c r="AO155" s="18"/>
      <c r="AP155" s="18"/>
      <c r="AQ155" s="18"/>
    </row>
    <row r="156" spans="1:43" s="584" customFormat="1">
      <c r="A156" s="597"/>
      <c r="AI156" s="18"/>
      <c r="AJ156" s="18"/>
      <c r="AK156" s="18"/>
      <c r="AL156" s="18"/>
      <c r="AM156" s="18"/>
      <c r="AN156" s="18"/>
      <c r="AO156" s="18"/>
      <c r="AP156" s="18"/>
      <c r="AQ156" s="18"/>
    </row>
    <row r="157" spans="1:43" s="584" customFormat="1">
      <c r="A157" s="597"/>
      <c r="D157" s="1884" t="s">
        <v>2928</v>
      </c>
      <c r="E157" s="1885"/>
      <c r="F157" s="1885"/>
      <c r="G157" s="1885"/>
      <c r="H157" s="1885"/>
      <c r="I157" s="1885"/>
      <c r="J157" s="1885"/>
      <c r="K157" s="1885"/>
      <c r="L157" s="1885"/>
      <c r="M157" s="1885"/>
      <c r="N157" s="1885"/>
      <c r="O157" s="1885"/>
      <c r="P157" s="1885"/>
      <c r="Q157" s="1885"/>
      <c r="R157" s="1885"/>
      <c r="S157" s="1885"/>
      <c r="T157" s="1885"/>
      <c r="U157" s="1885"/>
      <c r="V157" s="1885"/>
      <c r="W157" s="1885"/>
      <c r="X157" s="1885"/>
      <c r="Y157" s="1885"/>
      <c r="Z157" s="1885"/>
      <c r="AA157" s="1885"/>
      <c r="AB157" s="1885"/>
      <c r="AC157" s="1885"/>
      <c r="AD157" s="1885"/>
      <c r="AE157" s="1885"/>
      <c r="AF157" s="1885"/>
      <c r="AG157" s="1885"/>
      <c r="AI157" s="18"/>
      <c r="AJ157" s="18"/>
      <c r="AK157" s="18"/>
      <c r="AL157" s="18"/>
      <c r="AM157" s="18"/>
      <c r="AN157" s="18"/>
      <c r="AO157" s="18"/>
      <c r="AP157" s="18"/>
      <c r="AQ157" s="18"/>
    </row>
    <row r="158" spans="1:43" s="584" customFormat="1" ht="79.5" customHeight="1">
      <c r="A158" s="597"/>
      <c r="D158" s="1885"/>
      <c r="E158" s="1885"/>
      <c r="F158" s="1885"/>
      <c r="G158" s="1885"/>
      <c r="H158" s="1885"/>
      <c r="I158" s="1885"/>
      <c r="J158" s="1885"/>
      <c r="K158" s="1885"/>
      <c r="L158" s="1885"/>
      <c r="M158" s="1885"/>
      <c r="N158" s="1885"/>
      <c r="O158" s="1885"/>
      <c r="P158" s="1885"/>
      <c r="Q158" s="1885"/>
      <c r="R158" s="1885"/>
      <c r="S158" s="1885"/>
      <c r="T158" s="1885"/>
      <c r="U158" s="1885"/>
      <c r="V158" s="1885"/>
      <c r="W158" s="1885"/>
      <c r="X158" s="1885"/>
      <c r="Y158" s="1885"/>
      <c r="Z158" s="1885"/>
      <c r="AA158" s="1885"/>
      <c r="AB158" s="1885"/>
      <c r="AC158" s="1885"/>
      <c r="AD158" s="1885"/>
      <c r="AE158" s="1885"/>
      <c r="AF158" s="1885"/>
      <c r="AG158" s="1885"/>
      <c r="AI158" s="18"/>
      <c r="AJ158" s="18"/>
      <c r="AK158" s="18"/>
      <c r="AL158" s="18"/>
      <c r="AM158" s="18"/>
      <c r="AN158" s="18"/>
      <c r="AO158" s="18"/>
      <c r="AP158" s="18"/>
      <c r="AQ158" s="18"/>
    </row>
    <row r="159" spans="1:43" s="584" customFormat="1">
      <c r="A159" s="597"/>
      <c r="D159" s="1535"/>
      <c r="E159" s="1535"/>
      <c r="F159" s="1535"/>
      <c r="G159" s="1535"/>
      <c r="H159" s="1535"/>
      <c r="I159" s="1535"/>
      <c r="J159" s="1535"/>
      <c r="K159" s="1535"/>
      <c r="L159" s="1535"/>
      <c r="M159" s="1535"/>
      <c r="N159" s="1535"/>
      <c r="O159" s="1535"/>
      <c r="P159" s="1535"/>
      <c r="Q159" s="1535"/>
      <c r="R159" s="1535"/>
      <c r="S159" s="1535"/>
      <c r="T159" s="1535"/>
      <c r="U159" s="1535"/>
      <c r="V159" s="1535"/>
      <c r="W159" s="1535"/>
      <c r="X159" s="1535"/>
      <c r="Y159" s="1535"/>
      <c r="Z159" s="1535"/>
      <c r="AA159" s="1535"/>
      <c r="AB159" s="1535"/>
      <c r="AC159" s="1535"/>
      <c r="AD159" s="1535"/>
      <c r="AE159" s="1535"/>
      <c r="AF159" s="1535"/>
      <c r="AG159" s="1535"/>
      <c r="AI159" s="18"/>
      <c r="AJ159" s="18"/>
      <c r="AK159" s="18"/>
      <c r="AL159" s="18"/>
      <c r="AM159" s="18"/>
      <c r="AN159" s="18"/>
      <c r="AO159" s="18"/>
      <c r="AP159" s="18"/>
      <c r="AQ159" s="18"/>
    </row>
    <row r="160" spans="1:43" s="584" customFormat="1">
      <c r="A160" s="597"/>
      <c r="D160" s="1884" t="s">
        <v>2988</v>
      </c>
      <c r="E160" s="1884"/>
      <c r="F160" s="1884"/>
      <c r="G160" s="1884"/>
      <c r="H160" s="1884"/>
      <c r="I160" s="1884"/>
      <c r="J160" s="1884"/>
      <c r="K160" s="1884"/>
      <c r="L160" s="1884"/>
      <c r="M160" s="1884"/>
      <c r="N160" s="1884"/>
      <c r="O160" s="1884"/>
      <c r="P160" s="1884"/>
      <c r="Q160" s="1884"/>
      <c r="R160" s="1884"/>
      <c r="S160" s="1884"/>
      <c r="T160" s="1884"/>
      <c r="U160" s="1884"/>
      <c r="V160" s="1884"/>
      <c r="W160" s="1884"/>
      <c r="X160" s="1884"/>
      <c r="Y160" s="1884"/>
      <c r="Z160" s="1884"/>
      <c r="AA160" s="1884"/>
      <c r="AB160" s="1884"/>
      <c r="AC160" s="1884"/>
      <c r="AD160" s="1884"/>
      <c r="AE160" s="1884"/>
      <c r="AF160" s="1884"/>
      <c r="AG160" s="1884"/>
      <c r="AI160" s="18"/>
      <c r="AJ160" s="18"/>
      <c r="AK160" s="18"/>
      <c r="AL160" s="18"/>
      <c r="AM160" s="18"/>
      <c r="AN160" s="18"/>
      <c r="AO160" s="18"/>
      <c r="AP160" s="18"/>
      <c r="AQ160" s="18"/>
    </row>
    <row r="161" spans="1:43" s="584" customFormat="1">
      <c r="A161" s="597"/>
      <c r="AI161" s="18"/>
      <c r="AJ161" s="18"/>
      <c r="AK161" s="18"/>
      <c r="AL161" s="18"/>
      <c r="AM161" s="18"/>
      <c r="AN161" s="18"/>
      <c r="AO161" s="18"/>
      <c r="AP161" s="18"/>
      <c r="AQ161" s="18"/>
    </row>
    <row r="162" spans="1:43" s="584" customFormat="1">
      <c r="A162" s="597"/>
      <c r="D162" s="582" t="s">
        <v>2740</v>
      </c>
      <c r="AI162" s="18"/>
      <c r="AJ162" s="18"/>
      <c r="AK162" s="18"/>
      <c r="AL162" s="18"/>
      <c r="AM162" s="18"/>
      <c r="AN162" s="18"/>
      <c r="AO162" s="18"/>
      <c r="AP162" s="18"/>
      <c r="AQ162" s="18"/>
    </row>
    <row r="163" spans="1:43" s="584" customFormat="1">
      <c r="A163" s="597"/>
      <c r="AI163" s="18"/>
      <c r="AJ163" s="18"/>
      <c r="AK163" s="18"/>
      <c r="AL163" s="18"/>
      <c r="AM163" s="18"/>
      <c r="AN163" s="18"/>
      <c r="AO163" s="18"/>
      <c r="AP163" s="18"/>
      <c r="AQ163" s="18"/>
    </row>
    <row r="164" spans="1:43" s="584" customFormat="1">
      <c r="A164" s="597"/>
      <c r="D164" s="2101" t="s">
        <v>1355</v>
      </c>
      <c r="E164" s="2101"/>
      <c r="F164" s="2101"/>
      <c r="G164" s="2101"/>
      <c r="H164" s="2101"/>
      <c r="I164" s="2101"/>
      <c r="J164" s="2101"/>
      <c r="K164" s="2101"/>
      <c r="L164" s="2101"/>
      <c r="M164" s="2101"/>
      <c r="N164" s="2101"/>
      <c r="O164" s="2101"/>
      <c r="P164" s="2101"/>
      <c r="Q164" s="2101"/>
      <c r="R164" s="2101"/>
      <c r="S164" s="2101"/>
      <c r="T164" s="2101"/>
      <c r="U164" s="2101"/>
      <c r="V164" s="2101"/>
      <c r="W164" s="2101"/>
      <c r="X164" s="2101"/>
      <c r="Y164" s="2101"/>
      <c r="Z164" s="2101"/>
      <c r="AA164" s="2101"/>
      <c r="AB164" s="2101"/>
      <c r="AC164" s="2101"/>
      <c r="AD164" s="2101"/>
      <c r="AE164" s="2101"/>
      <c r="AF164" s="2101"/>
      <c r="AG164" s="2101"/>
      <c r="AI164" s="18"/>
      <c r="AJ164" s="18"/>
      <c r="AK164" s="18"/>
      <c r="AL164" s="18"/>
      <c r="AM164" s="18"/>
      <c r="AN164" s="18"/>
      <c r="AO164" s="18"/>
      <c r="AP164" s="18"/>
      <c r="AQ164" s="18"/>
    </row>
    <row r="165" spans="1:43" s="584" customFormat="1">
      <c r="A165" s="597"/>
      <c r="D165" s="2101"/>
      <c r="E165" s="2101"/>
      <c r="F165" s="2101"/>
      <c r="G165" s="2101"/>
      <c r="H165" s="2101"/>
      <c r="I165" s="2101"/>
      <c r="J165" s="2101"/>
      <c r="K165" s="2101"/>
      <c r="L165" s="2101"/>
      <c r="M165" s="2101"/>
      <c r="N165" s="2101"/>
      <c r="O165" s="2101"/>
      <c r="P165" s="2101"/>
      <c r="Q165" s="2101"/>
      <c r="R165" s="2101"/>
      <c r="S165" s="2101"/>
      <c r="T165" s="2101"/>
      <c r="U165" s="2101"/>
      <c r="V165" s="2101"/>
      <c r="W165" s="2101"/>
      <c r="X165" s="2101"/>
      <c r="Y165" s="2101"/>
      <c r="Z165" s="2101"/>
      <c r="AA165" s="2101"/>
      <c r="AB165" s="2101"/>
      <c r="AC165" s="2101"/>
      <c r="AD165" s="2101"/>
      <c r="AE165" s="2101"/>
      <c r="AF165" s="2101"/>
      <c r="AG165" s="2101"/>
      <c r="AI165" s="18"/>
      <c r="AJ165" s="18"/>
      <c r="AK165" s="18"/>
      <c r="AL165" s="18"/>
      <c r="AM165" s="18"/>
      <c r="AN165" s="18"/>
      <c r="AO165" s="18"/>
      <c r="AP165" s="18"/>
      <c r="AQ165" s="18"/>
    </row>
    <row r="166" spans="1:43" s="584" customFormat="1">
      <c r="A166" s="597"/>
      <c r="AI166" s="18"/>
      <c r="AJ166" s="18"/>
      <c r="AK166" s="18"/>
      <c r="AL166" s="18"/>
      <c r="AM166" s="18"/>
      <c r="AN166" s="18"/>
      <c r="AO166" s="18"/>
      <c r="AP166" s="18"/>
      <c r="AQ166" s="18"/>
    </row>
    <row r="167" spans="1:43" s="584" customFormat="1">
      <c r="A167" s="597"/>
      <c r="D167" s="582" t="s">
        <v>2741</v>
      </c>
      <c r="AI167" s="18"/>
      <c r="AJ167" s="18"/>
      <c r="AK167" s="18"/>
      <c r="AL167" s="18"/>
      <c r="AM167" s="18"/>
      <c r="AN167" s="18"/>
      <c r="AO167" s="18"/>
      <c r="AP167" s="18"/>
      <c r="AQ167" s="18"/>
    </row>
    <row r="168" spans="1:43" s="584" customFormat="1">
      <c r="A168" s="597"/>
      <c r="AI168" s="18"/>
      <c r="AJ168" s="18"/>
      <c r="AK168" s="18"/>
      <c r="AL168" s="18"/>
      <c r="AM168" s="18"/>
      <c r="AN168" s="18"/>
      <c r="AO168" s="18"/>
      <c r="AP168" s="18"/>
      <c r="AQ168" s="18"/>
    </row>
    <row r="169" spans="1:43" s="584" customFormat="1">
      <c r="A169" s="597"/>
      <c r="D169" s="2057" t="s">
        <v>2744</v>
      </c>
      <c r="E169" s="2101"/>
      <c r="F169" s="2101"/>
      <c r="G169" s="2101"/>
      <c r="H169" s="2101"/>
      <c r="I169" s="2101"/>
      <c r="J169" s="2101"/>
      <c r="K169" s="2101"/>
      <c r="L169" s="2101"/>
      <c r="M169" s="2101"/>
      <c r="N169" s="2101"/>
      <c r="O169" s="2101"/>
      <c r="P169" s="2101"/>
      <c r="Q169" s="2101"/>
      <c r="R169" s="2101"/>
      <c r="S169" s="2101"/>
      <c r="T169" s="2101"/>
      <c r="U169" s="2101"/>
      <c r="V169" s="2101"/>
      <c r="W169" s="2101"/>
      <c r="X169" s="2101"/>
      <c r="Y169" s="2101"/>
      <c r="Z169" s="2101"/>
      <c r="AA169" s="2101"/>
      <c r="AB169" s="2101"/>
      <c r="AC169" s="2101"/>
      <c r="AD169" s="2101"/>
      <c r="AE169" s="2101"/>
      <c r="AF169" s="2101"/>
      <c r="AG169" s="2101"/>
      <c r="AI169" s="18"/>
      <c r="AJ169" s="18"/>
      <c r="AK169" s="18"/>
      <c r="AL169" s="18"/>
      <c r="AM169" s="18"/>
      <c r="AN169" s="18"/>
      <c r="AO169" s="18"/>
      <c r="AP169" s="18"/>
      <c r="AQ169" s="18"/>
    </row>
    <row r="170" spans="1:43" s="584" customFormat="1">
      <c r="A170" s="597"/>
      <c r="D170" s="2101"/>
      <c r="E170" s="2101"/>
      <c r="F170" s="2101"/>
      <c r="G170" s="2101"/>
      <c r="H170" s="2101"/>
      <c r="I170" s="2101"/>
      <c r="J170" s="2101"/>
      <c r="K170" s="2101"/>
      <c r="L170" s="2101"/>
      <c r="M170" s="2101"/>
      <c r="N170" s="2101"/>
      <c r="O170" s="2101"/>
      <c r="P170" s="2101"/>
      <c r="Q170" s="2101"/>
      <c r="R170" s="2101"/>
      <c r="S170" s="2101"/>
      <c r="T170" s="2101"/>
      <c r="U170" s="2101"/>
      <c r="V170" s="2101"/>
      <c r="W170" s="2101"/>
      <c r="X170" s="2101"/>
      <c r="Y170" s="2101"/>
      <c r="Z170" s="2101"/>
      <c r="AA170" s="2101"/>
      <c r="AB170" s="2101"/>
      <c r="AC170" s="2101"/>
      <c r="AD170" s="2101"/>
      <c r="AE170" s="2101"/>
      <c r="AF170" s="2101"/>
      <c r="AG170" s="2101"/>
      <c r="AI170" s="18"/>
      <c r="AJ170" s="18"/>
      <c r="AK170" s="18"/>
      <c r="AL170" s="18"/>
      <c r="AM170" s="18"/>
      <c r="AN170" s="18"/>
      <c r="AO170" s="18"/>
      <c r="AP170" s="18"/>
      <c r="AQ170" s="18"/>
    </row>
    <row r="171" spans="1:43" s="584" customFormat="1">
      <c r="A171" s="597"/>
      <c r="AI171" s="18"/>
      <c r="AJ171" s="18"/>
      <c r="AK171" s="18"/>
      <c r="AL171" s="18"/>
      <c r="AM171" s="18"/>
      <c r="AN171" s="18"/>
      <c r="AO171" s="18"/>
      <c r="AP171" s="18"/>
      <c r="AQ171" s="18"/>
    </row>
    <row r="172" spans="1:43" s="584" customFormat="1">
      <c r="A172" s="597"/>
      <c r="D172" s="2099" t="s">
        <v>2779</v>
      </c>
      <c r="E172" s="2102"/>
      <c r="F172" s="2102"/>
      <c r="G172" s="2102"/>
      <c r="H172" s="2102"/>
      <c r="I172" s="2102"/>
      <c r="J172" s="2102"/>
      <c r="K172" s="2102"/>
      <c r="L172" s="2102"/>
      <c r="M172" s="2102"/>
      <c r="N172" s="2102"/>
      <c r="O172" s="2102"/>
      <c r="P172" s="2102"/>
      <c r="Q172" s="2102"/>
      <c r="R172" s="2102"/>
      <c r="S172" s="2102"/>
      <c r="T172" s="2102"/>
      <c r="U172" s="2102"/>
      <c r="V172" s="2102"/>
      <c r="W172" s="2102"/>
      <c r="X172" s="2102"/>
      <c r="Y172" s="2102"/>
      <c r="Z172" s="2102"/>
      <c r="AA172" s="2102"/>
      <c r="AB172" s="2102"/>
      <c r="AC172" s="2102"/>
      <c r="AD172" s="2102"/>
      <c r="AE172" s="2102"/>
      <c r="AF172" s="2102"/>
      <c r="AG172" s="2102"/>
      <c r="AI172" s="18"/>
      <c r="AJ172" s="18"/>
      <c r="AK172" s="18"/>
      <c r="AL172" s="18"/>
      <c r="AM172" s="18"/>
      <c r="AN172" s="18"/>
      <c r="AO172" s="18"/>
      <c r="AP172" s="18"/>
      <c r="AQ172" s="18"/>
    </row>
    <row r="173" spans="1:43" s="584" customFormat="1">
      <c r="A173" s="597"/>
      <c r="D173" s="2102"/>
      <c r="E173" s="2102"/>
      <c r="F173" s="2102"/>
      <c r="G173" s="2102"/>
      <c r="H173" s="2102"/>
      <c r="I173" s="2102"/>
      <c r="J173" s="2102"/>
      <c r="K173" s="2102"/>
      <c r="L173" s="2102"/>
      <c r="M173" s="2102"/>
      <c r="N173" s="2102"/>
      <c r="O173" s="2102"/>
      <c r="P173" s="2102"/>
      <c r="Q173" s="2102"/>
      <c r="R173" s="2102"/>
      <c r="S173" s="2102"/>
      <c r="T173" s="2102"/>
      <c r="U173" s="2102"/>
      <c r="V173" s="2102"/>
      <c r="W173" s="2102"/>
      <c r="X173" s="2102"/>
      <c r="Y173" s="2102"/>
      <c r="Z173" s="2102"/>
      <c r="AA173" s="2102"/>
      <c r="AB173" s="2102"/>
      <c r="AC173" s="2102"/>
      <c r="AD173" s="2102"/>
      <c r="AE173" s="2102"/>
      <c r="AF173" s="2102"/>
      <c r="AG173" s="2102"/>
      <c r="AI173" s="18"/>
      <c r="AJ173" s="18"/>
      <c r="AK173" s="18"/>
      <c r="AL173" s="18"/>
      <c r="AM173" s="18"/>
      <c r="AN173" s="18"/>
      <c r="AO173" s="18"/>
      <c r="AP173" s="18"/>
      <c r="AQ173" s="18"/>
    </row>
    <row r="174" spans="1:43" s="584" customFormat="1">
      <c r="A174" s="597"/>
      <c r="D174" s="2102"/>
      <c r="E174" s="2102"/>
      <c r="F174" s="2102"/>
      <c r="G174" s="2102"/>
      <c r="H174" s="2102"/>
      <c r="I174" s="2102"/>
      <c r="J174" s="2102"/>
      <c r="K174" s="2102"/>
      <c r="L174" s="2102"/>
      <c r="M174" s="2102"/>
      <c r="N174" s="2102"/>
      <c r="O174" s="2102"/>
      <c r="P174" s="2102"/>
      <c r="Q174" s="2102"/>
      <c r="R174" s="2102"/>
      <c r="S174" s="2102"/>
      <c r="T174" s="2102"/>
      <c r="U174" s="2102"/>
      <c r="V174" s="2102"/>
      <c r="W174" s="2102"/>
      <c r="X174" s="2102"/>
      <c r="Y174" s="2102"/>
      <c r="Z174" s="2102"/>
      <c r="AA174" s="2102"/>
      <c r="AB174" s="2102"/>
      <c r="AC174" s="2102"/>
      <c r="AD174" s="2102"/>
      <c r="AE174" s="2102"/>
      <c r="AF174" s="2102"/>
      <c r="AG174" s="2102"/>
      <c r="AI174" s="18"/>
      <c r="AJ174" s="18"/>
      <c r="AK174" s="18"/>
      <c r="AL174" s="18"/>
      <c r="AM174" s="18"/>
      <c r="AN174" s="18"/>
      <c r="AO174" s="18"/>
      <c r="AP174" s="18"/>
      <c r="AQ174" s="18"/>
    </row>
    <row r="175" spans="1:43" s="584" customFormat="1" ht="2.25" customHeight="1">
      <c r="A175" s="597"/>
      <c r="D175" s="2102"/>
      <c r="E175" s="2102"/>
      <c r="F175" s="2102"/>
      <c r="G175" s="2102"/>
      <c r="H175" s="2102"/>
      <c r="I175" s="2102"/>
      <c r="J175" s="2102"/>
      <c r="K175" s="2102"/>
      <c r="L175" s="2102"/>
      <c r="M175" s="2102"/>
      <c r="N175" s="2102"/>
      <c r="O175" s="2102"/>
      <c r="P175" s="2102"/>
      <c r="Q175" s="2102"/>
      <c r="R175" s="2102"/>
      <c r="S175" s="2102"/>
      <c r="T175" s="2102"/>
      <c r="U175" s="2102"/>
      <c r="V175" s="2102"/>
      <c r="W175" s="2102"/>
      <c r="X175" s="2102"/>
      <c r="Y175" s="2102"/>
      <c r="Z175" s="2102"/>
      <c r="AA175" s="2102"/>
      <c r="AB175" s="2102"/>
      <c r="AC175" s="2102"/>
      <c r="AD175" s="2102"/>
      <c r="AE175" s="2102"/>
      <c r="AF175" s="2102"/>
      <c r="AG175" s="2102"/>
      <c r="AI175" s="18"/>
      <c r="AJ175" s="18"/>
      <c r="AK175" s="18"/>
      <c r="AL175" s="18"/>
      <c r="AM175" s="18"/>
      <c r="AN175" s="18"/>
      <c r="AO175" s="18"/>
      <c r="AP175" s="18"/>
      <c r="AQ175" s="18"/>
    </row>
    <row r="176" spans="1:43" s="584" customFormat="1" hidden="1">
      <c r="A176" s="597"/>
      <c r="D176" s="2102"/>
      <c r="E176" s="2102"/>
      <c r="F176" s="2102"/>
      <c r="G176" s="2102"/>
      <c r="H176" s="2102"/>
      <c r="I176" s="2102"/>
      <c r="J176" s="2102"/>
      <c r="K176" s="2102"/>
      <c r="L176" s="2102"/>
      <c r="M176" s="2102"/>
      <c r="N176" s="2102"/>
      <c r="O176" s="2102"/>
      <c r="P176" s="2102"/>
      <c r="Q176" s="2102"/>
      <c r="R176" s="2102"/>
      <c r="S176" s="2102"/>
      <c r="T176" s="2102"/>
      <c r="U176" s="2102"/>
      <c r="V176" s="2102"/>
      <c r="W176" s="2102"/>
      <c r="X176" s="2102"/>
      <c r="Y176" s="2102"/>
      <c r="Z176" s="2102"/>
      <c r="AA176" s="2102"/>
      <c r="AB176" s="2102"/>
      <c r="AC176" s="2102"/>
      <c r="AD176" s="2102"/>
      <c r="AE176" s="2102"/>
      <c r="AF176" s="2102"/>
      <c r="AG176" s="2102"/>
      <c r="AI176" s="18"/>
      <c r="AJ176" s="18"/>
      <c r="AK176" s="18"/>
      <c r="AL176" s="18"/>
      <c r="AM176" s="18"/>
      <c r="AN176" s="18"/>
      <c r="AO176" s="18"/>
      <c r="AP176" s="18"/>
      <c r="AQ176" s="18"/>
    </row>
    <row r="177" spans="1:43" s="584" customFormat="1">
      <c r="A177" s="597"/>
      <c r="AI177" s="18"/>
      <c r="AJ177" s="18"/>
      <c r="AK177" s="18"/>
      <c r="AL177" s="18"/>
      <c r="AM177" s="18"/>
      <c r="AN177" s="18"/>
      <c r="AO177" s="18"/>
      <c r="AP177" s="18"/>
      <c r="AQ177" s="18"/>
    </row>
    <row r="178" spans="1:43" s="584" customFormat="1">
      <c r="A178" s="597"/>
      <c r="D178" s="2094" t="s">
        <v>2780</v>
      </c>
      <c r="E178" s="2134"/>
      <c r="F178" s="2134"/>
      <c r="G178" s="2134"/>
      <c r="H178" s="2134"/>
      <c r="I178" s="2134"/>
      <c r="J178" s="2134"/>
      <c r="K178" s="2134"/>
      <c r="L178" s="2134"/>
      <c r="M178" s="2134"/>
      <c r="N178" s="2134"/>
      <c r="O178" s="2134"/>
      <c r="P178" s="2134"/>
      <c r="Q178" s="2134"/>
      <c r="R178" s="2134"/>
      <c r="S178" s="2134"/>
      <c r="T178" s="2134"/>
      <c r="U178" s="2134"/>
      <c r="V178" s="2134"/>
      <c r="W178" s="2134"/>
      <c r="X178" s="2134"/>
      <c r="Y178" s="2134"/>
      <c r="Z178" s="2134"/>
      <c r="AA178" s="2134"/>
      <c r="AB178" s="2134"/>
      <c r="AC178" s="2134"/>
      <c r="AD178" s="2134"/>
      <c r="AE178" s="2134"/>
      <c r="AF178" s="2134"/>
      <c r="AG178" s="2134"/>
      <c r="AI178" s="18"/>
      <c r="AJ178" s="18"/>
      <c r="AK178" s="18"/>
      <c r="AL178" s="18"/>
      <c r="AM178" s="18"/>
      <c r="AN178" s="18"/>
      <c r="AO178" s="18"/>
      <c r="AP178" s="18"/>
      <c r="AQ178" s="18"/>
    </row>
    <row r="179" spans="1:43" s="584" customFormat="1">
      <c r="A179" s="597"/>
      <c r="K179" s="767"/>
      <c r="AI179" s="18"/>
      <c r="AJ179" s="18"/>
      <c r="AK179" s="18"/>
      <c r="AL179" s="18"/>
      <c r="AM179" s="18"/>
      <c r="AN179" s="18"/>
      <c r="AO179" s="18"/>
      <c r="AP179" s="18"/>
      <c r="AQ179" s="18"/>
    </row>
    <row r="180" spans="1:43" s="584" customFormat="1">
      <c r="A180" s="597"/>
      <c r="D180" s="582" t="s">
        <v>2742</v>
      </c>
      <c r="AI180" s="18"/>
      <c r="AJ180" s="18"/>
      <c r="AK180" s="18"/>
      <c r="AL180" s="18"/>
      <c r="AM180" s="18"/>
      <c r="AN180" s="18"/>
      <c r="AO180" s="18"/>
      <c r="AP180" s="18"/>
      <c r="AQ180" s="18"/>
    </row>
    <row r="181" spans="1:43" s="584" customFormat="1">
      <c r="A181" s="597"/>
      <c r="AI181" s="18"/>
      <c r="AJ181" s="18"/>
      <c r="AK181" s="18"/>
      <c r="AL181" s="18"/>
      <c r="AM181" s="18"/>
      <c r="AN181" s="18"/>
      <c r="AO181" s="18"/>
      <c r="AP181" s="18"/>
      <c r="AQ181" s="18"/>
    </row>
    <row r="182" spans="1:43" s="584" customFormat="1">
      <c r="A182" s="597"/>
      <c r="D182" s="2101" t="s">
        <v>1356</v>
      </c>
      <c r="E182" s="2101"/>
      <c r="F182" s="2101"/>
      <c r="G182" s="2101"/>
      <c r="H182" s="2101"/>
      <c r="I182" s="2101"/>
      <c r="J182" s="2101"/>
      <c r="K182" s="2101"/>
      <c r="L182" s="2101"/>
      <c r="M182" s="2101"/>
      <c r="N182" s="2101"/>
      <c r="O182" s="2101"/>
      <c r="P182" s="2101"/>
      <c r="Q182" s="2101"/>
      <c r="R182" s="2101"/>
      <c r="S182" s="2101"/>
      <c r="T182" s="2101"/>
      <c r="U182" s="2101"/>
      <c r="V182" s="2101"/>
      <c r="W182" s="2101"/>
      <c r="X182" s="2101"/>
      <c r="Y182" s="2101"/>
      <c r="Z182" s="2101"/>
      <c r="AA182" s="2101"/>
      <c r="AB182" s="2101"/>
      <c r="AC182" s="2101"/>
      <c r="AD182" s="2101"/>
      <c r="AE182" s="2101"/>
      <c r="AF182" s="2101"/>
      <c r="AG182" s="2101"/>
      <c r="AI182" s="18"/>
      <c r="AJ182" s="18"/>
      <c r="AK182" s="18"/>
      <c r="AL182" s="18"/>
      <c r="AM182" s="18"/>
      <c r="AN182" s="18"/>
      <c r="AO182" s="18"/>
      <c r="AP182" s="18"/>
      <c r="AQ182" s="18"/>
    </row>
    <row r="183" spans="1:43" s="584" customFormat="1">
      <c r="A183" s="597"/>
      <c r="D183" s="2101"/>
      <c r="E183" s="2101"/>
      <c r="F183" s="2101"/>
      <c r="G183" s="2101"/>
      <c r="H183" s="2101"/>
      <c r="I183" s="2101"/>
      <c r="J183" s="2101"/>
      <c r="K183" s="2101"/>
      <c r="L183" s="2101"/>
      <c r="M183" s="2101"/>
      <c r="N183" s="2101"/>
      <c r="O183" s="2101"/>
      <c r="P183" s="2101"/>
      <c r="Q183" s="2101"/>
      <c r="R183" s="2101"/>
      <c r="S183" s="2101"/>
      <c r="T183" s="2101"/>
      <c r="U183" s="2101"/>
      <c r="V183" s="2101"/>
      <c r="W183" s="2101"/>
      <c r="X183" s="2101"/>
      <c r="Y183" s="2101"/>
      <c r="Z183" s="2101"/>
      <c r="AA183" s="2101"/>
      <c r="AB183" s="2101"/>
      <c r="AC183" s="2101"/>
      <c r="AD183" s="2101"/>
      <c r="AE183" s="2101"/>
      <c r="AF183" s="2101"/>
      <c r="AG183" s="2101"/>
      <c r="AI183" s="18"/>
      <c r="AJ183" s="18"/>
      <c r="AK183" s="18"/>
      <c r="AL183" s="18"/>
      <c r="AM183" s="18"/>
      <c r="AN183" s="18"/>
      <c r="AO183" s="18"/>
      <c r="AP183" s="18"/>
      <c r="AQ183" s="18"/>
    </row>
    <row r="184" spans="1:43" s="584" customFormat="1">
      <c r="A184" s="597"/>
      <c r="AI184" s="18"/>
      <c r="AJ184" s="18"/>
      <c r="AK184" s="18"/>
      <c r="AL184" s="18"/>
      <c r="AM184" s="18"/>
      <c r="AN184" s="18"/>
      <c r="AO184" s="18"/>
      <c r="AP184" s="18"/>
      <c r="AQ184" s="18"/>
    </row>
    <row r="185" spans="1:43" s="584" customFormat="1">
      <c r="A185" s="597"/>
      <c r="D185" s="2101" t="s">
        <v>1357</v>
      </c>
      <c r="E185" s="2101"/>
      <c r="F185" s="2101"/>
      <c r="G185" s="2101"/>
      <c r="H185" s="2101"/>
      <c r="I185" s="2101"/>
      <c r="J185" s="2101"/>
      <c r="K185" s="2101"/>
      <c r="L185" s="2101"/>
      <c r="M185" s="2101"/>
      <c r="N185" s="2101"/>
      <c r="O185" s="2101"/>
      <c r="P185" s="2101"/>
      <c r="Q185" s="2101"/>
      <c r="R185" s="2101"/>
      <c r="S185" s="2101"/>
      <c r="T185" s="2101"/>
      <c r="U185" s="2101"/>
      <c r="V185" s="2101"/>
      <c r="W185" s="2101"/>
      <c r="X185" s="2101"/>
      <c r="Y185" s="2101"/>
      <c r="Z185" s="2101"/>
      <c r="AA185" s="2101"/>
      <c r="AB185" s="2101"/>
      <c r="AC185" s="2101"/>
      <c r="AD185" s="2101"/>
      <c r="AE185" s="2101"/>
      <c r="AF185" s="2101"/>
      <c r="AG185" s="2101"/>
      <c r="AI185" s="18"/>
      <c r="AJ185" s="18"/>
      <c r="AK185" s="18"/>
      <c r="AL185" s="18"/>
      <c r="AM185" s="18"/>
      <c r="AN185" s="18"/>
      <c r="AO185" s="18"/>
      <c r="AP185" s="18"/>
      <c r="AQ185" s="18"/>
    </row>
    <row r="186" spans="1:43" s="584" customFormat="1">
      <c r="A186" s="597"/>
      <c r="D186" s="2101"/>
      <c r="E186" s="2101"/>
      <c r="F186" s="2101"/>
      <c r="G186" s="2101"/>
      <c r="H186" s="2101"/>
      <c r="I186" s="2101"/>
      <c r="J186" s="2101"/>
      <c r="K186" s="2101"/>
      <c r="L186" s="2101"/>
      <c r="M186" s="2101"/>
      <c r="N186" s="2101"/>
      <c r="O186" s="2101"/>
      <c r="P186" s="2101"/>
      <c r="Q186" s="2101"/>
      <c r="R186" s="2101"/>
      <c r="S186" s="2101"/>
      <c r="T186" s="2101"/>
      <c r="U186" s="2101"/>
      <c r="V186" s="2101"/>
      <c r="W186" s="2101"/>
      <c r="X186" s="2101"/>
      <c r="Y186" s="2101"/>
      <c r="Z186" s="2101"/>
      <c r="AA186" s="2101"/>
      <c r="AB186" s="2101"/>
      <c r="AC186" s="2101"/>
      <c r="AD186" s="2101"/>
      <c r="AE186" s="2101"/>
      <c r="AF186" s="2101"/>
      <c r="AG186" s="2101"/>
      <c r="AI186" s="18"/>
      <c r="AJ186" s="18"/>
      <c r="AK186" s="18"/>
      <c r="AL186" s="18"/>
      <c r="AM186" s="18"/>
      <c r="AN186" s="18"/>
      <c r="AO186" s="18"/>
      <c r="AP186" s="18"/>
      <c r="AQ186" s="18"/>
    </row>
    <row r="187" spans="1:43" s="584" customFormat="1">
      <c r="A187" s="597"/>
      <c r="AI187" s="18"/>
      <c r="AJ187" s="18"/>
      <c r="AK187" s="18"/>
      <c r="AL187" s="18"/>
      <c r="AM187" s="18"/>
      <c r="AN187" s="18"/>
      <c r="AO187" s="18"/>
      <c r="AP187" s="18"/>
      <c r="AQ187" s="18"/>
    </row>
    <row r="188" spans="1:43" s="584" customFormat="1">
      <c r="A188" s="597"/>
      <c r="D188" s="2101" t="s">
        <v>1358</v>
      </c>
      <c r="E188" s="2101"/>
      <c r="F188" s="2101"/>
      <c r="G188" s="2101"/>
      <c r="H188" s="2101"/>
      <c r="I188" s="2101"/>
      <c r="J188" s="2101"/>
      <c r="K188" s="2101"/>
      <c r="L188" s="2101"/>
      <c r="M188" s="2101"/>
      <c r="N188" s="2101"/>
      <c r="O188" s="2101"/>
      <c r="P188" s="2101"/>
      <c r="Q188" s="2101"/>
      <c r="R188" s="2101"/>
      <c r="S188" s="2101"/>
      <c r="T188" s="2101"/>
      <c r="U188" s="2101"/>
      <c r="V188" s="2101"/>
      <c r="W188" s="2101"/>
      <c r="X188" s="2101"/>
      <c r="Y188" s="2101"/>
      <c r="Z188" s="2101"/>
      <c r="AA188" s="2101"/>
      <c r="AB188" s="2101"/>
      <c r="AC188" s="2101"/>
      <c r="AD188" s="2101"/>
      <c r="AE188" s="2101"/>
      <c r="AF188" s="2101"/>
      <c r="AG188" s="2101"/>
      <c r="AI188" s="18"/>
      <c r="AJ188" s="18"/>
      <c r="AK188" s="18"/>
      <c r="AL188" s="18"/>
      <c r="AM188" s="18"/>
      <c r="AN188" s="18"/>
      <c r="AO188" s="18"/>
      <c r="AP188" s="18"/>
      <c r="AQ188" s="18"/>
    </row>
    <row r="189" spans="1:43" s="584" customFormat="1">
      <c r="A189" s="597"/>
      <c r="AI189" s="18"/>
      <c r="AJ189" s="18"/>
      <c r="AK189" s="18"/>
      <c r="AL189" s="18"/>
      <c r="AM189" s="18"/>
      <c r="AN189" s="18"/>
      <c r="AO189" s="18"/>
      <c r="AP189" s="18"/>
      <c r="AQ189" s="18"/>
    </row>
    <row r="190" spans="1:43" s="584" customFormat="1">
      <c r="A190" s="597"/>
      <c r="D190" s="582" t="s">
        <v>2743</v>
      </c>
      <c r="AI190" s="18"/>
      <c r="AJ190" s="18"/>
      <c r="AK190" s="18"/>
      <c r="AL190" s="18"/>
      <c r="AM190" s="18"/>
      <c r="AN190" s="18"/>
      <c r="AO190" s="18"/>
      <c r="AP190" s="18"/>
      <c r="AQ190" s="18"/>
    </row>
    <row r="191" spans="1:43" s="584" customFormat="1">
      <c r="A191" s="597"/>
      <c r="AI191" s="18"/>
      <c r="AJ191" s="18"/>
      <c r="AK191" s="18"/>
      <c r="AL191" s="18"/>
      <c r="AM191" s="18"/>
      <c r="AN191" s="18"/>
      <c r="AO191" s="18"/>
      <c r="AP191" s="18"/>
      <c r="AQ191" s="18"/>
    </row>
    <row r="192" spans="1:43" s="584" customFormat="1">
      <c r="A192" s="597"/>
      <c r="D192" s="2101" t="s">
        <v>1359</v>
      </c>
      <c r="E192" s="2101"/>
      <c r="F192" s="2101"/>
      <c r="G192" s="2101"/>
      <c r="H192" s="2101"/>
      <c r="I192" s="2101"/>
      <c r="J192" s="2101"/>
      <c r="K192" s="2101"/>
      <c r="L192" s="2101"/>
      <c r="M192" s="2101"/>
      <c r="N192" s="2101"/>
      <c r="O192" s="2101"/>
      <c r="P192" s="2101"/>
      <c r="Q192" s="2101"/>
      <c r="R192" s="2101"/>
      <c r="S192" s="2101"/>
      <c r="T192" s="2101"/>
      <c r="U192" s="2101"/>
      <c r="V192" s="2101"/>
      <c r="W192" s="2101"/>
      <c r="X192" s="2101"/>
      <c r="Y192" s="2101"/>
      <c r="Z192" s="2101"/>
      <c r="AA192" s="2101"/>
      <c r="AB192" s="2101"/>
      <c r="AC192" s="2101"/>
      <c r="AD192" s="2101"/>
      <c r="AE192" s="2101"/>
      <c r="AF192" s="2101"/>
      <c r="AG192" s="2101"/>
      <c r="AI192" s="18"/>
      <c r="AJ192" s="18"/>
      <c r="AK192" s="18"/>
      <c r="AL192" s="18"/>
      <c r="AM192" s="18"/>
      <c r="AN192" s="18"/>
      <c r="AO192" s="18"/>
      <c r="AP192" s="18"/>
      <c r="AQ192" s="18"/>
    </row>
    <row r="193" spans="1:43" s="584" customFormat="1">
      <c r="A193" s="597"/>
      <c r="D193" s="2101"/>
      <c r="E193" s="2101"/>
      <c r="F193" s="2101"/>
      <c r="G193" s="2101"/>
      <c r="H193" s="2101"/>
      <c r="I193" s="2101"/>
      <c r="J193" s="2101"/>
      <c r="K193" s="2101"/>
      <c r="L193" s="2101"/>
      <c r="M193" s="2101"/>
      <c r="N193" s="2101"/>
      <c r="O193" s="2101"/>
      <c r="P193" s="2101"/>
      <c r="Q193" s="2101"/>
      <c r="R193" s="2101"/>
      <c r="S193" s="2101"/>
      <c r="T193" s="2101"/>
      <c r="U193" s="2101"/>
      <c r="V193" s="2101"/>
      <c r="W193" s="2101"/>
      <c r="X193" s="2101"/>
      <c r="Y193" s="2101"/>
      <c r="Z193" s="2101"/>
      <c r="AA193" s="2101"/>
      <c r="AB193" s="2101"/>
      <c r="AC193" s="2101"/>
      <c r="AD193" s="2101"/>
      <c r="AE193" s="2101"/>
      <c r="AF193" s="2101"/>
      <c r="AG193" s="2101"/>
      <c r="AI193" s="18"/>
      <c r="AJ193" s="18"/>
      <c r="AK193" s="18"/>
      <c r="AL193" s="18"/>
      <c r="AM193" s="18"/>
      <c r="AN193" s="18"/>
      <c r="AO193" s="18"/>
      <c r="AP193" s="18"/>
      <c r="AQ193" s="18"/>
    </row>
    <row r="194" spans="1:43" s="584" customFormat="1">
      <c r="A194" s="597"/>
      <c r="D194" s="1536"/>
      <c r="E194" s="1536"/>
      <c r="F194" s="1536"/>
      <c r="G194" s="1536"/>
      <c r="H194" s="1536"/>
      <c r="I194" s="1536"/>
      <c r="J194" s="1536"/>
      <c r="K194" s="1536"/>
      <c r="L194" s="1536"/>
      <c r="M194" s="1536"/>
      <c r="N194" s="1536"/>
      <c r="O194" s="1536"/>
      <c r="P194" s="1536"/>
      <c r="Q194" s="1536"/>
      <c r="R194" s="1536"/>
      <c r="S194" s="1536"/>
      <c r="T194" s="1536"/>
      <c r="U194" s="1536"/>
      <c r="V194" s="1536"/>
      <c r="W194" s="1536"/>
      <c r="X194" s="1536"/>
      <c r="Y194" s="1536"/>
      <c r="Z194" s="1536"/>
      <c r="AA194" s="1536"/>
      <c r="AB194" s="1536"/>
      <c r="AC194" s="1536"/>
      <c r="AD194" s="1536"/>
      <c r="AE194" s="1536"/>
      <c r="AF194" s="1536"/>
      <c r="AG194" s="1536"/>
      <c r="AI194" s="18"/>
      <c r="AJ194" s="18"/>
      <c r="AK194" s="18"/>
      <c r="AL194" s="18"/>
      <c r="AM194" s="18"/>
      <c r="AN194" s="18"/>
      <c r="AO194" s="18"/>
      <c r="AP194" s="18"/>
      <c r="AQ194" s="18"/>
    </row>
    <row r="195" spans="1:43" s="584" customFormat="1">
      <c r="A195" s="597"/>
      <c r="D195" s="2057" t="s">
        <v>2989</v>
      </c>
      <c r="E195" s="2057"/>
      <c r="F195" s="2057"/>
      <c r="G195" s="2057"/>
      <c r="H195" s="2057"/>
      <c r="I195" s="2057"/>
      <c r="J195" s="2057"/>
      <c r="K195" s="2057"/>
      <c r="L195" s="2057"/>
      <c r="M195" s="2057"/>
      <c r="N195" s="2057"/>
      <c r="O195" s="2057"/>
      <c r="P195" s="2057"/>
      <c r="Q195" s="2057"/>
      <c r="R195" s="2057"/>
      <c r="S195" s="2057"/>
      <c r="T195" s="2057"/>
      <c r="U195" s="2057"/>
      <c r="V195" s="2057"/>
      <c r="W195" s="2057"/>
      <c r="X195" s="2057"/>
      <c r="Y195" s="2057"/>
      <c r="Z195" s="2057"/>
      <c r="AA195" s="2057"/>
      <c r="AB195" s="2057"/>
      <c r="AC195" s="2057"/>
      <c r="AD195" s="2057"/>
      <c r="AE195" s="2057"/>
      <c r="AF195" s="2057"/>
      <c r="AG195" s="2057"/>
      <c r="AI195" s="18"/>
      <c r="AJ195" s="18"/>
      <c r="AK195" s="18"/>
      <c r="AL195" s="18"/>
      <c r="AM195" s="18"/>
      <c r="AN195" s="18"/>
      <c r="AO195" s="18"/>
      <c r="AP195" s="18"/>
      <c r="AQ195" s="18"/>
    </row>
    <row r="196" spans="1:43" s="584" customFormat="1">
      <c r="A196" s="597"/>
      <c r="D196" s="2057"/>
      <c r="E196" s="2057"/>
      <c r="F196" s="2057"/>
      <c r="G196" s="2057"/>
      <c r="H196" s="2057"/>
      <c r="I196" s="2057"/>
      <c r="J196" s="2057"/>
      <c r="K196" s="2057"/>
      <c r="L196" s="2057"/>
      <c r="M196" s="2057"/>
      <c r="N196" s="2057"/>
      <c r="O196" s="2057"/>
      <c r="P196" s="2057"/>
      <c r="Q196" s="2057"/>
      <c r="R196" s="2057"/>
      <c r="S196" s="2057"/>
      <c r="T196" s="2057"/>
      <c r="U196" s="2057"/>
      <c r="V196" s="2057"/>
      <c r="W196" s="2057"/>
      <c r="X196" s="2057"/>
      <c r="Y196" s="2057"/>
      <c r="Z196" s="2057"/>
      <c r="AA196" s="2057"/>
      <c r="AB196" s="2057"/>
      <c r="AC196" s="2057"/>
      <c r="AD196" s="2057"/>
      <c r="AE196" s="2057"/>
      <c r="AF196" s="2057"/>
      <c r="AG196" s="2057"/>
      <c r="AI196" s="18"/>
      <c r="AJ196" s="18"/>
      <c r="AK196" s="18"/>
      <c r="AL196" s="18"/>
      <c r="AM196" s="18"/>
      <c r="AN196" s="18"/>
      <c r="AO196" s="18"/>
      <c r="AP196" s="18"/>
      <c r="AQ196" s="18"/>
    </row>
    <row r="197" spans="1:43" s="584" customFormat="1">
      <c r="A197" s="597"/>
      <c r="AI197" s="18"/>
      <c r="AJ197" s="18"/>
      <c r="AK197" s="18"/>
      <c r="AL197" s="18"/>
      <c r="AM197" s="18"/>
      <c r="AN197" s="18"/>
      <c r="AO197" s="18"/>
      <c r="AP197" s="18"/>
      <c r="AQ197" s="18"/>
    </row>
    <row r="198" spans="1:43" s="584" customFormat="1">
      <c r="A198" s="597"/>
      <c r="D198" s="582" t="s">
        <v>2745</v>
      </c>
      <c r="AI198" s="18"/>
      <c r="AJ198" s="18"/>
      <c r="AK198" s="18"/>
      <c r="AL198" s="18"/>
      <c r="AM198" s="18"/>
      <c r="AN198" s="18"/>
      <c r="AO198" s="18"/>
      <c r="AP198" s="18"/>
      <c r="AQ198" s="18"/>
    </row>
    <row r="199" spans="1:43" s="584" customFormat="1">
      <c r="A199" s="597"/>
      <c r="AI199" s="18"/>
      <c r="AJ199" s="18"/>
      <c r="AK199" s="18"/>
      <c r="AL199" s="18"/>
      <c r="AM199" s="18"/>
      <c r="AN199" s="18"/>
      <c r="AO199" s="18"/>
      <c r="AP199" s="18"/>
      <c r="AQ199" s="18"/>
    </row>
    <row r="200" spans="1:43" s="584" customFormat="1">
      <c r="A200" s="597"/>
      <c r="D200" s="2101" t="s">
        <v>1360</v>
      </c>
      <c r="E200" s="2101"/>
      <c r="F200" s="2101"/>
      <c r="G200" s="2101"/>
      <c r="H200" s="2101"/>
      <c r="I200" s="2101"/>
      <c r="J200" s="2101"/>
      <c r="K200" s="2101"/>
      <c r="L200" s="2101"/>
      <c r="M200" s="2101"/>
      <c r="N200" s="2101"/>
      <c r="O200" s="2101"/>
      <c r="P200" s="2101"/>
      <c r="Q200" s="2101"/>
      <c r="R200" s="2101"/>
      <c r="S200" s="2101"/>
      <c r="T200" s="2101"/>
      <c r="U200" s="2101"/>
      <c r="V200" s="2101"/>
      <c r="W200" s="2101"/>
      <c r="X200" s="2101"/>
      <c r="Y200" s="2101"/>
      <c r="Z200" s="2101"/>
      <c r="AA200" s="2101"/>
      <c r="AB200" s="2101"/>
      <c r="AC200" s="2101"/>
      <c r="AD200" s="2101"/>
      <c r="AE200" s="2101"/>
      <c r="AF200" s="2101"/>
      <c r="AG200" s="2101"/>
      <c r="AI200" s="18"/>
      <c r="AJ200" s="18"/>
      <c r="AK200" s="18"/>
      <c r="AL200" s="18"/>
      <c r="AM200" s="18"/>
      <c r="AN200" s="18"/>
      <c r="AO200" s="18"/>
      <c r="AP200" s="18"/>
      <c r="AQ200" s="18"/>
    </row>
    <row r="201" spans="1:43" s="584" customFormat="1">
      <c r="A201" s="597"/>
      <c r="D201" s="2101"/>
      <c r="E201" s="2101"/>
      <c r="F201" s="2101"/>
      <c r="G201" s="2101"/>
      <c r="H201" s="2101"/>
      <c r="I201" s="2101"/>
      <c r="J201" s="2101"/>
      <c r="K201" s="2101"/>
      <c r="L201" s="2101"/>
      <c r="M201" s="2101"/>
      <c r="N201" s="2101"/>
      <c r="O201" s="2101"/>
      <c r="P201" s="2101"/>
      <c r="Q201" s="2101"/>
      <c r="R201" s="2101"/>
      <c r="S201" s="2101"/>
      <c r="T201" s="2101"/>
      <c r="U201" s="2101"/>
      <c r="V201" s="2101"/>
      <c r="W201" s="2101"/>
      <c r="X201" s="2101"/>
      <c r="Y201" s="2101"/>
      <c r="Z201" s="2101"/>
      <c r="AA201" s="2101"/>
      <c r="AB201" s="2101"/>
      <c r="AC201" s="2101"/>
      <c r="AD201" s="2101"/>
      <c r="AE201" s="2101"/>
      <c r="AF201" s="2101"/>
      <c r="AG201" s="2101"/>
      <c r="AI201" s="18"/>
      <c r="AJ201" s="18"/>
      <c r="AK201" s="18"/>
      <c r="AL201" s="18"/>
      <c r="AM201" s="18"/>
      <c r="AN201" s="18"/>
      <c r="AO201" s="18"/>
      <c r="AP201" s="18"/>
      <c r="AQ201" s="18"/>
    </row>
    <row r="202" spans="1:43" s="584" customFormat="1">
      <c r="A202" s="597"/>
      <c r="D202" s="2101"/>
      <c r="E202" s="2101"/>
      <c r="F202" s="2101"/>
      <c r="G202" s="2101"/>
      <c r="H202" s="2101"/>
      <c r="I202" s="2101"/>
      <c r="J202" s="2101"/>
      <c r="K202" s="2101"/>
      <c r="L202" s="2101"/>
      <c r="M202" s="2101"/>
      <c r="N202" s="2101"/>
      <c r="O202" s="2101"/>
      <c r="P202" s="2101"/>
      <c r="Q202" s="2101"/>
      <c r="R202" s="2101"/>
      <c r="S202" s="2101"/>
      <c r="T202" s="2101"/>
      <c r="U202" s="2101"/>
      <c r="V202" s="2101"/>
      <c r="W202" s="2101"/>
      <c r="X202" s="2101"/>
      <c r="Y202" s="2101"/>
      <c r="Z202" s="2101"/>
      <c r="AA202" s="2101"/>
      <c r="AB202" s="2101"/>
      <c r="AC202" s="2101"/>
      <c r="AD202" s="2101"/>
      <c r="AE202" s="2101"/>
      <c r="AF202" s="2101"/>
      <c r="AG202" s="2101"/>
      <c r="AI202" s="18"/>
      <c r="AJ202" s="18"/>
      <c r="AK202" s="18"/>
      <c r="AL202" s="18"/>
      <c r="AM202" s="18"/>
      <c r="AN202" s="18"/>
      <c r="AO202" s="18"/>
      <c r="AP202" s="18"/>
      <c r="AQ202" s="18"/>
    </row>
    <row r="203" spans="1:43" s="584" customFormat="1">
      <c r="A203" s="597"/>
      <c r="AI203" s="18"/>
      <c r="AJ203" s="18"/>
      <c r="AK203" s="18"/>
      <c r="AL203" s="18"/>
      <c r="AM203" s="18"/>
      <c r="AN203" s="18"/>
      <c r="AO203" s="18"/>
      <c r="AP203" s="18"/>
      <c r="AQ203" s="18"/>
    </row>
    <row r="204" spans="1:43" s="584" customFormat="1">
      <c r="A204" s="597"/>
      <c r="D204" s="584" t="s">
        <v>1339</v>
      </c>
      <c r="E204" s="2101" t="s">
        <v>1362</v>
      </c>
      <c r="F204" s="2101"/>
      <c r="G204" s="2101"/>
      <c r="H204" s="2101"/>
      <c r="I204" s="2101"/>
      <c r="J204" s="2101"/>
      <c r="K204" s="2101"/>
      <c r="L204" s="2101"/>
      <c r="M204" s="2101"/>
      <c r="N204" s="2101"/>
      <c r="O204" s="2101"/>
      <c r="P204" s="2101"/>
      <c r="Q204" s="2101"/>
      <c r="R204" s="2101"/>
      <c r="S204" s="2101"/>
      <c r="T204" s="2101"/>
      <c r="U204" s="2101"/>
      <c r="V204" s="2101"/>
      <c r="W204" s="2101"/>
      <c r="X204" s="2101"/>
      <c r="Y204" s="2101"/>
      <c r="Z204" s="2101"/>
      <c r="AA204" s="2101"/>
      <c r="AB204" s="2101"/>
      <c r="AC204" s="2101"/>
      <c r="AD204" s="2101"/>
      <c r="AE204" s="2101"/>
      <c r="AF204" s="2101"/>
      <c r="AG204" s="2101"/>
      <c r="AI204" s="18"/>
      <c r="AJ204" s="18"/>
      <c r="AK204" s="18"/>
      <c r="AL204" s="18"/>
      <c r="AM204" s="18"/>
      <c r="AN204" s="18"/>
      <c r="AO204" s="18"/>
      <c r="AP204" s="18"/>
      <c r="AQ204" s="18"/>
    </row>
    <row r="205" spans="1:43" s="584" customFormat="1">
      <c r="A205" s="597"/>
      <c r="E205" s="2101"/>
      <c r="F205" s="2101"/>
      <c r="G205" s="2101"/>
      <c r="H205" s="2101"/>
      <c r="I205" s="2101"/>
      <c r="J205" s="2101"/>
      <c r="K205" s="2101"/>
      <c r="L205" s="2101"/>
      <c r="M205" s="2101"/>
      <c r="N205" s="2101"/>
      <c r="O205" s="2101"/>
      <c r="P205" s="2101"/>
      <c r="Q205" s="2101"/>
      <c r="R205" s="2101"/>
      <c r="S205" s="2101"/>
      <c r="T205" s="2101"/>
      <c r="U205" s="2101"/>
      <c r="V205" s="2101"/>
      <c r="W205" s="2101"/>
      <c r="X205" s="2101"/>
      <c r="Y205" s="2101"/>
      <c r="Z205" s="2101"/>
      <c r="AA205" s="2101"/>
      <c r="AB205" s="2101"/>
      <c r="AC205" s="2101"/>
      <c r="AD205" s="2101"/>
      <c r="AE205" s="2101"/>
      <c r="AF205" s="2101"/>
      <c r="AG205" s="2101"/>
      <c r="AI205" s="18"/>
      <c r="AJ205" s="18"/>
      <c r="AK205" s="18"/>
      <c r="AL205" s="18"/>
      <c r="AM205" s="18"/>
      <c r="AN205" s="18"/>
      <c r="AO205" s="18"/>
      <c r="AP205" s="18"/>
      <c r="AQ205" s="18"/>
    </row>
    <row r="206" spans="1:43" s="584" customFormat="1">
      <c r="A206" s="597"/>
      <c r="E206" s="603"/>
      <c r="F206" s="603"/>
      <c r="G206" s="603"/>
      <c r="H206" s="603"/>
      <c r="I206" s="603"/>
      <c r="J206" s="603"/>
      <c r="K206" s="603"/>
      <c r="L206" s="603"/>
      <c r="M206" s="603"/>
      <c r="N206" s="603"/>
      <c r="O206" s="603"/>
      <c r="P206" s="603"/>
      <c r="Q206" s="603"/>
      <c r="R206" s="603"/>
      <c r="S206" s="603"/>
      <c r="T206" s="603"/>
      <c r="U206" s="603"/>
      <c r="V206" s="603"/>
      <c r="W206" s="603"/>
      <c r="X206" s="603"/>
      <c r="Y206" s="603"/>
      <c r="Z206" s="603"/>
      <c r="AA206" s="603"/>
      <c r="AB206" s="603"/>
      <c r="AC206" s="603"/>
      <c r="AD206" s="603"/>
      <c r="AE206" s="603"/>
      <c r="AF206" s="603"/>
      <c r="AG206" s="603"/>
      <c r="AI206" s="18"/>
      <c r="AJ206" s="18"/>
      <c r="AK206" s="18"/>
      <c r="AL206" s="18"/>
      <c r="AM206" s="18"/>
      <c r="AN206" s="18"/>
      <c r="AO206" s="18"/>
      <c r="AP206" s="18"/>
      <c r="AQ206" s="18"/>
    </row>
    <row r="207" spans="1:43" s="584" customFormat="1">
      <c r="A207" s="597"/>
      <c r="D207" s="584" t="s">
        <v>1339</v>
      </c>
      <c r="E207" s="2101" t="s">
        <v>1361</v>
      </c>
      <c r="F207" s="2101"/>
      <c r="G207" s="2101"/>
      <c r="H207" s="2101"/>
      <c r="I207" s="2101"/>
      <c r="J207" s="2101"/>
      <c r="K207" s="2101"/>
      <c r="L207" s="2101"/>
      <c r="M207" s="2101"/>
      <c r="N207" s="2101"/>
      <c r="O207" s="2101"/>
      <c r="P207" s="2101"/>
      <c r="Q207" s="2101"/>
      <c r="R207" s="2101"/>
      <c r="S207" s="2101"/>
      <c r="T207" s="2101"/>
      <c r="U207" s="2101"/>
      <c r="V207" s="2101"/>
      <c r="W207" s="2101"/>
      <c r="X207" s="2101"/>
      <c r="Y207" s="2101"/>
      <c r="Z207" s="2101"/>
      <c r="AA207" s="2101"/>
      <c r="AB207" s="2101"/>
      <c r="AC207" s="2101"/>
      <c r="AD207" s="2101"/>
      <c r="AE207" s="2101"/>
      <c r="AF207" s="2101"/>
      <c r="AG207" s="2101"/>
      <c r="AI207" s="18"/>
      <c r="AJ207" s="18"/>
      <c r="AK207" s="18"/>
      <c r="AL207" s="18"/>
      <c r="AM207" s="18"/>
      <c r="AN207" s="18"/>
      <c r="AO207" s="18"/>
      <c r="AP207" s="18"/>
      <c r="AQ207" s="18"/>
    </row>
    <row r="208" spans="1:43" s="584" customFormat="1">
      <c r="A208" s="597"/>
      <c r="E208" s="2101"/>
      <c r="F208" s="2101"/>
      <c r="G208" s="2101"/>
      <c r="H208" s="2101"/>
      <c r="I208" s="2101"/>
      <c r="J208" s="2101"/>
      <c r="K208" s="2101"/>
      <c r="L208" s="2101"/>
      <c r="M208" s="2101"/>
      <c r="N208" s="2101"/>
      <c r="O208" s="2101"/>
      <c r="P208" s="2101"/>
      <c r="Q208" s="2101"/>
      <c r="R208" s="2101"/>
      <c r="S208" s="2101"/>
      <c r="T208" s="2101"/>
      <c r="U208" s="2101"/>
      <c r="V208" s="2101"/>
      <c r="W208" s="2101"/>
      <c r="X208" s="2101"/>
      <c r="Y208" s="2101"/>
      <c r="Z208" s="2101"/>
      <c r="AA208" s="2101"/>
      <c r="AB208" s="2101"/>
      <c r="AC208" s="2101"/>
      <c r="AD208" s="2101"/>
      <c r="AE208" s="2101"/>
      <c r="AF208" s="2101"/>
      <c r="AG208" s="2101"/>
      <c r="AI208" s="18"/>
      <c r="AJ208" s="18"/>
      <c r="AK208" s="18"/>
      <c r="AL208" s="18"/>
      <c r="AM208" s="18"/>
      <c r="AN208" s="18"/>
      <c r="AO208" s="18"/>
      <c r="AP208" s="18"/>
      <c r="AQ208" s="18"/>
    </row>
    <row r="209" spans="1:60" s="584" customFormat="1">
      <c r="A209" s="597"/>
      <c r="AI209" s="18"/>
      <c r="AJ209" s="18"/>
      <c r="AK209" s="18"/>
      <c r="AL209" s="18"/>
      <c r="AM209" s="18"/>
      <c r="AN209" s="18"/>
      <c r="AO209" s="18"/>
      <c r="AP209" s="18"/>
      <c r="AQ209" s="18"/>
    </row>
    <row r="210" spans="1:60" s="584" customFormat="1">
      <c r="A210" s="597"/>
      <c r="D210" s="584" t="s">
        <v>1339</v>
      </c>
      <c r="E210" s="2101" t="s">
        <v>1363</v>
      </c>
      <c r="F210" s="2101"/>
      <c r="G210" s="2101"/>
      <c r="H210" s="2101"/>
      <c r="I210" s="2101"/>
      <c r="J210" s="2101"/>
      <c r="K210" s="2101"/>
      <c r="L210" s="2101"/>
      <c r="M210" s="2101"/>
      <c r="N210" s="2101"/>
      <c r="O210" s="2101"/>
      <c r="P210" s="2101"/>
      <c r="Q210" s="2101"/>
      <c r="R210" s="2101"/>
      <c r="S210" s="2101"/>
      <c r="T210" s="2101"/>
      <c r="U210" s="2101"/>
      <c r="V210" s="2101"/>
      <c r="W210" s="2101"/>
      <c r="X210" s="2101"/>
      <c r="Y210" s="2101"/>
      <c r="Z210" s="2101"/>
      <c r="AA210" s="2101"/>
      <c r="AB210" s="2101"/>
      <c r="AC210" s="2101"/>
      <c r="AD210" s="2101"/>
      <c r="AE210" s="2101"/>
      <c r="AF210" s="2101"/>
      <c r="AG210" s="2101"/>
      <c r="AI210" s="18"/>
      <c r="AJ210" s="18"/>
      <c r="AK210" s="18"/>
      <c r="AL210" s="18"/>
      <c r="AM210" s="18"/>
      <c r="AN210" s="18"/>
      <c r="AO210" s="18"/>
      <c r="AP210" s="18"/>
      <c r="AQ210" s="18"/>
    </row>
    <row r="211" spans="1:60" s="584" customFormat="1">
      <c r="A211" s="597"/>
      <c r="AI211" s="18"/>
      <c r="AJ211" s="18"/>
      <c r="AK211" s="18"/>
      <c r="AL211" s="18"/>
      <c r="AM211" s="18"/>
      <c r="AN211" s="18"/>
      <c r="AO211" s="18"/>
      <c r="AP211" s="18"/>
      <c r="AQ211" s="18"/>
    </row>
    <row r="212" spans="1:60" s="584" customFormat="1" ht="42.75" customHeight="1">
      <c r="A212" s="597"/>
      <c r="D212" s="1884" t="s">
        <v>2929</v>
      </c>
      <c r="E212" s="1885"/>
      <c r="F212" s="1885"/>
      <c r="G212" s="1885"/>
      <c r="H212" s="1885"/>
      <c r="I212" s="1885"/>
      <c r="J212" s="1885"/>
      <c r="K212" s="1885"/>
      <c r="L212" s="1885"/>
      <c r="M212" s="1885"/>
      <c r="N212" s="1885"/>
      <c r="O212" s="1885"/>
      <c r="P212" s="1885"/>
      <c r="Q212" s="1885"/>
      <c r="R212" s="1885"/>
      <c r="S212" s="1885"/>
      <c r="T212" s="1885"/>
      <c r="U212" s="1885"/>
      <c r="V212" s="1885"/>
      <c r="W212" s="1885"/>
      <c r="X212" s="1885"/>
      <c r="Y212" s="1885"/>
      <c r="Z212" s="1885"/>
      <c r="AA212" s="1885"/>
      <c r="AB212" s="1885"/>
      <c r="AC212" s="1885"/>
      <c r="AD212" s="1885"/>
      <c r="AE212" s="1885"/>
      <c r="AF212" s="1885"/>
      <c r="AG212" s="1885"/>
      <c r="AI212" s="18"/>
      <c r="AJ212" s="18"/>
      <c r="AK212" s="18"/>
      <c r="AL212" s="18"/>
      <c r="AM212" s="18"/>
      <c r="AN212" s="18"/>
      <c r="AO212" s="18"/>
      <c r="AP212" s="18"/>
      <c r="AQ212" s="18"/>
    </row>
    <row r="213" spans="1:60" s="584" customFormat="1">
      <c r="A213" s="597"/>
      <c r="AI213" s="18"/>
      <c r="AJ213" s="18"/>
      <c r="AK213" s="18"/>
      <c r="AL213" s="18"/>
      <c r="AM213" s="18"/>
      <c r="AN213" s="18"/>
      <c r="AO213" s="18"/>
      <c r="AP213" s="18"/>
      <c r="AQ213" s="18"/>
    </row>
    <row r="214" spans="1:60" s="584" customFormat="1">
      <c r="A214" s="597"/>
      <c r="D214" s="582" t="s">
        <v>2803</v>
      </c>
      <c r="E214" s="903"/>
      <c r="F214" s="903"/>
      <c r="G214" s="903"/>
      <c r="H214" s="903"/>
      <c r="I214" s="903"/>
      <c r="J214" s="903"/>
      <c r="K214" s="903"/>
      <c r="L214" s="903"/>
      <c r="M214" s="903"/>
      <c r="N214" s="903"/>
      <c r="O214" s="903"/>
      <c r="P214" s="903"/>
      <c r="Q214" s="903"/>
      <c r="R214" s="903"/>
      <c r="S214" s="903"/>
      <c r="T214" s="903"/>
      <c r="U214" s="903"/>
      <c r="V214" s="903"/>
      <c r="W214" s="903"/>
      <c r="X214" s="903"/>
      <c r="Y214" s="903"/>
      <c r="Z214" s="903"/>
      <c r="AA214" s="903"/>
      <c r="AB214" s="903"/>
      <c r="AC214" s="903"/>
      <c r="AD214" s="903"/>
      <c r="AE214" s="903"/>
      <c r="AF214" s="903"/>
      <c r="AG214" s="903"/>
      <c r="AI214" s="18"/>
      <c r="AJ214" s="18"/>
      <c r="AK214" s="18"/>
      <c r="AL214" s="18"/>
      <c r="AM214" s="18"/>
      <c r="AN214" s="18"/>
      <c r="AO214" s="18"/>
      <c r="AP214" s="18"/>
      <c r="AQ214" s="18"/>
    </row>
    <row r="215" spans="1:60" s="584" customFormat="1">
      <c r="A215" s="597"/>
      <c r="D215" s="903"/>
      <c r="E215" s="903"/>
      <c r="F215" s="903"/>
      <c r="G215" s="903"/>
      <c r="H215" s="903"/>
      <c r="I215" s="903"/>
      <c r="J215" s="903"/>
      <c r="K215" s="903"/>
      <c r="L215" s="903"/>
      <c r="M215" s="903"/>
      <c r="N215" s="903"/>
      <c r="O215" s="903"/>
      <c r="P215" s="903"/>
      <c r="Q215" s="903"/>
      <c r="R215" s="903"/>
      <c r="S215" s="903"/>
      <c r="T215" s="903"/>
      <c r="U215" s="903"/>
      <c r="V215" s="903"/>
      <c r="W215" s="903"/>
      <c r="X215" s="903"/>
      <c r="Y215" s="903"/>
      <c r="Z215" s="903"/>
      <c r="AA215" s="903"/>
      <c r="AB215" s="903"/>
      <c r="AC215" s="903"/>
      <c r="AD215" s="903"/>
      <c r="AE215" s="903"/>
      <c r="AF215" s="903"/>
      <c r="AG215" s="903"/>
      <c r="AI215" s="18"/>
      <c r="AJ215" s="18"/>
      <c r="AK215" s="18"/>
      <c r="AL215" s="18"/>
      <c r="AM215" s="18"/>
      <c r="AN215" s="18"/>
      <c r="AO215" s="18"/>
      <c r="AP215" s="18"/>
      <c r="AQ215" s="18"/>
    </row>
    <row r="216" spans="1:60" s="584" customFormat="1" ht="14.25" customHeight="1">
      <c r="A216" s="597"/>
      <c r="D216" s="908" t="s">
        <v>2801</v>
      </c>
      <c r="E216" s="903"/>
      <c r="F216" s="903"/>
      <c r="G216" s="903"/>
      <c r="H216" s="903"/>
      <c r="I216" s="903"/>
      <c r="J216" s="903"/>
      <c r="K216" s="903"/>
      <c r="L216" s="903"/>
      <c r="M216" s="903"/>
      <c r="N216" s="903"/>
      <c r="O216" s="903"/>
      <c r="P216" s="903"/>
      <c r="Q216" s="903"/>
      <c r="R216" s="903"/>
      <c r="S216" s="903"/>
      <c r="T216" s="903"/>
      <c r="U216" s="903"/>
      <c r="V216" s="903"/>
      <c r="W216" s="903"/>
      <c r="X216" s="903"/>
      <c r="Y216" s="903"/>
      <c r="Z216" s="903"/>
      <c r="AA216" s="903"/>
      <c r="AB216" s="903"/>
      <c r="AC216" s="903"/>
      <c r="AD216" s="903"/>
      <c r="AE216" s="903"/>
      <c r="AF216" s="903"/>
      <c r="AG216" s="903"/>
      <c r="AI216" s="18"/>
      <c r="AJ216" s="18"/>
      <c r="AK216" s="18"/>
      <c r="AL216" s="18"/>
      <c r="AM216" s="18"/>
      <c r="AN216" s="18"/>
      <c r="AO216" s="18"/>
      <c r="AP216" s="18"/>
      <c r="AQ216" s="18"/>
    </row>
    <row r="217" spans="1:60" s="584" customFormat="1">
      <c r="A217" s="597"/>
      <c r="AI217" s="18"/>
      <c r="AJ217" s="18"/>
      <c r="AK217" s="18"/>
      <c r="AL217" s="18"/>
      <c r="AM217" s="18"/>
      <c r="AN217" s="18"/>
      <c r="AO217" s="18"/>
      <c r="AP217" s="18"/>
      <c r="AQ217" s="18"/>
    </row>
    <row r="218" spans="1:60" s="584" customFormat="1">
      <c r="A218" s="597"/>
      <c r="D218" s="582" t="s">
        <v>2997</v>
      </c>
      <c r="AI218" s="18"/>
      <c r="AJ218" s="18"/>
      <c r="AK218" s="18"/>
      <c r="AL218" s="18"/>
      <c r="AM218" s="18"/>
      <c r="AN218" s="18"/>
      <c r="AO218" s="18"/>
      <c r="AP218" s="18"/>
      <c r="AQ218" s="18"/>
    </row>
    <row r="219" spans="1:60" s="584" customFormat="1">
      <c r="A219" s="597"/>
      <c r="AI219" s="18"/>
      <c r="AJ219" s="18"/>
      <c r="AK219" s="18"/>
      <c r="AL219" s="18"/>
      <c r="AM219" s="18"/>
      <c r="AN219" s="18"/>
      <c r="AO219" s="18"/>
      <c r="AP219" s="18"/>
      <c r="AQ219" s="18"/>
    </row>
    <row r="220" spans="1:60" s="584" customFormat="1">
      <c r="A220" s="597"/>
      <c r="D220" s="582" t="s">
        <v>1400</v>
      </c>
      <c r="E220" s="774"/>
      <c r="F220" s="774"/>
      <c r="AI220" s="18"/>
      <c r="AJ220" s="18"/>
      <c r="AK220" s="18"/>
      <c r="AL220" s="18"/>
      <c r="AM220" s="18"/>
      <c r="AN220" s="18"/>
      <c r="AO220" s="18"/>
      <c r="AP220" s="18"/>
      <c r="AQ220" s="18"/>
    </row>
    <row r="221" spans="1:60" s="584" customFormat="1">
      <c r="A221" s="597"/>
      <c r="AI221" s="18"/>
      <c r="AJ221" s="18"/>
      <c r="AK221" s="18"/>
      <c r="AL221" s="18"/>
      <c r="AM221" s="18"/>
      <c r="AN221" s="18"/>
      <c r="AO221" s="18"/>
      <c r="AP221" s="18"/>
      <c r="AQ221" s="18"/>
    </row>
    <row r="222" spans="1:60" s="584" customFormat="1">
      <c r="A222" s="597"/>
      <c r="D222" s="774" t="s">
        <v>1401</v>
      </c>
      <c r="AI222" s="18"/>
      <c r="AJ222" s="18"/>
      <c r="AK222" s="18"/>
      <c r="AL222" s="18"/>
      <c r="AM222" s="18"/>
      <c r="AN222" s="18"/>
      <c r="AO222" s="18"/>
      <c r="AP222" s="18"/>
      <c r="AQ222" s="18"/>
    </row>
    <row r="223" spans="1:60" s="584" customFormat="1" ht="15" thickBot="1">
      <c r="A223" s="597"/>
      <c r="AI223" s="1561" t="s">
        <v>1056</v>
      </c>
      <c r="AJ223" s="1561"/>
      <c r="AK223" s="1561"/>
      <c r="AL223" s="1561"/>
      <c r="AM223" s="1561"/>
      <c r="AN223" s="1561"/>
      <c r="AO223" s="1561"/>
      <c r="AP223" s="1561"/>
      <c r="AQ223" s="607"/>
      <c r="AR223" s="1561" t="s">
        <v>1057</v>
      </c>
      <c r="AS223" s="1561"/>
      <c r="AT223" s="1561"/>
      <c r="AU223" s="1561"/>
      <c r="AV223" s="1561"/>
      <c r="AW223" s="1561"/>
      <c r="AX223" s="1561"/>
      <c r="AY223" s="1561"/>
      <c r="AZ223" s="607"/>
      <c r="BA223" s="1561" t="s">
        <v>1058</v>
      </c>
      <c r="BB223" s="1561"/>
      <c r="BC223" s="1561"/>
      <c r="BD223" s="1561"/>
      <c r="BE223" s="1561"/>
      <c r="BF223" s="1561"/>
      <c r="BG223" s="1561"/>
      <c r="BH223" s="1561"/>
    </row>
    <row r="224" spans="1:60" s="584" customFormat="1" ht="15" customHeight="1" thickBot="1">
      <c r="A224" s="597"/>
      <c r="D224" s="1799" t="s">
        <v>20</v>
      </c>
      <c r="E224" s="1800"/>
      <c r="F224" s="1800"/>
      <c r="G224" s="1800"/>
      <c r="H224" s="1800"/>
      <c r="I224" s="1803"/>
      <c r="J224" s="1859" t="s">
        <v>2</v>
      </c>
      <c r="K224" s="1859"/>
      <c r="L224" s="1859"/>
      <c r="M224" s="1859"/>
      <c r="N224" s="1859"/>
      <c r="O224" s="1859"/>
      <c r="P224" s="1859"/>
      <c r="Q224" s="1859"/>
      <c r="R224" s="1859"/>
      <c r="S224" s="1859"/>
      <c r="T224" s="1859"/>
      <c r="U224" s="1859"/>
      <c r="V224" s="1859"/>
      <c r="W224" s="1859"/>
      <c r="X224" s="1859"/>
      <c r="Y224" s="1859"/>
      <c r="Z224" s="1859"/>
      <c r="AA224" s="1859"/>
      <c r="AB224" s="1859"/>
      <c r="AC224" s="1859"/>
      <c r="AD224" s="1859"/>
      <c r="AE224" s="1859"/>
      <c r="AF224" s="1859"/>
      <c r="AG224" s="1859"/>
      <c r="AI224" s="18"/>
      <c r="AJ224" s="18"/>
      <c r="AK224" s="18"/>
      <c r="AL224" s="18"/>
      <c r="AM224" s="18"/>
      <c r="AN224" s="18"/>
      <c r="AO224" s="18"/>
      <c r="AP224" s="18"/>
      <c r="AQ224" s="18"/>
    </row>
    <row r="225" spans="1:60" s="584" customFormat="1" ht="46.5" thickTop="1" thickBot="1">
      <c r="A225" s="597"/>
      <c r="D225" s="1801"/>
      <c r="E225" s="1802"/>
      <c r="F225" s="1802"/>
      <c r="G225" s="1802"/>
      <c r="H225" s="1802"/>
      <c r="I225" s="1804"/>
      <c r="J225" s="1838" t="s">
        <v>441</v>
      </c>
      <c r="K225" s="1838"/>
      <c r="L225" s="1838"/>
      <c r="M225" s="1838" t="s">
        <v>21</v>
      </c>
      <c r="N225" s="1838"/>
      <c r="O225" s="1838"/>
      <c r="P225" s="1838" t="s">
        <v>442</v>
      </c>
      <c r="Q225" s="1838"/>
      <c r="R225" s="1838"/>
      <c r="S225" s="1838" t="s">
        <v>22</v>
      </c>
      <c r="T225" s="1838"/>
      <c r="U225" s="1838"/>
      <c r="V225" s="1838" t="s">
        <v>23</v>
      </c>
      <c r="W225" s="1838"/>
      <c r="X225" s="1838"/>
      <c r="Y225" s="1838" t="s">
        <v>443</v>
      </c>
      <c r="Z225" s="1838"/>
      <c r="AA225" s="1838"/>
      <c r="AB225" s="1838" t="s">
        <v>24</v>
      </c>
      <c r="AC225" s="1838"/>
      <c r="AD225" s="1838"/>
      <c r="AE225" s="1838" t="s">
        <v>14</v>
      </c>
      <c r="AF225" s="1838"/>
      <c r="AG225" s="1838"/>
      <c r="AI225" s="764" t="s">
        <v>441</v>
      </c>
      <c r="AJ225" s="765" t="s">
        <v>21</v>
      </c>
      <c r="AK225" s="765" t="s">
        <v>442</v>
      </c>
      <c r="AL225" s="764" t="s">
        <v>22</v>
      </c>
      <c r="AM225" s="765" t="s">
        <v>23</v>
      </c>
      <c r="AN225" s="765" t="s">
        <v>443</v>
      </c>
      <c r="AO225" s="765" t="s">
        <v>24</v>
      </c>
      <c r="AP225" s="765" t="s">
        <v>14</v>
      </c>
      <c r="AQ225" s="18"/>
      <c r="AR225" s="764" t="s">
        <v>441</v>
      </c>
      <c r="AS225" s="765" t="s">
        <v>21</v>
      </c>
      <c r="AT225" s="765" t="s">
        <v>442</v>
      </c>
      <c r="AU225" s="764" t="s">
        <v>22</v>
      </c>
      <c r="AV225" s="765" t="s">
        <v>23</v>
      </c>
      <c r="AW225" s="765" t="s">
        <v>443</v>
      </c>
      <c r="AX225" s="765" t="s">
        <v>24</v>
      </c>
      <c r="AY225" s="765" t="s">
        <v>14</v>
      </c>
      <c r="BA225" s="764" t="s">
        <v>441</v>
      </c>
      <c r="BB225" s="765" t="s">
        <v>21</v>
      </c>
      <c r="BC225" s="765" t="s">
        <v>442</v>
      </c>
      <c r="BD225" s="764" t="s">
        <v>22</v>
      </c>
      <c r="BE225" s="765" t="s">
        <v>23</v>
      </c>
      <c r="BF225" s="765" t="s">
        <v>443</v>
      </c>
      <c r="BG225" s="765" t="s">
        <v>24</v>
      </c>
      <c r="BH225" s="765" t="s">
        <v>14</v>
      </c>
    </row>
    <row r="226" spans="1:60" s="584" customFormat="1" ht="15" thickBot="1">
      <c r="A226" s="597"/>
      <c r="D226" s="1911" t="s">
        <v>25</v>
      </c>
      <c r="E226" s="1911"/>
      <c r="F226" s="1911"/>
      <c r="G226" s="1911"/>
      <c r="H226" s="1911"/>
      <c r="I226" s="1911"/>
      <c r="J226" s="1911"/>
      <c r="K226" s="1911"/>
      <c r="L226" s="1911"/>
      <c r="M226" s="1911"/>
      <c r="N226" s="1911"/>
      <c r="O226" s="1911"/>
      <c r="P226" s="1911"/>
      <c r="Q226" s="1911"/>
      <c r="R226" s="1911"/>
      <c r="S226" s="1911"/>
      <c r="T226" s="1911"/>
      <c r="U226" s="1911"/>
      <c r="V226" s="1911"/>
      <c r="W226" s="1911"/>
      <c r="X226" s="1911"/>
      <c r="Y226" s="1911"/>
      <c r="Z226" s="1911"/>
      <c r="AA226" s="1911"/>
      <c r="AB226" s="1911"/>
      <c r="AC226" s="1911"/>
      <c r="AD226" s="1911"/>
      <c r="AE226" s="1911"/>
      <c r="AF226" s="1911"/>
      <c r="AG226" s="1911"/>
      <c r="AH226" s="605"/>
      <c r="AI226" s="612"/>
      <c r="AJ226" s="613"/>
      <c r="AK226" s="613"/>
      <c r="AL226" s="613"/>
      <c r="AM226" s="613"/>
      <c r="AN226" s="613"/>
      <c r="AO226" s="613"/>
      <c r="AP226" s="618"/>
      <c r="AQ226" s="18"/>
      <c r="AR226" s="612"/>
      <c r="AS226" s="613"/>
      <c r="AT226" s="613"/>
      <c r="AU226" s="613"/>
      <c r="AV226" s="613"/>
      <c r="AW226" s="613"/>
      <c r="AX226" s="613"/>
      <c r="AY226" s="618"/>
      <c r="BA226" s="612"/>
      <c r="BB226" s="613"/>
      <c r="BC226" s="613"/>
      <c r="BD226" s="613"/>
      <c r="BE226" s="613"/>
      <c r="BF226" s="613"/>
      <c r="BG226" s="613"/>
      <c r="BH226" s="618"/>
    </row>
    <row r="227" spans="1:60" s="584" customFormat="1" ht="21.75" customHeight="1">
      <c r="A227" s="597"/>
      <c r="D227" s="1868" t="s">
        <v>26</v>
      </c>
      <c r="E227" s="1868"/>
      <c r="F227" s="1868"/>
      <c r="G227" s="1868"/>
      <c r="H227" s="1868"/>
      <c r="I227" s="1868"/>
      <c r="J227" s="1775">
        <v>39396</v>
      </c>
      <c r="K227" s="1775"/>
      <c r="L227" s="1775"/>
      <c r="M227" s="1837">
        <v>0</v>
      </c>
      <c r="N227" s="1837"/>
      <c r="O227" s="1837"/>
      <c r="P227" s="1837">
        <v>0</v>
      </c>
      <c r="Q227" s="1837"/>
      <c r="R227" s="1837"/>
      <c r="S227" s="1837">
        <v>2211884</v>
      </c>
      <c r="T227" s="1837"/>
      <c r="U227" s="1837"/>
      <c r="V227" s="1837">
        <v>0</v>
      </c>
      <c r="W227" s="1837"/>
      <c r="X227" s="1837"/>
      <c r="Y227" s="1837">
        <v>0</v>
      </c>
      <c r="Z227" s="1837"/>
      <c r="AA227" s="1837"/>
      <c r="AB227" s="1837">
        <v>0</v>
      </c>
      <c r="AC227" s="1837"/>
      <c r="AD227" s="1837"/>
      <c r="AE227" s="1867">
        <f>SUM(J227:AD227)</f>
        <v>2251280</v>
      </c>
      <c r="AF227" s="1867"/>
      <c r="AG227" s="1867"/>
      <c r="AI227" s="606"/>
      <c r="AJ227" s="607"/>
      <c r="AK227" s="607"/>
      <c r="AL227" s="607"/>
      <c r="AM227" s="607"/>
      <c r="AN227" s="607"/>
      <c r="AO227" s="607"/>
      <c r="AP227" s="608">
        <f>SUM(J227:AD227)-AE227</f>
        <v>0</v>
      </c>
      <c r="AQ227" s="18"/>
      <c r="AR227" s="621">
        <f>J227-J256</f>
        <v>0</v>
      </c>
      <c r="AS227" s="661">
        <f>M227-M256</f>
        <v>0</v>
      </c>
      <c r="AT227" s="661">
        <f>P227-P256</f>
        <v>0</v>
      </c>
      <c r="AU227" s="661">
        <f>S227-S256</f>
        <v>0</v>
      </c>
      <c r="AV227" s="661">
        <f>V227-V256</f>
        <v>0</v>
      </c>
      <c r="AW227" s="661">
        <f>Y227-Y256</f>
        <v>0</v>
      </c>
      <c r="AX227" s="661">
        <f>AB227-AB256</f>
        <v>0</v>
      </c>
      <c r="AY227" s="608">
        <f>AE227-AE256</f>
        <v>0</v>
      </c>
      <c r="BA227" s="606"/>
      <c r="BB227" s="607"/>
      <c r="BC227" s="607"/>
      <c r="BD227" s="607"/>
      <c r="BE227" s="607"/>
      <c r="BF227" s="607"/>
      <c r="BG227" s="607"/>
      <c r="BH227" s="619"/>
    </row>
    <row r="228" spans="1:60" s="584" customFormat="1">
      <c r="A228" s="597"/>
      <c r="D228" s="1771" t="s">
        <v>27</v>
      </c>
      <c r="E228" s="1771"/>
      <c r="F228" s="1771"/>
      <c r="G228" s="1771"/>
      <c r="H228" s="1771"/>
      <c r="I228" s="1771"/>
      <c r="J228" s="1860">
        <v>0</v>
      </c>
      <c r="K228" s="1860"/>
      <c r="L228" s="1860"/>
      <c r="M228" s="1860">
        <v>0</v>
      </c>
      <c r="N228" s="1860"/>
      <c r="O228" s="1860"/>
      <c r="P228" s="1860">
        <v>0</v>
      </c>
      <c r="Q228" s="1860"/>
      <c r="R228" s="1860"/>
      <c r="S228" s="1860">
        <v>0</v>
      </c>
      <c r="T228" s="1860"/>
      <c r="U228" s="1860"/>
      <c r="V228" s="1860">
        <v>0</v>
      </c>
      <c r="W228" s="1860"/>
      <c r="X228" s="1860"/>
      <c r="Y228" s="1860">
        <v>0</v>
      </c>
      <c r="Z228" s="1860"/>
      <c r="AA228" s="1860"/>
      <c r="AB228" s="1860">
        <v>0</v>
      </c>
      <c r="AC228" s="1860"/>
      <c r="AD228" s="1860"/>
      <c r="AE228" s="1825">
        <f>SUM(J228:AD228)</f>
        <v>0</v>
      </c>
      <c r="AF228" s="1825"/>
      <c r="AG228" s="1825"/>
      <c r="AI228" s="606"/>
      <c r="AJ228" s="607"/>
      <c r="AK228" s="607"/>
      <c r="AL228" s="607"/>
      <c r="AM228" s="607"/>
      <c r="AN228" s="607"/>
      <c r="AO228" s="607"/>
      <c r="AP228" s="608">
        <f t="shared" ref="AP228:AP229" si="0">SUM(J228:AD228)-AE228</f>
        <v>0</v>
      </c>
      <c r="AQ228" s="18"/>
      <c r="AR228" s="606"/>
      <c r="AS228" s="607"/>
      <c r="AT228" s="607"/>
      <c r="AU228" s="607"/>
      <c r="AV228" s="607"/>
      <c r="AW228" s="607"/>
      <c r="AX228" s="607"/>
      <c r="AY228" s="619"/>
      <c r="BA228" s="606"/>
      <c r="BB228" s="607"/>
      <c r="BC228" s="607"/>
      <c r="BD228" s="607"/>
      <c r="BE228" s="607"/>
      <c r="BF228" s="607"/>
      <c r="BG228" s="607"/>
      <c r="BH228" s="619"/>
    </row>
    <row r="229" spans="1:60" s="584" customFormat="1">
      <c r="A229" s="597"/>
      <c r="D229" s="1771" t="s">
        <v>28</v>
      </c>
      <c r="E229" s="1771"/>
      <c r="F229" s="1771"/>
      <c r="G229" s="1771"/>
      <c r="H229" s="1771"/>
      <c r="I229" s="1771"/>
      <c r="J229" s="1860">
        <v>0</v>
      </c>
      <c r="K229" s="1860"/>
      <c r="L229" s="1860"/>
      <c r="M229" s="1860">
        <v>0</v>
      </c>
      <c r="N229" s="1860"/>
      <c r="O229" s="1860"/>
      <c r="P229" s="1860">
        <v>0</v>
      </c>
      <c r="Q229" s="1860"/>
      <c r="R229" s="1860"/>
      <c r="S229" s="1860">
        <v>0</v>
      </c>
      <c r="T229" s="1860"/>
      <c r="U229" s="1860"/>
      <c r="V229" s="1860">
        <v>0</v>
      </c>
      <c r="W229" s="1860"/>
      <c r="X229" s="1860"/>
      <c r="Y229" s="1860">
        <v>0</v>
      </c>
      <c r="Z229" s="1860"/>
      <c r="AA229" s="1860"/>
      <c r="AB229" s="1860">
        <v>0</v>
      </c>
      <c r="AC229" s="1860"/>
      <c r="AD229" s="1860"/>
      <c r="AE229" s="1825">
        <f t="shared" ref="AE229" si="1">SUM(J229:AD229)</f>
        <v>0</v>
      </c>
      <c r="AF229" s="1825"/>
      <c r="AG229" s="1825"/>
      <c r="AI229" s="606"/>
      <c r="AJ229" s="607"/>
      <c r="AK229" s="607"/>
      <c r="AL229" s="607"/>
      <c r="AM229" s="607"/>
      <c r="AN229" s="607"/>
      <c r="AO229" s="607"/>
      <c r="AP229" s="608">
        <f t="shared" si="0"/>
        <v>0</v>
      </c>
      <c r="AQ229" s="18"/>
      <c r="AR229" s="606"/>
      <c r="AS229" s="607"/>
      <c r="AT229" s="607"/>
      <c r="AU229" s="607"/>
      <c r="AV229" s="607"/>
      <c r="AW229" s="607"/>
      <c r="AX229" s="607"/>
      <c r="AY229" s="619"/>
      <c r="BA229" s="606"/>
      <c r="BB229" s="607"/>
      <c r="BC229" s="607"/>
      <c r="BD229" s="607"/>
      <c r="BE229" s="607"/>
      <c r="BF229" s="607"/>
      <c r="BG229" s="607"/>
      <c r="BH229" s="619"/>
    </row>
    <row r="230" spans="1:60" s="584" customFormat="1">
      <c r="A230" s="597"/>
      <c r="D230" s="1771" t="s">
        <v>29</v>
      </c>
      <c r="E230" s="1771"/>
      <c r="F230" s="1771"/>
      <c r="G230" s="1771"/>
      <c r="H230" s="1771"/>
      <c r="I230" s="1771"/>
      <c r="J230" s="1860">
        <v>0</v>
      </c>
      <c r="K230" s="1860"/>
      <c r="L230" s="1860"/>
      <c r="M230" s="1860">
        <v>0</v>
      </c>
      <c r="N230" s="1860"/>
      <c r="O230" s="1860"/>
      <c r="P230" s="1860">
        <v>0</v>
      </c>
      <c r="Q230" s="1860"/>
      <c r="R230" s="1860"/>
      <c r="S230" s="1860">
        <v>0</v>
      </c>
      <c r="T230" s="1860"/>
      <c r="U230" s="1860"/>
      <c r="V230" s="1860">
        <v>0</v>
      </c>
      <c r="W230" s="1860"/>
      <c r="X230" s="1860"/>
      <c r="Y230" s="1860">
        <v>0</v>
      </c>
      <c r="Z230" s="1860"/>
      <c r="AA230" s="1860"/>
      <c r="AB230" s="1860">
        <v>0</v>
      </c>
      <c r="AC230" s="1860"/>
      <c r="AD230" s="1860"/>
      <c r="AE230" s="1825">
        <f>SUM(J230:AD230)</f>
        <v>0</v>
      </c>
      <c r="AF230" s="1825"/>
      <c r="AG230" s="1825"/>
      <c r="AI230" s="606"/>
      <c r="AJ230" s="607"/>
      <c r="AK230" s="607"/>
      <c r="AL230" s="607"/>
      <c r="AM230" s="607"/>
      <c r="AN230" s="607"/>
      <c r="AO230" s="607"/>
      <c r="AP230" s="608">
        <f>SUM(J230:AD230)-AE230</f>
        <v>0</v>
      </c>
      <c r="AQ230" s="18"/>
      <c r="AR230" s="606"/>
      <c r="AS230" s="607"/>
      <c r="AT230" s="607"/>
      <c r="AU230" s="607"/>
      <c r="AV230" s="607"/>
      <c r="AW230" s="607"/>
      <c r="AX230" s="607"/>
      <c r="AY230" s="619"/>
      <c r="BA230" s="606"/>
      <c r="BB230" s="607"/>
      <c r="BC230" s="607"/>
      <c r="BD230" s="607"/>
      <c r="BE230" s="607"/>
      <c r="BF230" s="607"/>
      <c r="BG230" s="607"/>
      <c r="BH230" s="619"/>
    </row>
    <row r="231" spans="1:60" s="584" customFormat="1" ht="21.75" customHeight="1" thickBot="1">
      <c r="A231" s="597"/>
      <c r="D231" s="1821" t="s">
        <v>30</v>
      </c>
      <c r="E231" s="1821"/>
      <c r="F231" s="1821"/>
      <c r="G231" s="1821"/>
      <c r="H231" s="1821"/>
      <c r="I231" s="1821"/>
      <c r="J231" s="1909">
        <f>J227+J228-J229+J230</f>
        <v>39396</v>
      </c>
      <c r="K231" s="1909"/>
      <c r="L231" s="1909"/>
      <c r="M231" s="1909">
        <f t="shared" ref="M231" si="2">M227+M228-M229+M230</f>
        <v>0</v>
      </c>
      <c r="N231" s="1909"/>
      <c r="O231" s="1909"/>
      <c r="P231" s="1909">
        <f t="shared" ref="P231" si="3">P227+P228-P229+P230</f>
        <v>0</v>
      </c>
      <c r="Q231" s="1909"/>
      <c r="R231" s="1909"/>
      <c r="S231" s="1909">
        <f t="shared" ref="S231" si="4">S227+S228-S229+S230</f>
        <v>2211884</v>
      </c>
      <c r="T231" s="1909"/>
      <c r="U231" s="1909"/>
      <c r="V231" s="1909">
        <f t="shared" ref="V231" si="5">V227+V228-V229+V230</f>
        <v>0</v>
      </c>
      <c r="W231" s="1909"/>
      <c r="X231" s="1909"/>
      <c r="Y231" s="1909">
        <f t="shared" ref="Y231" si="6">Y227+Y228-Y229+Y230</f>
        <v>0</v>
      </c>
      <c r="Z231" s="1909"/>
      <c r="AA231" s="1909"/>
      <c r="AB231" s="1909">
        <f t="shared" ref="AB231" si="7">AB227+AB228-AB229+AB230</f>
        <v>0</v>
      </c>
      <c r="AC231" s="1909"/>
      <c r="AD231" s="1909"/>
      <c r="AE231" s="1909">
        <f t="shared" ref="AE231" si="8">AE227+AE228-AE229+AE230</f>
        <v>2251280</v>
      </c>
      <c r="AF231" s="1909"/>
      <c r="AG231" s="1909"/>
      <c r="AI231" s="621">
        <f>J227+J228-J229+J230-J231</f>
        <v>0</v>
      </c>
      <c r="AJ231" s="661">
        <f>M227+M228-M229+M230-M231</f>
        <v>0</v>
      </c>
      <c r="AK231" s="661">
        <f>P227+P228-P229+P230-P231</f>
        <v>0</v>
      </c>
      <c r="AL231" s="661">
        <f>S227+S228-S229+S230-S231</f>
        <v>0</v>
      </c>
      <c r="AM231" s="661">
        <f>V227+V228-V229+V230-V231</f>
        <v>0</v>
      </c>
      <c r="AN231" s="661">
        <f>Y227+Y228-Y229+Y230-Y231</f>
        <v>0</v>
      </c>
      <c r="AO231" s="661">
        <f>AB227+AB228-AB229+AB230-AB231</f>
        <v>0</v>
      </c>
      <c r="AP231" s="608">
        <f>AE227+AE228-AE229+AE230-AE231</f>
        <v>0</v>
      </c>
      <c r="AQ231" s="18"/>
      <c r="AR231" s="606"/>
      <c r="AS231" s="607"/>
      <c r="AT231" s="607"/>
      <c r="AU231" s="607"/>
      <c r="AV231" s="607"/>
      <c r="AW231" s="607"/>
      <c r="AX231" s="607"/>
      <c r="AY231" s="619"/>
      <c r="BA231" s="621">
        <f>J231-BS!$D$13</f>
        <v>0</v>
      </c>
      <c r="BB231" s="661">
        <f>M231-BS!$D$14</f>
        <v>0</v>
      </c>
      <c r="BC231" s="661">
        <f>P231-BS!$D$15</f>
        <v>0</v>
      </c>
      <c r="BD231" s="661">
        <f>S231-BS!$D$16</f>
        <v>0</v>
      </c>
      <c r="BE231" s="661">
        <f>V231-BS!$D$17</f>
        <v>0</v>
      </c>
      <c r="BF231" s="661">
        <f>Y231-BS!$D$18</f>
        <v>0</v>
      </c>
      <c r="BG231" s="661">
        <f>AB231-BS!$D$19</f>
        <v>0</v>
      </c>
      <c r="BH231" s="608">
        <f>AE231-BS!$D$12</f>
        <v>0</v>
      </c>
    </row>
    <row r="232" spans="1:60" s="584" customFormat="1" ht="15" thickBot="1">
      <c r="A232" s="597"/>
      <c r="D232" s="1911" t="s">
        <v>31</v>
      </c>
      <c r="E232" s="1911"/>
      <c r="F232" s="1911"/>
      <c r="G232" s="1911"/>
      <c r="H232" s="1911"/>
      <c r="I232" s="1911"/>
      <c r="J232" s="1911"/>
      <c r="K232" s="1911"/>
      <c r="L232" s="1911"/>
      <c r="M232" s="1911"/>
      <c r="N232" s="1911"/>
      <c r="O232" s="1911"/>
      <c r="P232" s="1911"/>
      <c r="Q232" s="1911"/>
      <c r="R232" s="1911"/>
      <c r="S232" s="1911"/>
      <c r="T232" s="1911"/>
      <c r="U232" s="1911"/>
      <c r="V232" s="1911"/>
      <c r="W232" s="1911"/>
      <c r="X232" s="1911"/>
      <c r="Y232" s="1911"/>
      <c r="Z232" s="1911"/>
      <c r="AA232" s="1911"/>
      <c r="AB232" s="1911"/>
      <c r="AC232" s="1911"/>
      <c r="AD232" s="1911"/>
      <c r="AE232" s="1911"/>
      <c r="AF232" s="1911"/>
      <c r="AG232" s="1911"/>
      <c r="AH232" s="605"/>
      <c r="AI232" s="606"/>
      <c r="AJ232" s="607"/>
      <c r="AK232" s="607"/>
      <c r="AL232" s="607"/>
      <c r="AM232" s="607"/>
      <c r="AN232" s="607"/>
      <c r="AO232" s="607"/>
      <c r="AP232" s="608"/>
      <c r="AQ232" s="18"/>
      <c r="AR232" s="606"/>
      <c r="AS232" s="607"/>
      <c r="AT232" s="607"/>
      <c r="AU232" s="607"/>
      <c r="AV232" s="607"/>
      <c r="AW232" s="607"/>
      <c r="AX232" s="607"/>
      <c r="AY232" s="619"/>
      <c r="BA232" s="606"/>
      <c r="BB232" s="607"/>
      <c r="BC232" s="607"/>
      <c r="BD232" s="607"/>
      <c r="BE232" s="607"/>
      <c r="BF232" s="607"/>
      <c r="BG232" s="607"/>
      <c r="BH232" s="619"/>
    </row>
    <row r="233" spans="1:60" s="584" customFormat="1" ht="21.75" customHeight="1">
      <c r="A233" s="597"/>
      <c r="D233" s="1903" t="s">
        <v>32</v>
      </c>
      <c r="E233" s="1904"/>
      <c r="F233" s="1904"/>
      <c r="G233" s="1904"/>
      <c r="H233" s="1904"/>
      <c r="I233" s="1905"/>
      <c r="J233" s="1921">
        <v>7884</v>
      </c>
      <c r="K233" s="1922"/>
      <c r="L233" s="1923"/>
      <c r="M233" s="1861">
        <v>0</v>
      </c>
      <c r="N233" s="1862"/>
      <c r="O233" s="1863"/>
      <c r="P233" s="1861">
        <v>0</v>
      </c>
      <c r="Q233" s="1862"/>
      <c r="R233" s="1863"/>
      <c r="S233" s="1861">
        <v>395080</v>
      </c>
      <c r="T233" s="1862"/>
      <c r="U233" s="1863"/>
      <c r="V233" s="1861">
        <v>0</v>
      </c>
      <c r="W233" s="1862"/>
      <c r="X233" s="1863"/>
      <c r="Y233" s="1861">
        <v>0</v>
      </c>
      <c r="Z233" s="1862"/>
      <c r="AA233" s="1863"/>
      <c r="AB233" s="1861">
        <v>0</v>
      </c>
      <c r="AC233" s="1862"/>
      <c r="AD233" s="1863"/>
      <c r="AE233" s="1839">
        <f>SUM(J233:AD233)</f>
        <v>402964</v>
      </c>
      <c r="AF233" s="1840"/>
      <c r="AG233" s="1841"/>
      <c r="AI233" s="606"/>
      <c r="AJ233" s="607"/>
      <c r="AK233" s="607"/>
      <c r="AL233" s="607"/>
      <c r="AM233" s="607"/>
      <c r="AN233" s="607"/>
      <c r="AO233" s="607"/>
      <c r="AP233" s="608">
        <f>SUM(J233:AD233)-AE233</f>
        <v>0</v>
      </c>
      <c r="AQ233" s="18"/>
      <c r="AR233" s="621">
        <f>J233-J262</f>
        <v>0</v>
      </c>
      <c r="AS233" s="661">
        <f>M233-M262</f>
        <v>0</v>
      </c>
      <c r="AT233" s="661">
        <f>P233-P262</f>
        <v>0</v>
      </c>
      <c r="AU233" s="661">
        <f>S233-S262</f>
        <v>0</v>
      </c>
      <c r="AV233" s="661">
        <f>V233-V262</f>
        <v>0</v>
      </c>
      <c r="AW233" s="661">
        <f>Y233-Y262</f>
        <v>0</v>
      </c>
      <c r="AX233" s="661">
        <f>AB233-AB262</f>
        <v>0</v>
      </c>
      <c r="AY233" s="608">
        <f>AE233-AE262</f>
        <v>0</v>
      </c>
      <c r="BA233" s="606"/>
      <c r="BB233" s="607"/>
      <c r="BC233" s="607"/>
      <c r="BD233" s="607"/>
      <c r="BE233" s="607"/>
      <c r="BF233" s="607"/>
      <c r="BG233" s="607"/>
      <c r="BH233" s="619"/>
    </row>
    <row r="234" spans="1:60" s="584" customFormat="1">
      <c r="A234" s="597"/>
      <c r="D234" s="1915" t="s">
        <v>27</v>
      </c>
      <c r="E234" s="1916"/>
      <c r="F234" s="1916"/>
      <c r="G234" s="1916"/>
      <c r="H234" s="1916"/>
      <c r="I234" s="1917"/>
      <c r="J234" s="1912">
        <v>7884</v>
      </c>
      <c r="K234" s="1913"/>
      <c r="L234" s="1914"/>
      <c r="M234" s="1912">
        <v>0</v>
      </c>
      <c r="N234" s="1913"/>
      <c r="O234" s="1914"/>
      <c r="P234" s="1912">
        <v>0</v>
      </c>
      <c r="Q234" s="1913"/>
      <c r="R234" s="1914"/>
      <c r="S234" s="1912">
        <v>316080</v>
      </c>
      <c r="T234" s="1913"/>
      <c r="U234" s="1914"/>
      <c r="V234" s="1912">
        <v>0</v>
      </c>
      <c r="W234" s="1913"/>
      <c r="X234" s="1914"/>
      <c r="Y234" s="1912">
        <v>0</v>
      </c>
      <c r="Z234" s="1913"/>
      <c r="AA234" s="1914"/>
      <c r="AB234" s="1912">
        <v>0</v>
      </c>
      <c r="AC234" s="1913"/>
      <c r="AD234" s="1914"/>
      <c r="AE234" s="1918">
        <f>SUM(J234:AD234)</f>
        <v>323964</v>
      </c>
      <c r="AF234" s="1919"/>
      <c r="AG234" s="1920"/>
      <c r="AI234" s="606"/>
      <c r="AJ234" s="607"/>
      <c r="AK234" s="607"/>
      <c r="AL234" s="607"/>
      <c r="AM234" s="607"/>
      <c r="AN234" s="607"/>
      <c r="AO234" s="607"/>
      <c r="AP234" s="608">
        <f t="shared" ref="AP234:AP235" si="9">SUM(J234:AD234)-AE234</f>
        <v>0</v>
      </c>
      <c r="AQ234" s="18"/>
      <c r="AR234" s="606"/>
      <c r="AS234" s="607"/>
      <c r="AT234" s="607"/>
      <c r="AU234" s="607"/>
      <c r="AV234" s="607"/>
      <c r="AW234" s="607"/>
      <c r="AX234" s="607"/>
      <c r="AY234" s="619"/>
      <c r="BA234" s="606"/>
      <c r="BB234" s="607"/>
      <c r="BC234" s="607"/>
      <c r="BD234" s="607"/>
      <c r="BE234" s="607"/>
      <c r="BF234" s="607"/>
      <c r="BG234" s="607"/>
      <c r="BH234" s="619"/>
    </row>
    <row r="235" spans="1:60" s="584" customFormat="1">
      <c r="A235" s="597"/>
      <c r="D235" s="1915" t="s">
        <v>28</v>
      </c>
      <c r="E235" s="1916"/>
      <c r="F235" s="1916"/>
      <c r="G235" s="1916"/>
      <c r="H235" s="1916"/>
      <c r="I235" s="1917"/>
      <c r="J235" s="1912">
        <v>0</v>
      </c>
      <c r="K235" s="1913"/>
      <c r="L235" s="1914"/>
      <c r="M235" s="1912">
        <v>0</v>
      </c>
      <c r="N235" s="1913"/>
      <c r="O235" s="1914"/>
      <c r="P235" s="1912">
        <v>0</v>
      </c>
      <c r="Q235" s="1913"/>
      <c r="R235" s="1914"/>
      <c r="S235" s="1912">
        <v>0</v>
      </c>
      <c r="T235" s="1913"/>
      <c r="U235" s="1914"/>
      <c r="V235" s="1912">
        <v>0</v>
      </c>
      <c r="W235" s="1913"/>
      <c r="X235" s="1914"/>
      <c r="Y235" s="1912">
        <v>0</v>
      </c>
      <c r="Z235" s="1913"/>
      <c r="AA235" s="1914"/>
      <c r="AB235" s="1912">
        <v>0</v>
      </c>
      <c r="AC235" s="1913"/>
      <c r="AD235" s="1914"/>
      <c r="AE235" s="1918">
        <f>SUM(J235:AD235)</f>
        <v>0</v>
      </c>
      <c r="AF235" s="1919"/>
      <c r="AG235" s="1920"/>
      <c r="AI235" s="606"/>
      <c r="AJ235" s="607"/>
      <c r="AK235" s="607"/>
      <c r="AL235" s="607"/>
      <c r="AM235" s="607"/>
      <c r="AN235" s="607"/>
      <c r="AO235" s="607"/>
      <c r="AP235" s="608">
        <f t="shared" si="9"/>
        <v>0</v>
      </c>
      <c r="AQ235" s="18"/>
      <c r="AR235" s="606"/>
      <c r="AS235" s="607"/>
      <c r="AT235" s="607"/>
      <c r="AU235" s="607"/>
      <c r="AV235" s="607"/>
      <c r="AW235" s="607"/>
      <c r="AX235" s="607"/>
      <c r="AY235" s="619"/>
      <c r="BA235" s="674" t="s">
        <v>1059</v>
      </c>
      <c r="BB235" s="607"/>
      <c r="BC235" s="607"/>
      <c r="BD235" s="607"/>
      <c r="BE235" s="607"/>
      <c r="BF235" s="607"/>
      <c r="BG235" s="607"/>
      <c r="BH235" s="619"/>
    </row>
    <row r="236" spans="1:60" s="584" customFormat="1">
      <c r="A236" s="597"/>
      <c r="D236" s="1771" t="s">
        <v>29</v>
      </c>
      <c r="E236" s="1771"/>
      <c r="F236" s="1771"/>
      <c r="G236" s="1771"/>
      <c r="H236" s="1771"/>
      <c r="I236" s="1771"/>
      <c r="J236" s="1860">
        <v>0</v>
      </c>
      <c r="K236" s="1860"/>
      <c r="L236" s="1860"/>
      <c r="M236" s="1860">
        <v>0</v>
      </c>
      <c r="N236" s="1860"/>
      <c r="O236" s="1860"/>
      <c r="P236" s="1860">
        <v>0</v>
      </c>
      <c r="Q236" s="1860"/>
      <c r="R236" s="1860"/>
      <c r="S236" s="1860">
        <v>0</v>
      </c>
      <c r="T236" s="1860"/>
      <c r="U236" s="1860"/>
      <c r="V236" s="1860">
        <v>0</v>
      </c>
      <c r="W236" s="1860"/>
      <c r="X236" s="1860"/>
      <c r="Y236" s="1860">
        <v>0</v>
      </c>
      <c r="Z236" s="1860"/>
      <c r="AA236" s="1860"/>
      <c r="AB236" s="1860">
        <v>0</v>
      </c>
      <c r="AC236" s="1860"/>
      <c r="AD236" s="1860"/>
      <c r="AE236" s="1825">
        <f>SUM(J236:AD236)</f>
        <v>0</v>
      </c>
      <c r="AF236" s="1825"/>
      <c r="AG236" s="1825"/>
      <c r="AI236" s="606"/>
      <c r="AJ236" s="607"/>
      <c r="AK236" s="607"/>
      <c r="AL236" s="607"/>
      <c r="AM236" s="607"/>
      <c r="AN236" s="607"/>
      <c r="AO236" s="607"/>
      <c r="AP236" s="608">
        <f>SUM(J236:AD236)-AE236</f>
        <v>0</v>
      </c>
      <c r="AQ236" s="18"/>
      <c r="AR236" s="606"/>
      <c r="AS236" s="607"/>
      <c r="AT236" s="607"/>
      <c r="AU236" s="607"/>
      <c r="AV236" s="607"/>
      <c r="AW236" s="607"/>
      <c r="AX236" s="607"/>
      <c r="AY236" s="619"/>
      <c r="BA236" s="606"/>
      <c r="BB236" s="607"/>
      <c r="BC236" s="607"/>
      <c r="BD236" s="607"/>
      <c r="BE236" s="607"/>
      <c r="BF236" s="607"/>
      <c r="BG236" s="607"/>
      <c r="BH236" s="619"/>
    </row>
    <row r="237" spans="1:60" s="584" customFormat="1" ht="21.75" customHeight="1" thickBot="1">
      <c r="A237" s="597"/>
      <c r="D237" s="1899" t="s">
        <v>30</v>
      </c>
      <c r="E237" s="1900"/>
      <c r="F237" s="1900"/>
      <c r="G237" s="1900"/>
      <c r="H237" s="1900"/>
      <c r="I237" s="1901"/>
      <c r="J237" s="1909">
        <f>J233+J234-J235+J236</f>
        <v>15768</v>
      </c>
      <c r="K237" s="1909"/>
      <c r="L237" s="1909"/>
      <c r="M237" s="1909">
        <f t="shared" ref="M237" si="10">M233+M234-M235+M236</f>
        <v>0</v>
      </c>
      <c r="N237" s="1909"/>
      <c r="O237" s="1909"/>
      <c r="P237" s="1909">
        <f t="shared" ref="P237" si="11">P233+P234-P235+P236</f>
        <v>0</v>
      </c>
      <c r="Q237" s="1909"/>
      <c r="R237" s="1909"/>
      <c r="S237" s="1909">
        <f t="shared" ref="S237" si="12">S233+S234-S235+S236</f>
        <v>711160</v>
      </c>
      <c r="T237" s="1909"/>
      <c r="U237" s="1909"/>
      <c r="V237" s="1909">
        <f t="shared" ref="V237" si="13">V233+V234-V235+V236</f>
        <v>0</v>
      </c>
      <c r="W237" s="1909"/>
      <c r="X237" s="1909"/>
      <c r="Y237" s="1909">
        <f t="shared" ref="Y237" si="14">Y233+Y234-Y235+Y236</f>
        <v>0</v>
      </c>
      <c r="Z237" s="1909"/>
      <c r="AA237" s="1909"/>
      <c r="AB237" s="1909">
        <f t="shared" ref="AB237" si="15">AB233+AB234-AB235+AB236</f>
        <v>0</v>
      </c>
      <c r="AC237" s="1909"/>
      <c r="AD237" s="1909"/>
      <c r="AE237" s="1909">
        <f t="shared" ref="AE237" si="16">AE233+AE234-AE235+AE236</f>
        <v>726928</v>
      </c>
      <c r="AF237" s="1909"/>
      <c r="AG237" s="1909"/>
      <c r="AI237" s="621">
        <f>J233+J234-J235+J236-J237</f>
        <v>0</v>
      </c>
      <c r="AJ237" s="661">
        <f>M233+M234-M235+M236-M237</f>
        <v>0</v>
      </c>
      <c r="AK237" s="661">
        <f>P233+P234-P235+P236-P237</f>
        <v>0</v>
      </c>
      <c r="AL237" s="661">
        <f>S233+S234-S235+S236-S237</f>
        <v>0</v>
      </c>
      <c r="AM237" s="661">
        <f>V233+V234-V235+V236-V237</f>
        <v>0</v>
      </c>
      <c r="AN237" s="661">
        <f>Y233+Y234-Y235+Y236-Y237</f>
        <v>0</v>
      </c>
      <c r="AO237" s="661">
        <f>AB233+AB234-AB235+AB236-AB237</f>
        <v>0</v>
      </c>
      <c r="AP237" s="608">
        <f>AE233+AE234-AE235+AE236-AE237</f>
        <v>0</v>
      </c>
      <c r="AQ237" s="18"/>
      <c r="AR237" s="606"/>
      <c r="AS237" s="607"/>
      <c r="AT237" s="607"/>
      <c r="AU237" s="607"/>
      <c r="AV237" s="607"/>
      <c r="AW237" s="607"/>
      <c r="AX237" s="607"/>
      <c r="AY237" s="619"/>
      <c r="BA237" s="621">
        <f>J237+J243-BS!$E$13</f>
        <v>0</v>
      </c>
      <c r="BB237" s="661">
        <f>M237+M243-BS!$E$14</f>
        <v>0</v>
      </c>
      <c r="BC237" s="661">
        <f>P237+P243-BS!$E$15</f>
        <v>0</v>
      </c>
      <c r="BD237" s="661">
        <f>S237+S243-BS!$E$16</f>
        <v>0</v>
      </c>
      <c r="BE237" s="661">
        <f>V237+V243-BS!$E$17</f>
        <v>0</v>
      </c>
      <c r="BF237" s="661">
        <f>Y237+Y243-BS!$E$18</f>
        <v>0</v>
      </c>
      <c r="BG237" s="661">
        <f>AB237+AB243-BS!$E$19</f>
        <v>0</v>
      </c>
      <c r="BH237" s="608">
        <f>AE237+AE243-BS!$E$12</f>
        <v>0</v>
      </c>
    </row>
    <row r="238" spans="1:60" s="584" customFormat="1" ht="15" thickBot="1">
      <c r="A238" s="597"/>
      <c r="D238" s="1911" t="s">
        <v>33</v>
      </c>
      <c r="E238" s="1911"/>
      <c r="F238" s="1911"/>
      <c r="G238" s="1911"/>
      <c r="H238" s="1911"/>
      <c r="I238" s="1911"/>
      <c r="J238" s="1911"/>
      <c r="K238" s="1911"/>
      <c r="L238" s="1911"/>
      <c r="M238" s="1911"/>
      <c r="N238" s="1911"/>
      <c r="O238" s="1911"/>
      <c r="P238" s="1911"/>
      <c r="Q238" s="1911"/>
      <c r="R238" s="1911"/>
      <c r="S238" s="1911"/>
      <c r="T238" s="1911"/>
      <c r="U238" s="1911"/>
      <c r="V238" s="1911"/>
      <c r="W238" s="1911"/>
      <c r="X238" s="1911"/>
      <c r="Y238" s="1911"/>
      <c r="Z238" s="1911"/>
      <c r="AA238" s="1911"/>
      <c r="AB238" s="1911"/>
      <c r="AC238" s="1911"/>
      <c r="AD238" s="1911"/>
      <c r="AE238" s="1911"/>
      <c r="AF238" s="1911"/>
      <c r="AG238" s="1911"/>
      <c r="AH238" s="605"/>
      <c r="AI238" s="606"/>
      <c r="AJ238" s="607"/>
      <c r="AK238" s="607"/>
      <c r="AL238" s="607"/>
      <c r="AM238" s="607"/>
      <c r="AN238" s="607"/>
      <c r="AO238" s="607"/>
      <c r="AP238" s="608"/>
      <c r="AQ238" s="18"/>
      <c r="AR238" s="606"/>
      <c r="AS238" s="607"/>
      <c r="AT238" s="607"/>
      <c r="AU238" s="607"/>
      <c r="AV238" s="607"/>
      <c r="AW238" s="607"/>
      <c r="AX238" s="607"/>
      <c r="AY238" s="619"/>
      <c r="BA238" s="606"/>
      <c r="BB238" s="607"/>
      <c r="BC238" s="607"/>
      <c r="BD238" s="607"/>
      <c r="BE238" s="607"/>
      <c r="BF238" s="607"/>
      <c r="BG238" s="607"/>
      <c r="BH238" s="619"/>
    </row>
    <row r="239" spans="1:60" s="584" customFormat="1" ht="21.75" customHeight="1">
      <c r="A239" s="597"/>
      <c r="D239" s="1903" t="s">
        <v>32</v>
      </c>
      <c r="E239" s="1904"/>
      <c r="F239" s="1904"/>
      <c r="G239" s="1904"/>
      <c r="H239" s="1904"/>
      <c r="I239" s="1905"/>
      <c r="J239" s="1861">
        <v>0</v>
      </c>
      <c r="K239" s="1862"/>
      <c r="L239" s="1863"/>
      <c r="M239" s="1861">
        <v>0</v>
      </c>
      <c r="N239" s="1862"/>
      <c r="O239" s="1863"/>
      <c r="P239" s="1861">
        <v>0</v>
      </c>
      <c r="Q239" s="1862"/>
      <c r="R239" s="1863"/>
      <c r="S239" s="1861">
        <v>0</v>
      </c>
      <c r="T239" s="1862"/>
      <c r="U239" s="1863"/>
      <c r="V239" s="1861">
        <v>0</v>
      </c>
      <c r="W239" s="1862"/>
      <c r="X239" s="1863"/>
      <c r="Y239" s="1861">
        <v>0</v>
      </c>
      <c r="Z239" s="1862"/>
      <c r="AA239" s="1863"/>
      <c r="AB239" s="1861">
        <v>0</v>
      </c>
      <c r="AC239" s="1862"/>
      <c r="AD239" s="1863"/>
      <c r="AE239" s="1839">
        <f>SUM(J239:AD239)</f>
        <v>0</v>
      </c>
      <c r="AF239" s="1840"/>
      <c r="AG239" s="1841"/>
      <c r="AI239" s="606"/>
      <c r="AJ239" s="607"/>
      <c r="AK239" s="607"/>
      <c r="AL239" s="607"/>
      <c r="AM239" s="607"/>
      <c r="AN239" s="607"/>
      <c r="AO239" s="607"/>
      <c r="AP239" s="608">
        <f>SUM(J239:AD239)-AE239</f>
        <v>0</v>
      </c>
      <c r="AQ239" s="18"/>
      <c r="AR239" s="621">
        <f>J239-J268</f>
        <v>0</v>
      </c>
      <c r="AS239" s="661">
        <f>M239-M268</f>
        <v>0</v>
      </c>
      <c r="AT239" s="661">
        <f>P239-P268</f>
        <v>0</v>
      </c>
      <c r="AU239" s="661">
        <f>S239-S268</f>
        <v>0</v>
      </c>
      <c r="AV239" s="661">
        <f>V239-V268</f>
        <v>0</v>
      </c>
      <c r="AW239" s="661">
        <f>Y239-Y268</f>
        <v>0</v>
      </c>
      <c r="AX239" s="661">
        <f>AB239-AB268</f>
        <v>0</v>
      </c>
      <c r="AY239" s="608">
        <f>AE239-AE268</f>
        <v>0</v>
      </c>
      <c r="BA239" s="606"/>
      <c r="BB239" s="607"/>
      <c r="BC239" s="607"/>
      <c r="BD239" s="607"/>
      <c r="BE239" s="607"/>
      <c r="BF239" s="607"/>
      <c r="BG239" s="607"/>
      <c r="BH239" s="619"/>
    </row>
    <row r="240" spans="1:60" s="584" customFormat="1">
      <c r="A240" s="597"/>
      <c r="D240" s="1915" t="s">
        <v>27</v>
      </c>
      <c r="E240" s="1916"/>
      <c r="F240" s="1916"/>
      <c r="G240" s="1916"/>
      <c r="H240" s="1916"/>
      <c r="I240" s="1917"/>
      <c r="J240" s="1912">
        <v>0</v>
      </c>
      <c r="K240" s="1913"/>
      <c r="L240" s="1914"/>
      <c r="M240" s="1912">
        <v>0</v>
      </c>
      <c r="N240" s="1913"/>
      <c r="O240" s="1914"/>
      <c r="P240" s="1912">
        <v>0</v>
      </c>
      <c r="Q240" s="1913"/>
      <c r="R240" s="1914"/>
      <c r="S240" s="1912">
        <v>0</v>
      </c>
      <c r="T240" s="1913"/>
      <c r="U240" s="1914"/>
      <c r="V240" s="1912">
        <v>0</v>
      </c>
      <c r="W240" s="1913"/>
      <c r="X240" s="1914"/>
      <c r="Y240" s="1912">
        <v>0</v>
      </c>
      <c r="Z240" s="1913"/>
      <c r="AA240" s="1914"/>
      <c r="AB240" s="1912">
        <v>0</v>
      </c>
      <c r="AC240" s="1913"/>
      <c r="AD240" s="1914"/>
      <c r="AE240" s="1918">
        <f>SUM(J240:AD240)</f>
        <v>0</v>
      </c>
      <c r="AF240" s="1919"/>
      <c r="AG240" s="1920"/>
      <c r="AI240" s="606"/>
      <c r="AJ240" s="607"/>
      <c r="AK240" s="607"/>
      <c r="AL240" s="607"/>
      <c r="AM240" s="607"/>
      <c r="AN240" s="607"/>
      <c r="AO240" s="607"/>
      <c r="AP240" s="608">
        <f t="shared" ref="AP240:AP241" si="17">SUM(J240:AD240)-AE240</f>
        <v>0</v>
      </c>
      <c r="AQ240" s="18"/>
      <c r="AR240" s="606"/>
      <c r="AS240" s="607"/>
      <c r="AT240" s="607"/>
      <c r="AU240" s="607"/>
      <c r="AV240" s="607"/>
      <c r="AW240" s="607"/>
      <c r="AX240" s="607"/>
      <c r="AY240" s="619"/>
      <c r="BA240" s="606"/>
      <c r="BB240" s="607"/>
      <c r="BC240" s="607"/>
      <c r="BD240" s="607"/>
      <c r="BE240" s="607"/>
      <c r="BF240" s="607"/>
      <c r="BG240" s="607"/>
      <c r="BH240" s="619"/>
    </row>
    <row r="241" spans="1:60" s="584" customFormat="1">
      <c r="A241" s="597"/>
      <c r="D241" s="1915" t="s">
        <v>28</v>
      </c>
      <c r="E241" s="1916"/>
      <c r="F241" s="1916"/>
      <c r="G241" s="1916"/>
      <c r="H241" s="1916"/>
      <c r="I241" s="1917"/>
      <c r="J241" s="1912">
        <v>0</v>
      </c>
      <c r="K241" s="1913"/>
      <c r="L241" s="1914"/>
      <c r="M241" s="1912">
        <v>0</v>
      </c>
      <c r="N241" s="1913"/>
      <c r="O241" s="1914"/>
      <c r="P241" s="1912">
        <v>0</v>
      </c>
      <c r="Q241" s="1913"/>
      <c r="R241" s="1914"/>
      <c r="S241" s="1912">
        <v>0</v>
      </c>
      <c r="T241" s="1913"/>
      <c r="U241" s="1914"/>
      <c r="V241" s="1912">
        <v>0</v>
      </c>
      <c r="W241" s="1913"/>
      <c r="X241" s="1914"/>
      <c r="Y241" s="1912">
        <v>0</v>
      </c>
      <c r="Z241" s="1913"/>
      <c r="AA241" s="1914"/>
      <c r="AB241" s="1912">
        <v>0</v>
      </c>
      <c r="AC241" s="1913"/>
      <c r="AD241" s="1914"/>
      <c r="AE241" s="1918">
        <f>SUM(J240:AD240)</f>
        <v>0</v>
      </c>
      <c r="AF241" s="1919"/>
      <c r="AG241" s="1920"/>
      <c r="AI241" s="606"/>
      <c r="AJ241" s="607"/>
      <c r="AK241" s="607"/>
      <c r="AL241" s="607"/>
      <c r="AM241" s="607"/>
      <c r="AN241" s="607"/>
      <c r="AO241" s="607"/>
      <c r="AP241" s="608">
        <f t="shared" si="17"/>
        <v>0</v>
      </c>
      <c r="AQ241" s="18"/>
      <c r="AR241" s="606"/>
      <c r="AS241" s="607"/>
      <c r="AT241" s="607"/>
      <c r="AU241" s="607"/>
      <c r="AV241" s="607"/>
      <c r="AW241" s="607"/>
      <c r="AX241" s="607"/>
      <c r="AY241" s="619"/>
      <c r="BA241" s="606"/>
      <c r="BB241" s="607"/>
      <c r="BC241" s="607"/>
      <c r="BD241" s="607"/>
      <c r="BE241" s="607"/>
      <c r="BF241" s="607"/>
      <c r="BG241" s="607"/>
      <c r="BH241" s="619"/>
    </row>
    <row r="242" spans="1:60" s="584" customFormat="1">
      <c r="A242" s="597"/>
      <c r="D242" s="1771" t="s">
        <v>29</v>
      </c>
      <c r="E242" s="1771"/>
      <c r="F242" s="1771"/>
      <c r="G242" s="1771"/>
      <c r="H242" s="1771"/>
      <c r="I242" s="1771"/>
      <c r="J242" s="1860">
        <v>0</v>
      </c>
      <c r="K242" s="1860"/>
      <c r="L242" s="1860"/>
      <c r="M242" s="1860">
        <v>0</v>
      </c>
      <c r="N242" s="1860"/>
      <c r="O242" s="1860"/>
      <c r="P242" s="1860">
        <v>0</v>
      </c>
      <c r="Q242" s="1860"/>
      <c r="R242" s="1860"/>
      <c r="S242" s="1860">
        <v>0</v>
      </c>
      <c r="T242" s="1860"/>
      <c r="U242" s="1860"/>
      <c r="V242" s="1860">
        <v>0</v>
      </c>
      <c r="W242" s="1860"/>
      <c r="X242" s="1860"/>
      <c r="Y242" s="1860">
        <v>0</v>
      </c>
      <c r="Z242" s="1860"/>
      <c r="AA242" s="1860"/>
      <c r="AB242" s="1860">
        <v>0</v>
      </c>
      <c r="AC242" s="1860"/>
      <c r="AD242" s="1860"/>
      <c r="AE242" s="1825">
        <f>SUM(J242:AD242)</f>
        <v>0</v>
      </c>
      <c r="AF242" s="1825"/>
      <c r="AG242" s="1825"/>
      <c r="AI242" s="606"/>
      <c r="AJ242" s="607"/>
      <c r="AK242" s="607"/>
      <c r="AL242" s="607"/>
      <c r="AM242" s="607"/>
      <c r="AN242" s="607"/>
      <c r="AO242" s="607"/>
      <c r="AP242" s="608">
        <f>SUM(J242:AD242)-AE242</f>
        <v>0</v>
      </c>
      <c r="AQ242" s="18"/>
      <c r="AR242" s="606"/>
      <c r="AS242" s="607"/>
      <c r="AT242" s="607"/>
      <c r="AU242" s="607"/>
      <c r="AV242" s="607"/>
      <c r="AW242" s="607"/>
      <c r="AX242" s="607"/>
      <c r="AY242" s="619"/>
      <c r="BA242" s="606"/>
      <c r="BB242" s="607"/>
      <c r="BC242" s="607"/>
      <c r="BD242" s="607"/>
      <c r="BE242" s="607"/>
      <c r="BF242" s="607"/>
      <c r="BG242" s="607"/>
      <c r="BH242" s="619"/>
    </row>
    <row r="243" spans="1:60" s="584" customFormat="1" ht="21.75" customHeight="1" thickBot="1">
      <c r="A243" s="597"/>
      <c r="D243" s="1899" t="s">
        <v>30</v>
      </c>
      <c r="E243" s="1900"/>
      <c r="F243" s="1900"/>
      <c r="G243" s="1900"/>
      <c r="H243" s="1900"/>
      <c r="I243" s="1901"/>
      <c r="J243" s="1909">
        <f>J239+J240-J241+J242</f>
        <v>0</v>
      </c>
      <c r="K243" s="1909"/>
      <c r="L243" s="1909"/>
      <c r="M243" s="1909">
        <f t="shared" ref="M243" si="18">M239+M240-M241+M242</f>
        <v>0</v>
      </c>
      <c r="N243" s="1909"/>
      <c r="O243" s="1909"/>
      <c r="P243" s="1909">
        <f t="shared" ref="P243" si="19">P239+P240-P241+P242</f>
        <v>0</v>
      </c>
      <c r="Q243" s="1909"/>
      <c r="R243" s="1909"/>
      <c r="S243" s="1909">
        <f t="shared" ref="S243" si="20">S239+S240-S241+S242</f>
        <v>0</v>
      </c>
      <c r="T243" s="1909"/>
      <c r="U243" s="1909"/>
      <c r="V243" s="1909">
        <f t="shared" ref="V243" si="21">V239+V240-V241+V242</f>
        <v>0</v>
      </c>
      <c r="W243" s="1909"/>
      <c r="X243" s="1909"/>
      <c r="Y243" s="1909">
        <f t="shared" ref="Y243" si="22">Y239+Y240-Y241+Y242</f>
        <v>0</v>
      </c>
      <c r="Z243" s="1909"/>
      <c r="AA243" s="1909"/>
      <c r="AB243" s="1909">
        <f t="shared" ref="AB243" si="23">AB239+AB240-AB241+AB242</f>
        <v>0</v>
      </c>
      <c r="AC243" s="1909"/>
      <c r="AD243" s="1909"/>
      <c r="AE243" s="1909">
        <f t="shared" ref="AE243" si="24">AE239+AE240-AE241+AE242</f>
        <v>0</v>
      </c>
      <c r="AF243" s="1909"/>
      <c r="AG243" s="1909"/>
      <c r="AI243" s="621">
        <f>J239+J240-J241+J242-J243</f>
        <v>0</v>
      </c>
      <c r="AJ243" s="661">
        <f>M239+M240-M241+M242-M243</f>
        <v>0</v>
      </c>
      <c r="AK243" s="661">
        <f>P239+P240-P241+P242-P243</f>
        <v>0</v>
      </c>
      <c r="AL243" s="661">
        <f>S239+S240-S241+S242-S243</f>
        <v>0</v>
      </c>
      <c r="AM243" s="661">
        <f>V239+V240-V241+V242-V243</f>
        <v>0</v>
      </c>
      <c r="AN243" s="661">
        <f>Y239+Y240-Y241+Y242-Y243</f>
        <v>0</v>
      </c>
      <c r="AO243" s="661">
        <f>AB239+AB240-AB241+AB242-AB243</f>
        <v>0</v>
      </c>
      <c r="AP243" s="608">
        <f>AE239+AE240-AE241+AE242-AE243</f>
        <v>0</v>
      </c>
      <c r="AQ243" s="18"/>
      <c r="AR243" s="606"/>
      <c r="AS243" s="607"/>
      <c r="AT243" s="607"/>
      <c r="AU243" s="607"/>
      <c r="AV243" s="607"/>
      <c r="AW243" s="607"/>
      <c r="AX243" s="607"/>
      <c r="AY243" s="619"/>
      <c r="BA243" s="606"/>
      <c r="BB243" s="607"/>
      <c r="BC243" s="607"/>
      <c r="BD243" s="607"/>
      <c r="BE243" s="607"/>
      <c r="BF243" s="607"/>
      <c r="BG243" s="607"/>
      <c r="BH243" s="619"/>
    </row>
    <row r="244" spans="1:60" s="584" customFormat="1" ht="15" thickBot="1">
      <c r="A244" s="597"/>
      <c r="D244" s="1911" t="s">
        <v>34</v>
      </c>
      <c r="E244" s="1911"/>
      <c r="F244" s="1911"/>
      <c r="G244" s="1911"/>
      <c r="H244" s="1911"/>
      <c r="I244" s="1911"/>
      <c r="J244" s="1911"/>
      <c r="K244" s="1911"/>
      <c r="L244" s="1911"/>
      <c r="M244" s="1911"/>
      <c r="N244" s="1911"/>
      <c r="O244" s="1911"/>
      <c r="P244" s="1911"/>
      <c r="Q244" s="1911"/>
      <c r="R244" s="1911"/>
      <c r="S244" s="1911"/>
      <c r="T244" s="1911"/>
      <c r="U244" s="1911"/>
      <c r="V244" s="1911"/>
      <c r="W244" s="1911"/>
      <c r="X244" s="1911"/>
      <c r="Y244" s="1911"/>
      <c r="Z244" s="1911"/>
      <c r="AA244" s="1911"/>
      <c r="AB244" s="1911"/>
      <c r="AC244" s="1911"/>
      <c r="AD244" s="1911"/>
      <c r="AE244" s="1911"/>
      <c r="AF244" s="1911"/>
      <c r="AG244" s="1911"/>
      <c r="AH244" s="605"/>
      <c r="AI244" s="606"/>
      <c r="AJ244" s="607"/>
      <c r="AK244" s="607"/>
      <c r="AL244" s="607"/>
      <c r="AM244" s="607"/>
      <c r="AN244" s="607"/>
      <c r="AO244" s="607"/>
      <c r="AP244" s="608"/>
      <c r="AQ244" s="18"/>
      <c r="AR244" s="606"/>
      <c r="AS244" s="607"/>
      <c r="AT244" s="607"/>
      <c r="AU244" s="607"/>
      <c r="AV244" s="607"/>
      <c r="AW244" s="607"/>
      <c r="AX244" s="607"/>
      <c r="AY244" s="619"/>
      <c r="BA244" s="606"/>
      <c r="BB244" s="607"/>
      <c r="BC244" s="607"/>
      <c r="BD244" s="607"/>
      <c r="BE244" s="607"/>
      <c r="BF244" s="607"/>
      <c r="BG244" s="607"/>
      <c r="BH244" s="619"/>
    </row>
    <row r="245" spans="1:60" s="584" customFormat="1" ht="21.75" customHeight="1">
      <c r="A245" s="597"/>
      <c r="D245" s="1832" t="s">
        <v>32</v>
      </c>
      <c r="E245" s="1832"/>
      <c r="F245" s="1832"/>
      <c r="G245" s="1832"/>
      <c r="H245" s="1832"/>
      <c r="I245" s="1832"/>
      <c r="J245" s="1910">
        <f>J227-J233-J239</f>
        <v>31512</v>
      </c>
      <c r="K245" s="1910"/>
      <c r="L245" s="1910"/>
      <c r="M245" s="1910">
        <f>M227-M233-M239</f>
        <v>0</v>
      </c>
      <c r="N245" s="1910"/>
      <c r="O245" s="1910"/>
      <c r="P245" s="1910">
        <f>P227-P233-P239</f>
        <v>0</v>
      </c>
      <c r="Q245" s="1910"/>
      <c r="R245" s="1910"/>
      <c r="S245" s="1910">
        <f>S227-S233-S239</f>
        <v>1816804</v>
      </c>
      <c r="T245" s="1910"/>
      <c r="U245" s="1910"/>
      <c r="V245" s="1910">
        <f>V227-V233-V239</f>
        <v>0</v>
      </c>
      <c r="W245" s="1910"/>
      <c r="X245" s="1910"/>
      <c r="Y245" s="1910">
        <f>Y227-Y233-Y239</f>
        <v>0</v>
      </c>
      <c r="Z245" s="1910"/>
      <c r="AA245" s="1910"/>
      <c r="AB245" s="1910">
        <f>AB227-AB233-AB239</f>
        <v>0</v>
      </c>
      <c r="AC245" s="1910"/>
      <c r="AD245" s="1910"/>
      <c r="AE245" s="1910">
        <f>AE227-AE233-AE239</f>
        <v>1848316</v>
      </c>
      <c r="AF245" s="1910"/>
      <c r="AG245" s="1910"/>
      <c r="AI245" s="621">
        <f>J227-J233-J239-J245</f>
        <v>0</v>
      </c>
      <c r="AJ245" s="661">
        <f>M227-M233-M239-M245</f>
        <v>0</v>
      </c>
      <c r="AK245" s="661">
        <f>P227-P233-P239-P245</f>
        <v>0</v>
      </c>
      <c r="AL245" s="661">
        <f>S227-S233-S239-S245</f>
        <v>0</v>
      </c>
      <c r="AM245" s="661">
        <f>V227-V233-V239-V245</f>
        <v>0</v>
      </c>
      <c r="AN245" s="661">
        <f>Y227-Y233-Y239-Y245</f>
        <v>0</v>
      </c>
      <c r="AO245" s="661">
        <f>AB227-AB233-AB239-AB245</f>
        <v>0</v>
      </c>
      <c r="AP245" s="608">
        <f>SUM(J245:AD245)-AE245</f>
        <v>0</v>
      </c>
      <c r="AQ245" s="18"/>
      <c r="AR245" s="621">
        <f>J245-J271</f>
        <v>0</v>
      </c>
      <c r="AS245" s="661">
        <f>M245-M271</f>
        <v>0</v>
      </c>
      <c r="AT245" s="661">
        <f>P245-P271</f>
        <v>0</v>
      </c>
      <c r="AU245" s="661">
        <f>S245-S271</f>
        <v>0</v>
      </c>
      <c r="AV245" s="661">
        <f>V245-V271</f>
        <v>0</v>
      </c>
      <c r="AW245" s="661">
        <f>Y245-Y271</f>
        <v>0</v>
      </c>
      <c r="AX245" s="661">
        <f>AB245-AB271</f>
        <v>0</v>
      </c>
      <c r="AY245" s="608">
        <f>AE245-AE271</f>
        <v>0</v>
      </c>
      <c r="BA245" s="606"/>
      <c r="BB245" s="607"/>
      <c r="BC245" s="607"/>
      <c r="BD245" s="607"/>
      <c r="BE245" s="607"/>
      <c r="BF245" s="607"/>
      <c r="BG245" s="607"/>
      <c r="BH245" s="619"/>
    </row>
    <row r="246" spans="1:60" s="584" customFormat="1" ht="21.75" customHeight="1" thickBot="1">
      <c r="A246" s="597"/>
      <c r="D246" s="1821" t="s">
        <v>30</v>
      </c>
      <c r="E246" s="1821"/>
      <c r="F246" s="1821"/>
      <c r="G246" s="1821"/>
      <c r="H246" s="1821"/>
      <c r="I246" s="1821"/>
      <c r="J246" s="1909">
        <f>J231-J237-J243</f>
        <v>23628</v>
      </c>
      <c r="K246" s="1909"/>
      <c r="L246" s="1909"/>
      <c r="M246" s="1909">
        <f>M231-M237-M243</f>
        <v>0</v>
      </c>
      <c r="N246" s="1909"/>
      <c r="O246" s="1909"/>
      <c r="P246" s="1909">
        <f>P231-P237-P243</f>
        <v>0</v>
      </c>
      <c r="Q246" s="1909"/>
      <c r="R246" s="1909"/>
      <c r="S246" s="1909">
        <f>S231-S237-S243</f>
        <v>1500724</v>
      </c>
      <c r="T246" s="1909"/>
      <c r="U246" s="1909"/>
      <c r="V246" s="1909">
        <f>V231-V237-V243</f>
        <v>0</v>
      </c>
      <c r="W246" s="1909"/>
      <c r="X246" s="1909"/>
      <c r="Y246" s="1909">
        <f>Y231-Y237-Y243</f>
        <v>0</v>
      </c>
      <c r="Z246" s="1909"/>
      <c r="AA246" s="1909"/>
      <c r="AB246" s="1909">
        <f>AB231-AB237-AB243</f>
        <v>0</v>
      </c>
      <c r="AC246" s="1909"/>
      <c r="AD246" s="1909"/>
      <c r="AE246" s="1909">
        <f>AE231-AE237-AE243</f>
        <v>1524352</v>
      </c>
      <c r="AF246" s="1909"/>
      <c r="AG246" s="1909"/>
      <c r="AI246" s="609">
        <f>J231-J237-J243-J246</f>
        <v>0</v>
      </c>
      <c r="AJ246" s="610">
        <f>M231-M237-M243-M246</f>
        <v>0</v>
      </c>
      <c r="AK246" s="610">
        <f>P231-P237-P243-P246</f>
        <v>0</v>
      </c>
      <c r="AL246" s="610">
        <f>S231-S237-S243-S246</f>
        <v>0</v>
      </c>
      <c r="AM246" s="610">
        <f>V231-V237-V243-V246</f>
        <v>0</v>
      </c>
      <c r="AN246" s="610">
        <f>Y231-Y237-Y243-Y246</f>
        <v>0</v>
      </c>
      <c r="AO246" s="610">
        <f>AB231-AB237-AB243-AB246</f>
        <v>0</v>
      </c>
      <c r="AP246" s="611">
        <f>SUM(J246:AD246)-AE246</f>
        <v>0</v>
      </c>
      <c r="AQ246" s="18"/>
      <c r="AR246" s="777"/>
      <c r="AS246" s="778"/>
      <c r="AT246" s="778"/>
      <c r="AU246" s="778"/>
      <c r="AV246" s="778"/>
      <c r="AW246" s="778"/>
      <c r="AX246" s="778"/>
      <c r="AY246" s="779"/>
      <c r="BA246" s="609">
        <f>J246-BS!$F$13</f>
        <v>0</v>
      </c>
      <c r="BB246" s="610">
        <f>M246-BS!$F$14</f>
        <v>0</v>
      </c>
      <c r="BC246" s="610">
        <f>P246-BS!$F$15</f>
        <v>0</v>
      </c>
      <c r="BD246" s="610">
        <f>S246-BS!$F$16</f>
        <v>0</v>
      </c>
      <c r="BE246" s="610">
        <f>V246-BS!$F$17</f>
        <v>0</v>
      </c>
      <c r="BF246" s="610">
        <f>Y246-BS!$F$18</f>
        <v>0</v>
      </c>
      <c r="BG246" s="610">
        <f>AB246-BS!$F$19</f>
        <v>0</v>
      </c>
      <c r="BH246" s="611">
        <f>AE246-BS!$F$12</f>
        <v>0</v>
      </c>
    </row>
    <row r="247" spans="1:60" s="584" customFormat="1">
      <c r="A247" s="597"/>
      <c r="D247" s="773"/>
      <c r="E247" s="773"/>
      <c r="F247" s="773"/>
      <c r="G247" s="773"/>
      <c r="AI247" s="18"/>
      <c r="AJ247" s="18"/>
      <c r="AK247" s="18"/>
      <c r="AL247" s="18"/>
      <c r="AM247" s="18"/>
      <c r="AN247" s="18"/>
      <c r="AO247" s="18"/>
      <c r="AP247" s="18"/>
      <c r="AQ247" s="18"/>
    </row>
    <row r="248" spans="1:60" s="584" customFormat="1" ht="15" thickBot="1">
      <c r="A248" s="597"/>
      <c r="D248" s="773"/>
      <c r="E248" s="773"/>
      <c r="F248" s="773"/>
      <c r="G248" s="773"/>
      <c r="AI248" s="18"/>
      <c r="AJ248" s="18"/>
      <c r="AK248" s="18"/>
      <c r="AL248" s="18"/>
      <c r="AM248" s="18"/>
      <c r="AN248" s="18"/>
      <c r="AO248" s="18"/>
      <c r="AP248" s="18"/>
      <c r="AQ248" s="18"/>
    </row>
    <row r="249" spans="1:60" s="584" customFormat="1" ht="15" thickBot="1">
      <c r="A249" s="597"/>
      <c r="D249" s="1799" t="s">
        <v>20</v>
      </c>
      <c r="E249" s="1800"/>
      <c r="F249" s="1800"/>
      <c r="G249" s="1800"/>
      <c r="H249" s="1800"/>
      <c r="I249" s="1803"/>
      <c r="J249" s="1859" t="s">
        <v>3</v>
      </c>
      <c r="K249" s="1859"/>
      <c r="L249" s="1859"/>
      <c r="M249" s="1859"/>
      <c r="N249" s="1859"/>
      <c r="O249" s="1859"/>
      <c r="P249" s="1859"/>
      <c r="Q249" s="1859"/>
      <c r="R249" s="1859"/>
      <c r="S249" s="1859"/>
      <c r="T249" s="1859"/>
      <c r="U249" s="1859"/>
      <c r="V249" s="1859"/>
      <c r="W249" s="1859"/>
      <c r="X249" s="1859"/>
      <c r="Y249" s="1859"/>
      <c r="Z249" s="1859"/>
      <c r="AA249" s="1859"/>
      <c r="AB249" s="1859"/>
      <c r="AC249" s="1859"/>
      <c r="AD249" s="1859"/>
      <c r="AE249" s="1859"/>
      <c r="AF249" s="1859"/>
      <c r="AG249" s="1859"/>
      <c r="AI249" s="18"/>
      <c r="AJ249" s="18"/>
      <c r="AK249" s="18"/>
      <c r="AL249" s="18"/>
      <c r="AM249" s="18"/>
      <c r="AN249" s="18"/>
      <c r="AO249" s="18"/>
      <c r="AP249" s="18"/>
      <c r="AQ249" s="18"/>
    </row>
    <row r="250" spans="1:60" s="584" customFormat="1" ht="46.5" thickTop="1" thickBot="1">
      <c r="A250" s="597"/>
      <c r="D250" s="1801"/>
      <c r="E250" s="1802"/>
      <c r="F250" s="1802"/>
      <c r="G250" s="1802"/>
      <c r="H250" s="1802"/>
      <c r="I250" s="1804"/>
      <c r="J250" s="1838" t="s">
        <v>441</v>
      </c>
      <c r="K250" s="1838"/>
      <c r="L250" s="1838"/>
      <c r="M250" s="1838" t="s">
        <v>21</v>
      </c>
      <c r="N250" s="1838"/>
      <c r="O250" s="1838"/>
      <c r="P250" s="1838" t="s">
        <v>442</v>
      </c>
      <c r="Q250" s="1838"/>
      <c r="R250" s="1838"/>
      <c r="S250" s="1838" t="s">
        <v>22</v>
      </c>
      <c r="T250" s="1838"/>
      <c r="U250" s="1838"/>
      <c r="V250" s="1838" t="s">
        <v>23</v>
      </c>
      <c r="W250" s="1838"/>
      <c r="X250" s="1838"/>
      <c r="Y250" s="1838" t="s">
        <v>443</v>
      </c>
      <c r="Z250" s="1838"/>
      <c r="AA250" s="1838"/>
      <c r="AB250" s="1838" t="s">
        <v>24</v>
      </c>
      <c r="AC250" s="1838"/>
      <c r="AD250" s="1838"/>
      <c r="AE250" s="1838" t="s">
        <v>14</v>
      </c>
      <c r="AF250" s="1838"/>
      <c r="AG250" s="1838"/>
      <c r="AI250" s="764" t="s">
        <v>441</v>
      </c>
      <c r="AJ250" s="765" t="s">
        <v>21</v>
      </c>
      <c r="AK250" s="765" t="s">
        <v>442</v>
      </c>
      <c r="AL250" s="764" t="s">
        <v>22</v>
      </c>
      <c r="AM250" s="765" t="s">
        <v>23</v>
      </c>
      <c r="AN250" s="765" t="s">
        <v>443</v>
      </c>
      <c r="AO250" s="765" t="s">
        <v>24</v>
      </c>
      <c r="AP250" s="765" t="s">
        <v>14</v>
      </c>
      <c r="AQ250" s="18"/>
      <c r="AR250" s="59" t="s">
        <v>441</v>
      </c>
      <c r="AS250" s="763" t="s">
        <v>21</v>
      </c>
      <c r="AT250" s="763" t="s">
        <v>442</v>
      </c>
      <c r="AU250" s="59" t="s">
        <v>22</v>
      </c>
      <c r="AV250" s="763" t="s">
        <v>23</v>
      </c>
      <c r="AW250" s="763" t="s">
        <v>443</v>
      </c>
      <c r="AX250" s="763" t="s">
        <v>24</v>
      </c>
      <c r="AY250" s="763" t="s">
        <v>14</v>
      </c>
      <c r="BA250" s="764" t="s">
        <v>441</v>
      </c>
      <c r="BB250" s="765" t="s">
        <v>21</v>
      </c>
      <c r="BC250" s="765" t="s">
        <v>442</v>
      </c>
      <c r="BD250" s="764" t="s">
        <v>22</v>
      </c>
      <c r="BE250" s="765" t="s">
        <v>23</v>
      </c>
      <c r="BF250" s="765" t="s">
        <v>443</v>
      </c>
      <c r="BG250" s="765" t="s">
        <v>24</v>
      </c>
      <c r="BH250" s="765" t="s">
        <v>14</v>
      </c>
    </row>
    <row r="251" spans="1:60" s="584" customFormat="1" ht="15" thickBot="1">
      <c r="A251" s="597"/>
      <c r="D251" s="1911" t="s">
        <v>25</v>
      </c>
      <c r="E251" s="1911"/>
      <c r="F251" s="1911"/>
      <c r="G251" s="1911"/>
      <c r="H251" s="1911"/>
      <c r="I251" s="1911"/>
      <c r="J251" s="1911"/>
      <c r="K251" s="1911"/>
      <c r="L251" s="1911"/>
      <c r="M251" s="1911"/>
      <c r="N251" s="1911"/>
      <c r="O251" s="1911"/>
      <c r="P251" s="1911"/>
      <c r="Q251" s="1911"/>
      <c r="R251" s="1911"/>
      <c r="S251" s="1911"/>
      <c r="T251" s="1911"/>
      <c r="U251" s="1911"/>
      <c r="V251" s="1911"/>
      <c r="W251" s="1911"/>
      <c r="X251" s="1911"/>
      <c r="Y251" s="1911"/>
      <c r="Z251" s="1911"/>
      <c r="AA251" s="1911"/>
      <c r="AB251" s="1911"/>
      <c r="AC251" s="1911"/>
      <c r="AD251" s="1911"/>
      <c r="AE251" s="1911"/>
      <c r="AF251" s="1911"/>
      <c r="AG251" s="1911"/>
      <c r="AH251" s="605"/>
      <c r="AI251" s="612"/>
      <c r="AJ251" s="613"/>
      <c r="AK251" s="613"/>
      <c r="AL251" s="613"/>
      <c r="AM251" s="613"/>
      <c r="AN251" s="613"/>
      <c r="AO251" s="613"/>
      <c r="AP251" s="618"/>
      <c r="AQ251" s="18"/>
      <c r="BA251" s="612"/>
      <c r="BB251" s="613"/>
      <c r="BC251" s="613"/>
      <c r="BD251" s="613"/>
      <c r="BE251" s="613"/>
      <c r="BF251" s="613"/>
      <c r="BG251" s="613"/>
      <c r="BH251" s="618"/>
    </row>
    <row r="252" spans="1:60" s="584" customFormat="1" ht="21.75" customHeight="1">
      <c r="A252" s="597"/>
      <c r="D252" s="1868" t="s">
        <v>26</v>
      </c>
      <c r="E252" s="1868"/>
      <c r="F252" s="1868"/>
      <c r="G252" s="1868"/>
      <c r="H252" s="1868"/>
      <c r="I252" s="1868"/>
      <c r="J252" s="2103">
        <v>39396</v>
      </c>
      <c r="K252" s="2103"/>
      <c r="L252" s="2103"/>
      <c r="M252" s="1870">
        <v>0</v>
      </c>
      <c r="N252" s="1870"/>
      <c r="O252" s="1870"/>
      <c r="P252" s="1870">
        <v>0</v>
      </c>
      <c r="Q252" s="1870"/>
      <c r="R252" s="1870"/>
      <c r="S252" s="2103">
        <v>2211884</v>
      </c>
      <c r="T252" s="2103"/>
      <c r="U252" s="2103"/>
      <c r="V252" s="1870">
        <v>0</v>
      </c>
      <c r="W252" s="1870"/>
      <c r="X252" s="1870"/>
      <c r="Y252" s="1870">
        <v>0</v>
      </c>
      <c r="Z252" s="1870"/>
      <c r="AA252" s="1870"/>
      <c r="AB252" s="1870">
        <v>0</v>
      </c>
      <c r="AC252" s="1870"/>
      <c r="AD252" s="1870"/>
      <c r="AE252" s="2104">
        <f>SUM(J252:AD252)</f>
        <v>2251280</v>
      </c>
      <c r="AF252" s="2104"/>
      <c r="AG252" s="2104"/>
      <c r="AI252" s="606"/>
      <c r="AJ252" s="607"/>
      <c r="AK252" s="607"/>
      <c r="AL252" s="607"/>
      <c r="AM252" s="607"/>
      <c r="AN252" s="607"/>
      <c r="AO252" s="607"/>
      <c r="AP252" s="608">
        <f>SUM(J252:AD252)-AE252</f>
        <v>0</v>
      </c>
      <c r="AQ252" s="18"/>
      <c r="BA252" s="606"/>
      <c r="BB252" s="607"/>
      <c r="BC252" s="607"/>
      <c r="BD252" s="607"/>
      <c r="BE252" s="607"/>
      <c r="BF252" s="607"/>
      <c r="BG252" s="607"/>
      <c r="BH252" s="619"/>
    </row>
    <row r="253" spans="1:60" s="584" customFormat="1">
      <c r="A253" s="597"/>
      <c r="D253" s="1902" t="s">
        <v>27</v>
      </c>
      <c r="E253" s="1902"/>
      <c r="F253" s="1902"/>
      <c r="G253" s="1902"/>
      <c r="H253" s="1902"/>
      <c r="I253" s="1902"/>
      <c r="J253" s="1842">
        <v>0</v>
      </c>
      <c r="K253" s="1842"/>
      <c r="L253" s="1842"/>
      <c r="M253" s="1842">
        <v>0</v>
      </c>
      <c r="N253" s="1842"/>
      <c r="O253" s="1842"/>
      <c r="P253" s="1842">
        <v>0</v>
      </c>
      <c r="Q253" s="1842"/>
      <c r="R253" s="1842"/>
      <c r="S253" s="1842">
        <v>0</v>
      </c>
      <c r="T253" s="1842"/>
      <c r="U253" s="1842"/>
      <c r="V253" s="1842">
        <v>0</v>
      </c>
      <c r="W253" s="1842"/>
      <c r="X253" s="1842"/>
      <c r="Y253" s="1842">
        <v>0</v>
      </c>
      <c r="Z253" s="1842"/>
      <c r="AA253" s="1842"/>
      <c r="AB253" s="1842">
        <v>0</v>
      </c>
      <c r="AC253" s="1842"/>
      <c r="AD253" s="1842"/>
      <c r="AE253" s="1843">
        <f>SUM(J253:AD253)</f>
        <v>0</v>
      </c>
      <c r="AF253" s="1843"/>
      <c r="AG253" s="1843"/>
      <c r="AI253" s="606"/>
      <c r="AJ253" s="607"/>
      <c r="AK253" s="607"/>
      <c r="AL253" s="607"/>
      <c r="AM253" s="607"/>
      <c r="AN253" s="607"/>
      <c r="AO253" s="607"/>
      <c r="AP253" s="608">
        <f>SUM(J253:AD253)-AE253</f>
        <v>0</v>
      </c>
      <c r="AQ253" s="18"/>
      <c r="BA253" s="606"/>
      <c r="BB253" s="607"/>
      <c r="BC253" s="607"/>
      <c r="BD253" s="607"/>
      <c r="BE253" s="607"/>
      <c r="BF253" s="607"/>
      <c r="BG253" s="607"/>
      <c r="BH253" s="619"/>
    </row>
    <row r="254" spans="1:60" s="584" customFormat="1">
      <c r="A254" s="597"/>
      <c r="D254" s="1902" t="s">
        <v>28</v>
      </c>
      <c r="E254" s="1902"/>
      <c r="F254" s="1902"/>
      <c r="G254" s="1902"/>
      <c r="H254" s="1902"/>
      <c r="I254" s="1902"/>
      <c r="J254" s="1842">
        <v>0</v>
      </c>
      <c r="K254" s="1842"/>
      <c r="L254" s="1842"/>
      <c r="M254" s="1842">
        <v>0</v>
      </c>
      <c r="N254" s="1842"/>
      <c r="O254" s="1842"/>
      <c r="P254" s="1842">
        <v>0</v>
      </c>
      <c r="Q254" s="1842"/>
      <c r="R254" s="1842"/>
      <c r="S254" s="1842">
        <v>0</v>
      </c>
      <c r="T254" s="1842"/>
      <c r="U254" s="1842"/>
      <c r="V254" s="1842">
        <v>0</v>
      </c>
      <c r="W254" s="1842"/>
      <c r="X254" s="1842"/>
      <c r="Y254" s="1842">
        <v>0</v>
      </c>
      <c r="Z254" s="1842"/>
      <c r="AA254" s="1842"/>
      <c r="AB254" s="1842">
        <v>0</v>
      </c>
      <c r="AC254" s="1842"/>
      <c r="AD254" s="1842"/>
      <c r="AE254" s="1843">
        <f t="shared" ref="AE254" si="25">SUM(J254:AD254)</f>
        <v>0</v>
      </c>
      <c r="AF254" s="1843"/>
      <c r="AG254" s="1843"/>
      <c r="AI254" s="606"/>
      <c r="AJ254" s="607"/>
      <c r="AK254" s="607"/>
      <c r="AL254" s="607"/>
      <c r="AM254" s="607"/>
      <c r="AN254" s="607"/>
      <c r="AO254" s="607"/>
      <c r="AP254" s="608">
        <f t="shared" ref="AP254" si="26">SUM(J254:AD254)-AE254</f>
        <v>0</v>
      </c>
      <c r="AQ254" s="18"/>
      <c r="BA254" s="606"/>
      <c r="BB254" s="607"/>
      <c r="BC254" s="607"/>
      <c r="BD254" s="607"/>
      <c r="BE254" s="607"/>
      <c r="BF254" s="607"/>
      <c r="BG254" s="607"/>
      <c r="BH254" s="619"/>
    </row>
    <row r="255" spans="1:60" s="584" customFormat="1">
      <c r="A255" s="597"/>
      <c r="D255" s="1902" t="s">
        <v>29</v>
      </c>
      <c r="E255" s="1902"/>
      <c r="F255" s="1902"/>
      <c r="G255" s="1902"/>
      <c r="H255" s="1902"/>
      <c r="I255" s="1902"/>
      <c r="J255" s="1842">
        <v>0</v>
      </c>
      <c r="K255" s="1842"/>
      <c r="L255" s="1842"/>
      <c r="M255" s="1842">
        <v>0</v>
      </c>
      <c r="N255" s="1842"/>
      <c r="O255" s="1842"/>
      <c r="P255" s="1842">
        <v>0</v>
      </c>
      <c r="Q255" s="1842"/>
      <c r="R255" s="1842"/>
      <c r="S255" s="1842">
        <v>0</v>
      </c>
      <c r="T255" s="1842"/>
      <c r="U255" s="1842"/>
      <c r="V255" s="1842">
        <v>0</v>
      </c>
      <c r="W255" s="1842"/>
      <c r="X255" s="1842"/>
      <c r="Y255" s="1842">
        <v>0</v>
      </c>
      <c r="Z255" s="1842"/>
      <c r="AA255" s="1842"/>
      <c r="AB255" s="1842">
        <v>0</v>
      </c>
      <c r="AC255" s="1842"/>
      <c r="AD255" s="1842"/>
      <c r="AE255" s="1843">
        <f>SUM(J255:AD255)</f>
        <v>0</v>
      </c>
      <c r="AF255" s="1843"/>
      <c r="AG255" s="1843"/>
      <c r="AI255" s="606"/>
      <c r="AJ255" s="607"/>
      <c r="AK255" s="607"/>
      <c r="AL255" s="607"/>
      <c r="AM255" s="607"/>
      <c r="AN255" s="607"/>
      <c r="AO255" s="607"/>
      <c r="AP255" s="608">
        <f>SUM(J255:AD255)-AE255</f>
        <v>0</v>
      </c>
      <c r="AQ255" s="18"/>
      <c r="BA255" s="606"/>
      <c r="BB255" s="607"/>
      <c r="BC255" s="607"/>
      <c r="BD255" s="607"/>
      <c r="BE255" s="607"/>
      <c r="BF255" s="607"/>
      <c r="BG255" s="607"/>
      <c r="BH255" s="619"/>
    </row>
    <row r="256" spans="1:60" s="584" customFormat="1" ht="21.75" customHeight="1" thickBot="1">
      <c r="A256" s="597"/>
      <c r="D256" s="1821" t="s">
        <v>30</v>
      </c>
      <c r="E256" s="1821"/>
      <c r="F256" s="1821"/>
      <c r="G256" s="1821"/>
      <c r="H256" s="1821"/>
      <c r="I256" s="1821"/>
      <c r="J256" s="1889">
        <f>J252+J253-J254+J255</f>
        <v>39396</v>
      </c>
      <c r="K256" s="1889"/>
      <c r="L256" s="1889"/>
      <c r="M256" s="1889">
        <f t="shared" ref="M256" si="27">M252+M253-M254+M255</f>
        <v>0</v>
      </c>
      <c r="N256" s="1889"/>
      <c r="O256" s="1889"/>
      <c r="P256" s="1889">
        <f t="shared" ref="P256" si="28">P252+P253-P254+P255</f>
        <v>0</v>
      </c>
      <c r="Q256" s="1889"/>
      <c r="R256" s="1889"/>
      <c r="S256" s="1889">
        <f t="shared" ref="S256" si="29">S252+S253-S254+S255</f>
        <v>2211884</v>
      </c>
      <c r="T256" s="1889"/>
      <c r="U256" s="1889"/>
      <c r="V256" s="1889">
        <f t="shared" ref="V256" si="30">V252+V253-V254+V255</f>
        <v>0</v>
      </c>
      <c r="W256" s="1889"/>
      <c r="X256" s="1889"/>
      <c r="Y256" s="1889">
        <f t="shared" ref="Y256" si="31">Y252+Y253-Y254+Y255</f>
        <v>0</v>
      </c>
      <c r="Z256" s="1889"/>
      <c r="AA256" s="1889"/>
      <c r="AB256" s="1889">
        <f t="shared" ref="AB256" si="32">AB252+AB253-AB254+AB255</f>
        <v>0</v>
      </c>
      <c r="AC256" s="1889"/>
      <c r="AD256" s="1889"/>
      <c r="AE256" s="1889">
        <f t="shared" ref="AE256" si="33">AE252+AE253-AE254+AE255</f>
        <v>2251280</v>
      </c>
      <c r="AF256" s="1889"/>
      <c r="AG256" s="1889"/>
      <c r="AI256" s="621">
        <f>J252+J253-J254+J255-J256</f>
        <v>0</v>
      </c>
      <c r="AJ256" s="661">
        <f>M252+M253-M254+M255-M256</f>
        <v>0</v>
      </c>
      <c r="AK256" s="661">
        <f>P252+P253-P254+P255-P256</f>
        <v>0</v>
      </c>
      <c r="AL256" s="661">
        <f>S252+S253-S254+S255-S256</f>
        <v>0</v>
      </c>
      <c r="AM256" s="661">
        <f>V252+V253-V254+V255-V256</f>
        <v>0</v>
      </c>
      <c r="AN256" s="661">
        <f>Y252+Y253-Y254+Y255-Y256</f>
        <v>0</v>
      </c>
      <c r="AO256" s="661">
        <f>AB252+AB253-AB254+AB255-AB256</f>
        <v>0</v>
      </c>
      <c r="AP256" s="608">
        <f>AE252+AE253-AE254+AE255-AE256</f>
        <v>0</v>
      </c>
      <c r="AQ256" s="18"/>
      <c r="BA256" s="621"/>
      <c r="BB256" s="661"/>
      <c r="BC256" s="661"/>
      <c r="BD256" s="661"/>
      <c r="BE256" s="661"/>
      <c r="BF256" s="661"/>
      <c r="BG256" s="661"/>
      <c r="BH256" s="608"/>
    </row>
    <row r="257" spans="1:60" s="584" customFormat="1" ht="15" thickBot="1">
      <c r="A257" s="597"/>
      <c r="D257" s="1887" t="s">
        <v>31</v>
      </c>
      <c r="E257" s="1887"/>
      <c r="F257" s="1887"/>
      <c r="G257" s="1887"/>
      <c r="H257" s="1887"/>
      <c r="I257" s="1887"/>
      <c r="J257" s="1887"/>
      <c r="K257" s="1887"/>
      <c r="L257" s="1887"/>
      <c r="M257" s="1887"/>
      <c r="N257" s="1887"/>
      <c r="O257" s="1887"/>
      <c r="P257" s="1887"/>
      <c r="Q257" s="1887"/>
      <c r="R257" s="1887"/>
      <c r="S257" s="1887"/>
      <c r="T257" s="1887"/>
      <c r="U257" s="1887"/>
      <c r="V257" s="1887"/>
      <c r="W257" s="1887"/>
      <c r="X257" s="1887"/>
      <c r="Y257" s="1887"/>
      <c r="Z257" s="1887"/>
      <c r="AA257" s="1887"/>
      <c r="AB257" s="1887"/>
      <c r="AC257" s="1887"/>
      <c r="AD257" s="1887"/>
      <c r="AE257" s="1887"/>
      <c r="AF257" s="1887"/>
      <c r="AG257" s="1887"/>
      <c r="AH257" s="605"/>
      <c r="AI257" s="606"/>
      <c r="AJ257" s="607"/>
      <c r="AK257" s="607"/>
      <c r="AL257" s="607"/>
      <c r="AM257" s="607"/>
      <c r="AN257" s="607"/>
      <c r="AO257" s="607"/>
      <c r="AP257" s="608"/>
      <c r="AQ257" s="18"/>
      <c r="BA257" s="606"/>
      <c r="BB257" s="607"/>
      <c r="BC257" s="607"/>
      <c r="BD257" s="607"/>
      <c r="BE257" s="607"/>
      <c r="BF257" s="607"/>
      <c r="BG257" s="607"/>
      <c r="BH257" s="619"/>
    </row>
    <row r="258" spans="1:60" s="584" customFormat="1" ht="21.75" customHeight="1">
      <c r="A258" s="597"/>
      <c r="D258" s="1903" t="s">
        <v>32</v>
      </c>
      <c r="E258" s="1904"/>
      <c r="F258" s="1904"/>
      <c r="G258" s="1904"/>
      <c r="H258" s="1904"/>
      <c r="I258" s="1905"/>
      <c r="J258" s="1872">
        <v>0</v>
      </c>
      <c r="K258" s="1873"/>
      <c r="L258" s="1874"/>
      <c r="M258" s="1872">
        <v>0</v>
      </c>
      <c r="N258" s="1873"/>
      <c r="O258" s="1874"/>
      <c r="P258" s="1872">
        <v>0</v>
      </c>
      <c r="Q258" s="1873"/>
      <c r="R258" s="1874"/>
      <c r="S258" s="1872">
        <v>79000</v>
      </c>
      <c r="T258" s="1873"/>
      <c r="U258" s="1874"/>
      <c r="V258" s="1872">
        <v>0</v>
      </c>
      <c r="W258" s="1873"/>
      <c r="X258" s="1874"/>
      <c r="Y258" s="1872">
        <v>0</v>
      </c>
      <c r="Z258" s="1873"/>
      <c r="AA258" s="1874"/>
      <c r="AB258" s="1872">
        <v>0</v>
      </c>
      <c r="AC258" s="1873"/>
      <c r="AD258" s="1874"/>
      <c r="AE258" s="1906">
        <f>SUM(J258:AD258)</f>
        <v>79000</v>
      </c>
      <c r="AF258" s="1907"/>
      <c r="AG258" s="1908"/>
      <c r="AI258" s="606"/>
      <c r="AJ258" s="607"/>
      <c r="AK258" s="607"/>
      <c r="AL258" s="607"/>
      <c r="AM258" s="607"/>
      <c r="AN258" s="607"/>
      <c r="AO258" s="607"/>
      <c r="AP258" s="608">
        <f>SUM(J258:AD258)-AE258</f>
        <v>0</v>
      </c>
      <c r="AQ258" s="18"/>
      <c r="BA258" s="606"/>
      <c r="BB258" s="607"/>
      <c r="BC258" s="607"/>
      <c r="BD258" s="607"/>
      <c r="BE258" s="607"/>
      <c r="BF258" s="607"/>
      <c r="BG258" s="607"/>
      <c r="BH258" s="619"/>
    </row>
    <row r="259" spans="1:60" s="584" customFormat="1">
      <c r="A259" s="597"/>
      <c r="D259" s="1890" t="s">
        <v>27</v>
      </c>
      <c r="E259" s="1891"/>
      <c r="F259" s="1891"/>
      <c r="G259" s="1891"/>
      <c r="H259" s="1891"/>
      <c r="I259" s="1892"/>
      <c r="J259" s="1893">
        <v>7884</v>
      </c>
      <c r="K259" s="1894"/>
      <c r="L259" s="1895"/>
      <c r="M259" s="1893">
        <v>0</v>
      </c>
      <c r="N259" s="1894"/>
      <c r="O259" s="1895"/>
      <c r="P259" s="1893">
        <v>0</v>
      </c>
      <c r="Q259" s="1894"/>
      <c r="R259" s="1895"/>
      <c r="S259" s="1893">
        <v>316080</v>
      </c>
      <c r="T259" s="1894"/>
      <c r="U259" s="1895"/>
      <c r="V259" s="1893">
        <v>0</v>
      </c>
      <c r="W259" s="1894"/>
      <c r="X259" s="1895"/>
      <c r="Y259" s="1893">
        <v>0</v>
      </c>
      <c r="Z259" s="1894"/>
      <c r="AA259" s="1895"/>
      <c r="AB259" s="1893">
        <v>0</v>
      </c>
      <c r="AC259" s="1894"/>
      <c r="AD259" s="1895"/>
      <c r="AE259" s="1896">
        <f>SUM(J259:AD259)</f>
        <v>323964</v>
      </c>
      <c r="AF259" s="1897"/>
      <c r="AG259" s="1898"/>
      <c r="AI259" s="606"/>
      <c r="AJ259" s="607"/>
      <c r="AK259" s="607"/>
      <c r="AL259" s="607"/>
      <c r="AM259" s="607"/>
      <c r="AN259" s="607"/>
      <c r="AO259" s="607"/>
      <c r="AP259" s="608">
        <f t="shared" ref="AP259:AP260" si="34">SUM(J259:AD259)-AE259</f>
        <v>0</v>
      </c>
      <c r="AQ259" s="18"/>
      <c r="BA259" s="606"/>
      <c r="BB259" s="607"/>
      <c r="BC259" s="607"/>
      <c r="BD259" s="607"/>
      <c r="BE259" s="607"/>
      <c r="BF259" s="607"/>
      <c r="BG259" s="607"/>
      <c r="BH259" s="619"/>
    </row>
    <row r="260" spans="1:60" s="584" customFormat="1">
      <c r="A260" s="597"/>
      <c r="D260" s="1890" t="s">
        <v>28</v>
      </c>
      <c r="E260" s="1891"/>
      <c r="F260" s="1891"/>
      <c r="G260" s="1891"/>
      <c r="H260" s="1891"/>
      <c r="I260" s="1892"/>
      <c r="J260" s="1893">
        <v>0</v>
      </c>
      <c r="K260" s="1894"/>
      <c r="L260" s="1895"/>
      <c r="M260" s="1893">
        <v>0</v>
      </c>
      <c r="N260" s="1894"/>
      <c r="O260" s="1895"/>
      <c r="P260" s="1893">
        <v>0</v>
      </c>
      <c r="Q260" s="1894"/>
      <c r="R260" s="1895"/>
      <c r="S260" s="1893">
        <v>0</v>
      </c>
      <c r="T260" s="1894"/>
      <c r="U260" s="1895"/>
      <c r="V260" s="1893">
        <v>0</v>
      </c>
      <c r="W260" s="1894"/>
      <c r="X260" s="1895"/>
      <c r="Y260" s="1893">
        <v>0</v>
      </c>
      <c r="Z260" s="1894"/>
      <c r="AA260" s="1895"/>
      <c r="AB260" s="1893">
        <v>0</v>
      </c>
      <c r="AC260" s="1894"/>
      <c r="AD260" s="1895"/>
      <c r="AE260" s="1896">
        <f>SUM(J260:AD260)</f>
        <v>0</v>
      </c>
      <c r="AF260" s="1897"/>
      <c r="AG260" s="1898"/>
      <c r="AI260" s="606"/>
      <c r="AJ260" s="607"/>
      <c r="AK260" s="607"/>
      <c r="AL260" s="607"/>
      <c r="AM260" s="607"/>
      <c r="AN260" s="607"/>
      <c r="AO260" s="607"/>
      <c r="AP260" s="608">
        <f t="shared" si="34"/>
        <v>0</v>
      </c>
      <c r="AQ260" s="18"/>
      <c r="BA260" s="674"/>
      <c r="BB260" s="607"/>
      <c r="BC260" s="607"/>
      <c r="BD260" s="607"/>
      <c r="BE260" s="607"/>
      <c r="BF260" s="607"/>
      <c r="BG260" s="607"/>
      <c r="BH260" s="619"/>
    </row>
    <row r="261" spans="1:60" s="584" customFormat="1">
      <c r="A261" s="597"/>
      <c r="D261" s="1902" t="s">
        <v>29</v>
      </c>
      <c r="E261" s="1902"/>
      <c r="F261" s="1902"/>
      <c r="G261" s="1902"/>
      <c r="H261" s="1902"/>
      <c r="I261" s="1902"/>
      <c r="J261" s="1842">
        <v>0</v>
      </c>
      <c r="K261" s="1842"/>
      <c r="L261" s="1842"/>
      <c r="M261" s="1842">
        <v>0</v>
      </c>
      <c r="N261" s="1842"/>
      <c r="O261" s="1842"/>
      <c r="P261" s="1842">
        <v>0</v>
      </c>
      <c r="Q261" s="1842"/>
      <c r="R261" s="1842"/>
      <c r="S261" s="1842">
        <v>0</v>
      </c>
      <c r="T261" s="1842"/>
      <c r="U261" s="1842"/>
      <c r="V261" s="1842">
        <v>0</v>
      </c>
      <c r="W261" s="1842"/>
      <c r="X261" s="1842"/>
      <c r="Y261" s="1842">
        <v>0</v>
      </c>
      <c r="Z261" s="1842"/>
      <c r="AA261" s="1842"/>
      <c r="AB261" s="1842">
        <v>0</v>
      </c>
      <c r="AC261" s="1842"/>
      <c r="AD261" s="1842"/>
      <c r="AE261" s="1843">
        <f>SUM(J261:AD261)</f>
        <v>0</v>
      </c>
      <c r="AF261" s="1843"/>
      <c r="AG261" s="1843"/>
      <c r="AI261" s="606"/>
      <c r="AJ261" s="607"/>
      <c r="AK261" s="607"/>
      <c r="AL261" s="607"/>
      <c r="AM261" s="607"/>
      <c r="AN261" s="607"/>
      <c r="AO261" s="607"/>
      <c r="AP261" s="608">
        <f>SUM(J261:AD261)-AE261</f>
        <v>0</v>
      </c>
      <c r="AQ261" s="18"/>
      <c r="BA261" s="606"/>
      <c r="BB261" s="607"/>
      <c r="BC261" s="607"/>
      <c r="BD261" s="607"/>
      <c r="BE261" s="607"/>
      <c r="BF261" s="607"/>
      <c r="BG261" s="607"/>
      <c r="BH261" s="619"/>
    </row>
    <row r="262" spans="1:60" s="584" customFormat="1" ht="21.75" customHeight="1" thickBot="1">
      <c r="A262" s="597"/>
      <c r="D262" s="1899" t="s">
        <v>30</v>
      </c>
      <c r="E262" s="1900"/>
      <c r="F262" s="1900"/>
      <c r="G262" s="1900"/>
      <c r="H262" s="1900"/>
      <c r="I262" s="1901"/>
      <c r="J262" s="1889">
        <f>J258+J259-J260+J261</f>
        <v>7884</v>
      </c>
      <c r="K262" s="1889"/>
      <c r="L262" s="1889"/>
      <c r="M262" s="1889">
        <f t="shared" ref="M262" si="35">M258+M259-M260+M261</f>
        <v>0</v>
      </c>
      <c r="N262" s="1889"/>
      <c r="O262" s="1889"/>
      <c r="P262" s="1889">
        <f t="shared" ref="P262" si="36">P258+P259-P260+P261</f>
        <v>0</v>
      </c>
      <c r="Q262" s="1889"/>
      <c r="R262" s="1889"/>
      <c r="S262" s="1889">
        <f t="shared" ref="S262" si="37">S258+S259-S260+S261</f>
        <v>395080</v>
      </c>
      <c r="T262" s="1889"/>
      <c r="U262" s="1889"/>
      <c r="V262" s="1889">
        <f t="shared" ref="V262" si="38">V258+V259-V260+V261</f>
        <v>0</v>
      </c>
      <c r="W262" s="1889"/>
      <c r="X262" s="1889"/>
      <c r="Y262" s="1889">
        <f t="shared" ref="Y262" si="39">Y258+Y259-Y260+Y261</f>
        <v>0</v>
      </c>
      <c r="Z262" s="1889"/>
      <c r="AA262" s="1889"/>
      <c r="AB262" s="1889">
        <f t="shared" ref="AB262" si="40">AB258+AB259-AB260+AB261</f>
        <v>0</v>
      </c>
      <c r="AC262" s="1889"/>
      <c r="AD262" s="1889"/>
      <c r="AE262" s="1889">
        <f t="shared" ref="AE262" si="41">AE258+AE259-AE260+AE261</f>
        <v>402964</v>
      </c>
      <c r="AF262" s="1889"/>
      <c r="AG262" s="1889"/>
      <c r="AI262" s="621">
        <f>J258+J259-J260+J261-J262</f>
        <v>0</v>
      </c>
      <c r="AJ262" s="661">
        <f>M258+M259-M260+M261-M262</f>
        <v>0</v>
      </c>
      <c r="AK262" s="661">
        <f>P258+P259-P260+P261-P262</f>
        <v>0</v>
      </c>
      <c r="AL262" s="661">
        <f>S258+S259-S260+S261-S262</f>
        <v>0</v>
      </c>
      <c r="AM262" s="661">
        <f>V258+V259-V260+V261-V262</f>
        <v>0</v>
      </c>
      <c r="AN262" s="661">
        <f>Y258+Y259-Y260+Y261-Y262</f>
        <v>0</v>
      </c>
      <c r="AO262" s="661">
        <f>AB258+AB259-AB260+AB261-AB262</f>
        <v>0</v>
      </c>
      <c r="AP262" s="608">
        <f>AE258+AE259-AE260+AE261-AE262</f>
        <v>0</v>
      </c>
      <c r="AQ262" s="18"/>
      <c r="BA262" s="621"/>
      <c r="BB262" s="661"/>
      <c r="BC262" s="661"/>
      <c r="BD262" s="661"/>
      <c r="BE262" s="661"/>
      <c r="BF262" s="661"/>
      <c r="BG262" s="661"/>
      <c r="BH262" s="608"/>
    </row>
    <row r="263" spans="1:60" s="584" customFormat="1" ht="15" thickBot="1">
      <c r="A263" s="597"/>
      <c r="D263" s="1887" t="s">
        <v>33</v>
      </c>
      <c r="E263" s="1887"/>
      <c r="F263" s="1887"/>
      <c r="G263" s="1887"/>
      <c r="H263" s="1887"/>
      <c r="I263" s="1887"/>
      <c r="J263" s="1887"/>
      <c r="K263" s="1887"/>
      <c r="L263" s="1887"/>
      <c r="M263" s="1887"/>
      <c r="N263" s="1887"/>
      <c r="O263" s="1887"/>
      <c r="P263" s="1887"/>
      <c r="Q263" s="1887"/>
      <c r="R263" s="1887"/>
      <c r="S263" s="1887"/>
      <c r="T263" s="1887"/>
      <c r="U263" s="1887"/>
      <c r="V263" s="1887"/>
      <c r="W263" s="1887"/>
      <c r="X263" s="1887"/>
      <c r="Y263" s="1887"/>
      <c r="Z263" s="1887"/>
      <c r="AA263" s="1887"/>
      <c r="AB263" s="1887"/>
      <c r="AC263" s="1887"/>
      <c r="AD263" s="1887"/>
      <c r="AE263" s="1887"/>
      <c r="AF263" s="1887"/>
      <c r="AG263" s="1887"/>
      <c r="AH263" s="605"/>
      <c r="AI263" s="606"/>
      <c r="AJ263" s="607"/>
      <c r="AK263" s="607"/>
      <c r="AL263" s="607"/>
      <c r="AM263" s="607"/>
      <c r="AN263" s="607"/>
      <c r="AO263" s="607"/>
      <c r="AP263" s="608"/>
      <c r="AQ263" s="18"/>
      <c r="BA263" s="606"/>
      <c r="BB263" s="607"/>
      <c r="BC263" s="607"/>
      <c r="BD263" s="607"/>
      <c r="BE263" s="607"/>
      <c r="BF263" s="607"/>
      <c r="BG263" s="607"/>
      <c r="BH263" s="619"/>
    </row>
    <row r="264" spans="1:60" s="584" customFormat="1" ht="21.75" customHeight="1">
      <c r="A264" s="597"/>
      <c r="D264" s="1903" t="s">
        <v>32</v>
      </c>
      <c r="E264" s="1904"/>
      <c r="F264" s="1904"/>
      <c r="G264" s="1904"/>
      <c r="H264" s="1904"/>
      <c r="I264" s="1905"/>
      <c r="J264" s="1872">
        <v>0</v>
      </c>
      <c r="K264" s="1873"/>
      <c r="L264" s="1874"/>
      <c r="M264" s="1872">
        <v>0</v>
      </c>
      <c r="N264" s="1873"/>
      <c r="O264" s="1874"/>
      <c r="P264" s="1872">
        <v>0</v>
      </c>
      <c r="Q264" s="1873"/>
      <c r="R264" s="1874"/>
      <c r="S264" s="1872">
        <v>0</v>
      </c>
      <c r="T264" s="1873"/>
      <c r="U264" s="1874"/>
      <c r="V264" s="1872">
        <v>0</v>
      </c>
      <c r="W264" s="1873"/>
      <c r="X264" s="1874"/>
      <c r="Y264" s="1872">
        <v>0</v>
      </c>
      <c r="Z264" s="1873"/>
      <c r="AA264" s="1874"/>
      <c r="AB264" s="1872">
        <v>0</v>
      </c>
      <c r="AC264" s="1873"/>
      <c r="AD264" s="1874"/>
      <c r="AE264" s="1906">
        <f>SUM(J264:AD264)</f>
        <v>0</v>
      </c>
      <c r="AF264" s="1907"/>
      <c r="AG264" s="1908"/>
      <c r="AI264" s="606"/>
      <c r="AJ264" s="607"/>
      <c r="AK264" s="607"/>
      <c r="AL264" s="607"/>
      <c r="AM264" s="607"/>
      <c r="AN264" s="607"/>
      <c r="AO264" s="607"/>
      <c r="AP264" s="608">
        <f>SUM(J264:AD264)-AE264</f>
        <v>0</v>
      </c>
      <c r="AQ264" s="18"/>
      <c r="BA264" s="606"/>
      <c r="BB264" s="607"/>
      <c r="BC264" s="607"/>
      <c r="BD264" s="607"/>
      <c r="BE264" s="607"/>
      <c r="BF264" s="607"/>
      <c r="BG264" s="607"/>
      <c r="BH264" s="619"/>
    </row>
    <row r="265" spans="1:60" s="584" customFormat="1">
      <c r="A265" s="597"/>
      <c r="D265" s="1890" t="s">
        <v>27</v>
      </c>
      <c r="E265" s="1891"/>
      <c r="F265" s="1891"/>
      <c r="G265" s="1891"/>
      <c r="H265" s="1891"/>
      <c r="I265" s="1892"/>
      <c r="J265" s="1893">
        <v>0</v>
      </c>
      <c r="K265" s="1894"/>
      <c r="L265" s="1895"/>
      <c r="M265" s="1893">
        <v>0</v>
      </c>
      <c r="N265" s="1894"/>
      <c r="O265" s="1895"/>
      <c r="P265" s="1893">
        <v>0</v>
      </c>
      <c r="Q265" s="1894"/>
      <c r="R265" s="1895"/>
      <c r="S265" s="1893">
        <v>0</v>
      </c>
      <c r="T265" s="1894"/>
      <c r="U265" s="1895"/>
      <c r="V265" s="1893">
        <v>0</v>
      </c>
      <c r="W265" s="1894"/>
      <c r="X265" s="1895"/>
      <c r="Y265" s="1893">
        <v>0</v>
      </c>
      <c r="Z265" s="1894"/>
      <c r="AA265" s="1895"/>
      <c r="AB265" s="1893">
        <v>0</v>
      </c>
      <c r="AC265" s="1894"/>
      <c r="AD265" s="1895"/>
      <c r="AE265" s="1896">
        <f>SUM(J265:AD265)</f>
        <v>0</v>
      </c>
      <c r="AF265" s="1897"/>
      <c r="AG265" s="1898"/>
      <c r="AI265" s="606"/>
      <c r="AJ265" s="607"/>
      <c r="AK265" s="607"/>
      <c r="AL265" s="607"/>
      <c r="AM265" s="607"/>
      <c r="AN265" s="607"/>
      <c r="AO265" s="607"/>
      <c r="AP265" s="608">
        <f t="shared" ref="AP265:AP266" si="42">SUM(J265:AD265)-AE265</f>
        <v>0</v>
      </c>
      <c r="AQ265" s="18"/>
      <c r="BA265" s="606"/>
      <c r="BB265" s="607"/>
      <c r="BC265" s="607"/>
      <c r="BD265" s="607"/>
      <c r="BE265" s="607"/>
      <c r="BF265" s="607"/>
      <c r="BG265" s="607"/>
      <c r="BH265" s="619"/>
    </row>
    <row r="266" spans="1:60" s="584" customFormat="1">
      <c r="A266" s="597"/>
      <c r="D266" s="1890" t="s">
        <v>28</v>
      </c>
      <c r="E266" s="1891"/>
      <c r="F266" s="1891"/>
      <c r="G266" s="1891"/>
      <c r="H266" s="1891"/>
      <c r="I266" s="1892"/>
      <c r="J266" s="1893">
        <v>0</v>
      </c>
      <c r="K266" s="1894"/>
      <c r="L266" s="1895"/>
      <c r="M266" s="1893">
        <v>0</v>
      </c>
      <c r="N266" s="1894"/>
      <c r="O266" s="1895"/>
      <c r="P266" s="1893">
        <v>0</v>
      </c>
      <c r="Q266" s="1894"/>
      <c r="R266" s="1895"/>
      <c r="S266" s="1893">
        <v>0</v>
      </c>
      <c r="T266" s="1894"/>
      <c r="U266" s="1895"/>
      <c r="V266" s="1893">
        <v>0</v>
      </c>
      <c r="W266" s="1894"/>
      <c r="X266" s="1895"/>
      <c r="Y266" s="1893">
        <v>0</v>
      </c>
      <c r="Z266" s="1894"/>
      <c r="AA266" s="1895"/>
      <c r="AB266" s="1893">
        <v>0</v>
      </c>
      <c r="AC266" s="1894"/>
      <c r="AD266" s="1895"/>
      <c r="AE266" s="1896">
        <f>SUM(J265:AD265)</f>
        <v>0</v>
      </c>
      <c r="AF266" s="1897"/>
      <c r="AG266" s="1898"/>
      <c r="AI266" s="606"/>
      <c r="AJ266" s="607"/>
      <c r="AK266" s="607"/>
      <c r="AL266" s="607"/>
      <c r="AM266" s="607"/>
      <c r="AN266" s="607"/>
      <c r="AO266" s="607"/>
      <c r="AP266" s="608">
        <f t="shared" si="42"/>
        <v>0</v>
      </c>
      <c r="AQ266" s="18"/>
      <c r="BA266" s="606"/>
      <c r="BB266" s="607"/>
      <c r="BC266" s="607"/>
      <c r="BD266" s="607"/>
      <c r="BE266" s="607"/>
      <c r="BF266" s="607"/>
      <c r="BG266" s="607"/>
      <c r="BH266" s="619"/>
    </row>
    <row r="267" spans="1:60" s="584" customFormat="1">
      <c r="A267" s="597"/>
      <c r="D267" s="1902" t="s">
        <v>29</v>
      </c>
      <c r="E267" s="1902"/>
      <c r="F267" s="1902"/>
      <c r="G267" s="1902"/>
      <c r="H267" s="1902"/>
      <c r="I267" s="1902"/>
      <c r="J267" s="1842">
        <v>0</v>
      </c>
      <c r="K267" s="1842"/>
      <c r="L267" s="1842"/>
      <c r="M267" s="1842">
        <v>0</v>
      </c>
      <c r="N267" s="1842"/>
      <c r="O267" s="1842"/>
      <c r="P267" s="1842">
        <v>0</v>
      </c>
      <c r="Q267" s="1842"/>
      <c r="R267" s="1842"/>
      <c r="S267" s="1842">
        <v>0</v>
      </c>
      <c r="T267" s="1842"/>
      <c r="U267" s="1842"/>
      <c r="V267" s="1842">
        <v>0</v>
      </c>
      <c r="W267" s="1842"/>
      <c r="X267" s="1842"/>
      <c r="Y267" s="1842">
        <v>0</v>
      </c>
      <c r="Z267" s="1842"/>
      <c r="AA267" s="1842"/>
      <c r="AB267" s="1842">
        <v>0</v>
      </c>
      <c r="AC267" s="1842"/>
      <c r="AD267" s="1842"/>
      <c r="AE267" s="1843">
        <f>SUM(J267:AD267)</f>
        <v>0</v>
      </c>
      <c r="AF267" s="1843"/>
      <c r="AG267" s="1843"/>
      <c r="AI267" s="606"/>
      <c r="AJ267" s="607"/>
      <c r="AK267" s="607"/>
      <c r="AL267" s="607"/>
      <c r="AM267" s="607"/>
      <c r="AN267" s="607"/>
      <c r="AO267" s="607"/>
      <c r="AP267" s="608">
        <f>SUM(J267:AD267)-AE267</f>
        <v>0</v>
      </c>
      <c r="AQ267" s="18"/>
      <c r="BA267" s="606"/>
      <c r="BB267" s="607"/>
      <c r="BC267" s="607"/>
      <c r="BD267" s="607"/>
      <c r="BE267" s="607"/>
      <c r="BF267" s="607"/>
      <c r="BG267" s="607"/>
      <c r="BH267" s="619"/>
    </row>
    <row r="268" spans="1:60" s="584" customFormat="1" ht="21.75" customHeight="1" thickBot="1">
      <c r="A268" s="597"/>
      <c r="D268" s="1899" t="s">
        <v>30</v>
      </c>
      <c r="E268" s="1900"/>
      <c r="F268" s="1900"/>
      <c r="G268" s="1900"/>
      <c r="H268" s="1900"/>
      <c r="I268" s="1901"/>
      <c r="J268" s="1889">
        <f>J264+J265-J266+J267</f>
        <v>0</v>
      </c>
      <c r="K268" s="1889"/>
      <c r="L268" s="1889"/>
      <c r="M268" s="1889">
        <f t="shared" ref="M268" si="43">M264+M265-M266+M267</f>
        <v>0</v>
      </c>
      <c r="N268" s="1889"/>
      <c r="O268" s="1889"/>
      <c r="P268" s="1889">
        <f t="shared" ref="P268" si="44">P264+P265-P266+P267</f>
        <v>0</v>
      </c>
      <c r="Q268" s="1889"/>
      <c r="R268" s="1889"/>
      <c r="S268" s="1889">
        <f t="shared" ref="S268" si="45">S264+S265-S266+S267</f>
        <v>0</v>
      </c>
      <c r="T268" s="1889"/>
      <c r="U268" s="1889"/>
      <c r="V268" s="1889">
        <f t="shared" ref="V268" si="46">V264+V265-V266+V267</f>
        <v>0</v>
      </c>
      <c r="W268" s="1889"/>
      <c r="X268" s="1889"/>
      <c r="Y268" s="1889">
        <f t="shared" ref="Y268" si="47">Y264+Y265-Y266+Y267</f>
        <v>0</v>
      </c>
      <c r="Z268" s="1889"/>
      <c r="AA268" s="1889"/>
      <c r="AB268" s="1889">
        <f t="shared" ref="AB268" si="48">AB264+AB265-AB266+AB267</f>
        <v>0</v>
      </c>
      <c r="AC268" s="1889"/>
      <c r="AD268" s="1889"/>
      <c r="AE268" s="1889">
        <f t="shared" ref="AE268" si="49">AE264+AE265-AE266+AE267</f>
        <v>0</v>
      </c>
      <c r="AF268" s="1889"/>
      <c r="AG268" s="1889"/>
      <c r="AI268" s="621">
        <f>J264+J265-J266+J267-J268</f>
        <v>0</v>
      </c>
      <c r="AJ268" s="661">
        <f>M264+M265-M266+M267-M268</f>
        <v>0</v>
      </c>
      <c r="AK268" s="661">
        <f>P264+P265-P266+P267-P268</f>
        <v>0</v>
      </c>
      <c r="AL268" s="661">
        <f>S264+S265-S266+S267-S268</f>
        <v>0</v>
      </c>
      <c r="AM268" s="661">
        <f>V264+V265-V266+V267-V268</f>
        <v>0</v>
      </c>
      <c r="AN268" s="661">
        <f>Y264+Y265-Y266+Y267-Y268</f>
        <v>0</v>
      </c>
      <c r="AO268" s="661">
        <f>AB264+AB265-AB266+AB267-AB268</f>
        <v>0</v>
      </c>
      <c r="AP268" s="608">
        <f>AE264+AE265-AE266+AE267-AE268</f>
        <v>0</v>
      </c>
      <c r="AQ268" s="18"/>
      <c r="BA268" s="606"/>
      <c r="BB268" s="607"/>
      <c r="BC268" s="607"/>
      <c r="BD268" s="607"/>
      <c r="BE268" s="607"/>
      <c r="BF268" s="607"/>
      <c r="BG268" s="607"/>
      <c r="BH268" s="619"/>
    </row>
    <row r="269" spans="1:60" s="584" customFormat="1" ht="15" thickBot="1">
      <c r="A269" s="597"/>
      <c r="D269" s="1887" t="s">
        <v>34</v>
      </c>
      <c r="E269" s="1887"/>
      <c r="F269" s="1887"/>
      <c r="G269" s="1887"/>
      <c r="H269" s="1887"/>
      <c r="I269" s="1887"/>
      <c r="J269" s="1887"/>
      <c r="K269" s="1887"/>
      <c r="L269" s="1887"/>
      <c r="M269" s="1887"/>
      <c r="N269" s="1887"/>
      <c r="O269" s="1887"/>
      <c r="P269" s="1887"/>
      <c r="Q269" s="1887"/>
      <c r="R269" s="1887"/>
      <c r="S269" s="1887"/>
      <c r="T269" s="1887"/>
      <c r="U269" s="1887"/>
      <c r="V269" s="1887"/>
      <c r="W269" s="1887"/>
      <c r="X269" s="1887"/>
      <c r="Y269" s="1887"/>
      <c r="Z269" s="1887"/>
      <c r="AA269" s="1887"/>
      <c r="AB269" s="1887"/>
      <c r="AC269" s="1887"/>
      <c r="AD269" s="1887"/>
      <c r="AE269" s="1887"/>
      <c r="AF269" s="1887"/>
      <c r="AG269" s="1887"/>
      <c r="AH269" s="605"/>
      <c r="AI269" s="606"/>
      <c r="AJ269" s="607"/>
      <c r="AK269" s="607"/>
      <c r="AL269" s="607"/>
      <c r="AM269" s="607"/>
      <c r="AN269" s="607"/>
      <c r="AO269" s="607"/>
      <c r="AP269" s="608"/>
      <c r="AQ269" s="18"/>
      <c r="BA269" s="606"/>
      <c r="BB269" s="607"/>
      <c r="BC269" s="607"/>
      <c r="BD269" s="607"/>
      <c r="BE269" s="607"/>
      <c r="BF269" s="607"/>
      <c r="BG269" s="607"/>
      <c r="BH269" s="619"/>
    </row>
    <row r="270" spans="1:60" s="584" customFormat="1" ht="21.75" customHeight="1">
      <c r="A270" s="597"/>
      <c r="D270" s="1832" t="s">
        <v>32</v>
      </c>
      <c r="E270" s="1832"/>
      <c r="F270" s="1832"/>
      <c r="G270" s="1832"/>
      <c r="H270" s="1832"/>
      <c r="I270" s="1832"/>
      <c r="J270" s="1888">
        <f>J252-J258-J264</f>
        <v>39396</v>
      </c>
      <c r="K270" s="1888"/>
      <c r="L270" s="1888"/>
      <c r="M270" s="1888">
        <f>M252-M258-M264</f>
        <v>0</v>
      </c>
      <c r="N270" s="1888"/>
      <c r="O270" s="1888"/>
      <c r="P270" s="1888">
        <f>P252-P258-P264</f>
        <v>0</v>
      </c>
      <c r="Q270" s="1888"/>
      <c r="R270" s="1888"/>
      <c r="S270" s="1888">
        <f>S252-S258-S264</f>
        <v>2132884</v>
      </c>
      <c r="T270" s="1888"/>
      <c r="U270" s="1888"/>
      <c r="V270" s="1888">
        <f>V252-V258-V264</f>
        <v>0</v>
      </c>
      <c r="W270" s="1888"/>
      <c r="X270" s="1888"/>
      <c r="Y270" s="1888">
        <f>Y252-Y258-Y264</f>
        <v>0</v>
      </c>
      <c r="Z270" s="1888"/>
      <c r="AA270" s="1888"/>
      <c r="AB270" s="1888">
        <f>AB252-AB258-AB264</f>
        <v>0</v>
      </c>
      <c r="AC270" s="1888"/>
      <c r="AD270" s="1888"/>
      <c r="AE270" s="1888">
        <f>AE252-AE258-AE264</f>
        <v>2172280</v>
      </c>
      <c r="AF270" s="1888"/>
      <c r="AG270" s="1888"/>
      <c r="AI270" s="621">
        <f>J252-J258-J264-J270</f>
        <v>0</v>
      </c>
      <c r="AJ270" s="661">
        <f>M252-M258-M264-M270</f>
        <v>0</v>
      </c>
      <c r="AK270" s="661">
        <f>P252-P258-P264-P270</f>
        <v>0</v>
      </c>
      <c r="AL270" s="661">
        <f>S252-S258-S264-S270</f>
        <v>0</v>
      </c>
      <c r="AM270" s="661">
        <f>V252-V258-V264-V270</f>
        <v>0</v>
      </c>
      <c r="AN270" s="661">
        <f>Y252-Y258-Y264-Y270</f>
        <v>0</v>
      </c>
      <c r="AO270" s="661">
        <f>AB252-AB258-AB264-AB270</f>
        <v>0</v>
      </c>
      <c r="AP270" s="608">
        <f>SUM(J270:AD270)-AE270</f>
        <v>0</v>
      </c>
      <c r="AQ270" s="18"/>
      <c r="BA270" s="606"/>
      <c r="BB270" s="607"/>
      <c r="BC270" s="607"/>
      <c r="BD270" s="607"/>
      <c r="BE270" s="607"/>
      <c r="BF270" s="607"/>
      <c r="BG270" s="607"/>
      <c r="BH270" s="619"/>
    </row>
    <row r="271" spans="1:60" s="584" customFormat="1" ht="21.75" customHeight="1" thickBot="1">
      <c r="A271" s="597"/>
      <c r="D271" s="1821" t="s">
        <v>30</v>
      </c>
      <c r="E271" s="1821"/>
      <c r="F271" s="1821"/>
      <c r="G271" s="1821"/>
      <c r="H271" s="1821"/>
      <c r="I271" s="1821"/>
      <c r="J271" s="1889">
        <f>J256-J262-J268</f>
        <v>31512</v>
      </c>
      <c r="K271" s="1889"/>
      <c r="L271" s="1889"/>
      <c r="M271" s="1889">
        <f>M256-M262-M268</f>
        <v>0</v>
      </c>
      <c r="N271" s="1889"/>
      <c r="O271" s="1889"/>
      <c r="P271" s="1889">
        <f>P256-P262-P268</f>
        <v>0</v>
      </c>
      <c r="Q271" s="1889"/>
      <c r="R271" s="1889"/>
      <c r="S271" s="1889">
        <f>S256-S262-S268</f>
        <v>1816804</v>
      </c>
      <c r="T271" s="1889"/>
      <c r="U271" s="1889"/>
      <c r="V271" s="1889">
        <f>V256-V262-V268</f>
        <v>0</v>
      </c>
      <c r="W271" s="1889"/>
      <c r="X271" s="1889"/>
      <c r="Y271" s="1889">
        <f>Y256-Y262-Y268</f>
        <v>0</v>
      </c>
      <c r="Z271" s="1889"/>
      <c r="AA271" s="1889"/>
      <c r="AB271" s="1889">
        <f>AB256-AB262-AB268</f>
        <v>0</v>
      </c>
      <c r="AC271" s="1889"/>
      <c r="AD271" s="1889"/>
      <c r="AE271" s="1889">
        <f>AE256-AE262-AE268</f>
        <v>1848316</v>
      </c>
      <c r="AF271" s="1889"/>
      <c r="AG271" s="1889"/>
      <c r="AI271" s="609">
        <f>J256-J262-J268-J271</f>
        <v>0</v>
      </c>
      <c r="AJ271" s="610">
        <f>M256-M262-M268-M271</f>
        <v>0</v>
      </c>
      <c r="AK271" s="610">
        <f>P256-P262-P268-P271</f>
        <v>0</v>
      </c>
      <c r="AL271" s="610">
        <f>S256-S262-S268-S271</f>
        <v>0</v>
      </c>
      <c r="AM271" s="610">
        <f>V256-V262-V268-V271</f>
        <v>0</v>
      </c>
      <c r="AN271" s="610">
        <f>Y256-Y262-Y268-Y271</f>
        <v>0</v>
      </c>
      <c r="AO271" s="610">
        <f>AB256-AB262-AB268-AB271</f>
        <v>0</v>
      </c>
      <c r="AP271" s="611">
        <f>SUM(J271:AD271)-AE271</f>
        <v>0</v>
      </c>
      <c r="AQ271" s="18"/>
      <c r="BA271" s="609">
        <f>J271-BS!$G$13</f>
        <v>0</v>
      </c>
      <c r="BB271" s="610">
        <f>M271-BS!$G$14</f>
        <v>0</v>
      </c>
      <c r="BC271" s="610">
        <f>P271-BS!$G$15</f>
        <v>0</v>
      </c>
      <c r="BD271" s="610">
        <f>S271-BS!$G$16</f>
        <v>0</v>
      </c>
      <c r="BE271" s="610">
        <f>V271-BS!$G$17</f>
        <v>0</v>
      </c>
      <c r="BF271" s="610">
        <f>Y271-BS!$G$18</f>
        <v>0</v>
      </c>
      <c r="BG271" s="610">
        <f>AB271-BS!$G$19</f>
        <v>0</v>
      </c>
      <c r="BH271" s="611">
        <f>AE271-BS!$G$12</f>
        <v>0</v>
      </c>
    </row>
    <row r="272" spans="1:60" s="584" customFormat="1">
      <c r="A272" s="597"/>
      <c r="D272" s="773"/>
      <c r="E272" s="773"/>
      <c r="F272" s="773"/>
      <c r="G272" s="773"/>
      <c r="AI272" s="18"/>
      <c r="AJ272" s="18"/>
      <c r="AK272" s="18"/>
      <c r="AL272" s="18"/>
      <c r="AM272" s="18"/>
      <c r="AN272" s="18"/>
      <c r="AO272" s="18"/>
      <c r="AP272" s="18"/>
      <c r="AQ272" s="18"/>
    </row>
    <row r="273" spans="1:63" s="584" customFormat="1">
      <c r="A273" s="597"/>
      <c r="D273" s="773"/>
      <c r="E273" s="773"/>
      <c r="F273" s="773"/>
      <c r="G273" s="773"/>
      <c r="AI273" s="18"/>
      <c r="AJ273" s="18"/>
      <c r="AK273" s="18"/>
      <c r="AL273" s="18"/>
      <c r="AM273" s="18"/>
      <c r="AN273" s="18"/>
      <c r="AO273" s="18"/>
      <c r="AP273" s="18"/>
      <c r="AQ273" s="18"/>
    </row>
    <row r="274" spans="1:63" s="584" customFormat="1">
      <c r="A274" s="597"/>
      <c r="D274" s="773"/>
      <c r="E274" s="773"/>
      <c r="F274" s="773"/>
      <c r="G274" s="773"/>
      <c r="AI274" s="18"/>
      <c r="AJ274" s="18"/>
      <c r="AK274" s="18"/>
      <c r="AL274" s="18"/>
      <c r="AM274" s="18"/>
      <c r="AN274" s="18"/>
      <c r="AO274" s="18"/>
      <c r="AP274" s="18"/>
      <c r="AQ274" s="18"/>
    </row>
    <row r="275" spans="1:63" s="584" customFormat="1" ht="15" thickBot="1">
      <c r="A275" s="597"/>
      <c r="AI275" s="18"/>
      <c r="AJ275" s="18"/>
      <c r="AK275" s="18"/>
      <c r="AL275" s="18"/>
      <c r="AM275" s="18"/>
      <c r="AN275" s="18"/>
      <c r="AO275" s="18"/>
      <c r="AP275" s="18"/>
      <c r="AQ275" s="18"/>
    </row>
    <row r="276" spans="1:63" s="584" customFormat="1" ht="31.5" customHeight="1" thickBot="1">
      <c r="A276" s="597"/>
      <c r="D276" s="1859" t="s">
        <v>20</v>
      </c>
      <c r="E276" s="1859"/>
      <c r="F276" s="1859"/>
      <c r="G276" s="1859"/>
      <c r="H276" s="1859"/>
      <c r="I276" s="1859"/>
      <c r="J276" s="1859"/>
      <c r="K276" s="1859"/>
      <c r="L276" s="1859"/>
      <c r="M276" s="1859"/>
      <c r="N276" s="1859"/>
      <c r="O276" s="1859"/>
      <c r="P276" s="1859"/>
      <c r="Q276" s="1859"/>
      <c r="R276" s="1859"/>
      <c r="S276" s="1859" t="s">
        <v>36</v>
      </c>
      <c r="T276" s="1859"/>
      <c r="U276" s="1859"/>
      <c r="V276" s="1859"/>
      <c r="W276" s="1859"/>
      <c r="X276" s="1859"/>
      <c r="Y276" s="1859"/>
      <c r="Z276" s="1859"/>
      <c r="AA276" s="1859"/>
      <c r="AB276" s="1859"/>
      <c r="AC276" s="1859"/>
      <c r="AD276" s="1859"/>
      <c r="AE276" s="1859"/>
      <c r="AF276" s="1859"/>
      <c r="AG276" s="1859"/>
      <c r="AI276" s="18"/>
      <c r="AJ276" s="18"/>
      <c r="AK276" s="18"/>
      <c r="AL276" s="18"/>
      <c r="AM276" s="18"/>
      <c r="AN276" s="18"/>
      <c r="AO276" s="18"/>
      <c r="AP276" s="18"/>
      <c r="AQ276" s="18"/>
    </row>
    <row r="277" spans="1:63" s="584" customFormat="1" ht="31.5" customHeight="1">
      <c r="A277" s="597"/>
      <c r="D277" s="2086" t="s">
        <v>37</v>
      </c>
      <c r="E277" s="2086"/>
      <c r="F277" s="2086"/>
      <c r="G277" s="2086"/>
      <c r="H277" s="2086"/>
      <c r="I277" s="2086"/>
      <c r="J277" s="2086"/>
      <c r="K277" s="2086"/>
      <c r="L277" s="2086"/>
      <c r="M277" s="2086"/>
      <c r="N277" s="2086"/>
      <c r="O277" s="2086"/>
      <c r="P277" s="2086"/>
      <c r="Q277" s="2086"/>
      <c r="R277" s="2086"/>
      <c r="S277" s="2226" t="s">
        <v>1339</v>
      </c>
      <c r="T277" s="2227"/>
      <c r="U277" s="2227"/>
      <c r="V277" s="2227"/>
      <c r="W277" s="2227"/>
      <c r="X277" s="2227"/>
      <c r="Y277" s="2227"/>
      <c r="Z277" s="2227"/>
      <c r="AA277" s="2227"/>
      <c r="AB277" s="2227"/>
      <c r="AC277" s="2227"/>
      <c r="AD277" s="2227"/>
      <c r="AE277" s="2227"/>
      <c r="AF277" s="2227"/>
      <c r="AG277" s="2227"/>
      <c r="AI277" s="18"/>
      <c r="AJ277" s="18"/>
      <c r="AK277" s="18"/>
      <c r="AL277" s="18"/>
      <c r="AM277" s="18"/>
      <c r="AN277" s="18"/>
      <c r="AO277" s="18"/>
      <c r="AP277" s="18"/>
      <c r="AQ277" s="18"/>
    </row>
    <row r="278" spans="1:63" s="584" customFormat="1" ht="31.5" customHeight="1" thickBot="1">
      <c r="A278" s="597"/>
      <c r="D278" s="1942" t="s">
        <v>38</v>
      </c>
      <c r="E278" s="1942"/>
      <c r="F278" s="1942"/>
      <c r="G278" s="1942"/>
      <c r="H278" s="1942"/>
      <c r="I278" s="1942"/>
      <c r="J278" s="1942"/>
      <c r="K278" s="1942"/>
      <c r="L278" s="1942"/>
      <c r="M278" s="1942"/>
      <c r="N278" s="1942"/>
      <c r="O278" s="1942"/>
      <c r="P278" s="1942"/>
      <c r="Q278" s="1942"/>
      <c r="R278" s="1942"/>
      <c r="S278" s="2245" t="s">
        <v>1339</v>
      </c>
      <c r="T278" s="2246"/>
      <c r="U278" s="2246"/>
      <c r="V278" s="2246"/>
      <c r="W278" s="2246"/>
      <c r="X278" s="2246"/>
      <c r="Y278" s="2246"/>
      <c r="Z278" s="2246"/>
      <c r="AA278" s="2246"/>
      <c r="AB278" s="2246"/>
      <c r="AC278" s="2246"/>
      <c r="AD278" s="2246"/>
      <c r="AE278" s="2246"/>
      <c r="AF278" s="2246"/>
      <c r="AG278" s="2246"/>
      <c r="AI278" s="18"/>
      <c r="AJ278" s="18"/>
      <c r="AK278" s="18"/>
      <c r="AL278" s="18"/>
      <c r="AM278" s="18"/>
      <c r="AN278" s="18"/>
      <c r="AO278" s="18"/>
      <c r="AP278" s="18"/>
      <c r="AQ278" s="18"/>
    </row>
    <row r="279" spans="1:63" s="584" customFormat="1">
      <c r="A279" s="597"/>
      <c r="AI279" s="18"/>
      <c r="AJ279" s="18"/>
      <c r="AK279" s="18"/>
      <c r="AL279" s="18"/>
      <c r="AM279" s="18"/>
      <c r="AN279" s="18"/>
      <c r="AO279" s="18"/>
      <c r="AP279" s="18"/>
      <c r="AQ279" s="18"/>
    </row>
    <row r="280" spans="1:63" s="584" customFormat="1" ht="40.5" customHeight="1">
      <c r="A280" s="597"/>
      <c r="D280" s="1884" t="s">
        <v>2930</v>
      </c>
      <c r="E280" s="1885"/>
      <c r="F280" s="1885"/>
      <c r="G280" s="1885"/>
      <c r="H280" s="1885"/>
      <c r="I280" s="1885"/>
      <c r="J280" s="1885"/>
      <c r="K280" s="1885"/>
      <c r="L280" s="1885"/>
      <c r="M280" s="1885"/>
      <c r="N280" s="1885"/>
      <c r="O280" s="1885"/>
      <c r="P280" s="1885"/>
      <c r="Q280" s="1885"/>
      <c r="R280" s="1885"/>
      <c r="S280" s="1885"/>
      <c r="T280" s="1885"/>
      <c r="U280" s="1885"/>
      <c r="V280" s="1885"/>
      <c r="W280" s="1885"/>
      <c r="X280" s="1885"/>
      <c r="Y280" s="1885"/>
      <c r="Z280" s="1885"/>
      <c r="AA280" s="1885"/>
      <c r="AB280" s="1885"/>
      <c r="AC280" s="1885"/>
      <c r="AD280" s="1885"/>
      <c r="AE280" s="1885"/>
      <c r="AF280" s="1885"/>
      <c r="AG280" s="1885"/>
      <c r="AI280" s="18"/>
      <c r="AJ280" s="18"/>
      <c r="AK280" s="18"/>
      <c r="AL280" s="18"/>
      <c r="AM280" s="18"/>
      <c r="AN280" s="18"/>
      <c r="AO280" s="18"/>
      <c r="AP280" s="18"/>
      <c r="AQ280" s="18"/>
    </row>
    <row r="281" spans="1:63" s="584" customFormat="1" ht="71.25" customHeight="1">
      <c r="A281" s="597"/>
      <c r="D281" s="2083" t="s">
        <v>2892</v>
      </c>
      <c r="E281" s="2083"/>
      <c r="F281" s="2083"/>
      <c r="G281" s="2083"/>
      <c r="H281" s="2083"/>
      <c r="I281" s="2083"/>
      <c r="J281" s="2083"/>
      <c r="K281" s="2083"/>
      <c r="L281" s="2083"/>
      <c r="M281" s="2083"/>
      <c r="N281" s="2083"/>
      <c r="O281" s="2083"/>
      <c r="P281" s="2083"/>
      <c r="Q281" s="2083"/>
      <c r="R281" s="2083"/>
      <c r="S281" s="2083"/>
      <c r="T281" s="2083"/>
      <c r="U281" s="2083"/>
      <c r="V281" s="2083"/>
      <c r="W281" s="2083"/>
      <c r="X281" s="2083"/>
      <c r="Y281" s="2083"/>
      <c r="Z281" s="2083"/>
      <c r="AA281" s="2083"/>
      <c r="AB281" s="2083"/>
      <c r="AC281" s="2083"/>
      <c r="AD281" s="2083"/>
      <c r="AE281" s="2083"/>
      <c r="AF281" s="2083"/>
      <c r="AG281" s="2083"/>
      <c r="AI281" s="18"/>
      <c r="AJ281" s="18"/>
      <c r="AK281" s="18"/>
      <c r="AL281" s="18"/>
      <c r="AM281" s="18"/>
      <c r="AN281" s="18"/>
      <c r="AO281" s="18"/>
      <c r="AP281" s="18"/>
      <c r="AQ281" s="18"/>
    </row>
    <row r="282" spans="1:63" s="584" customFormat="1">
      <c r="A282" s="597"/>
      <c r="D282" s="1886" t="s">
        <v>2746</v>
      </c>
      <c r="E282" s="1886"/>
      <c r="F282" s="1886"/>
      <c r="G282" s="1886"/>
      <c r="H282" s="1886"/>
      <c r="I282" s="1886"/>
      <c r="J282" s="1886"/>
      <c r="K282" s="1886"/>
      <c r="L282" s="1886"/>
      <c r="M282" s="1886"/>
      <c r="N282" s="1886"/>
      <c r="O282" s="1886"/>
      <c r="P282" s="1886"/>
      <c r="Q282" s="1886"/>
      <c r="R282" s="1886"/>
      <c r="S282" s="1886"/>
      <c r="T282" s="1886"/>
      <c r="U282" s="1886"/>
      <c r="V282" s="1886"/>
      <c r="W282" s="1886"/>
      <c r="X282" s="1886"/>
      <c r="Y282" s="1886"/>
      <c r="Z282" s="1886"/>
      <c r="AA282" s="1886"/>
      <c r="AB282" s="1886"/>
      <c r="AC282" s="1886"/>
      <c r="AD282" s="1886"/>
      <c r="AE282" s="1886"/>
      <c r="AF282" s="1886"/>
      <c r="AG282" s="1886"/>
      <c r="AI282" s="18"/>
      <c r="AJ282" s="18"/>
      <c r="AK282" s="18"/>
      <c r="AL282" s="18"/>
      <c r="AM282" s="18"/>
      <c r="AN282" s="18"/>
      <c r="AO282" s="18"/>
      <c r="AP282" s="18"/>
      <c r="AQ282" s="18"/>
    </row>
    <row r="283" spans="1:63" s="601" customFormat="1">
      <c r="A283" s="1433"/>
      <c r="D283" s="1434"/>
      <c r="E283" s="1435"/>
      <c r="F283" s="1435"/>
      <c r="G283" s="1435"/>
      <c r="H283" s="1435"/>
      <c r="I283" s="1435"/>
      <c r="J283" s="1435"/>
      <c r="K283" s="1435"/>
      <c r="L283" s="1435"/>
      <c r="M283" s="1435"/>
      <c r="N283" s="1435"/>
      <c r="O283" s="1435"/>
      <c r="P283" s="1435"/>
      <c r="Q283" s="1435"/>
      <c r="R283" s="1435"/>
      <c r="S283" s="1435"/>
      <c r="T283" s="1435"/>
      <c r="U283" s="1435"/>
      <c r="V283" s="1435"/>
      <c r="W283" s="1435"/>
      <c r="X283" s="1435"/>
      <c r="Y283" s="1435"/>
      <c r="Z283" s="1435"/>
      <c r="AA283" s="1435"/>
      <c r="AB283" s="1435"/>
      <c r="AC283" s="1435"/>
      <c r="AD283" s="1435"/>
      <c r="AE283" s="1435"/>
      <c r="AF283" s="1435"/>
      <c r="AG283" s="1435"/>
      <c r="AI283" s="607"/>
      <c r="AJ283" s="607"/>
      <c r="AK283" s="607"/>
      <c r="AL283" s="607"/>
      <c r="AM283" s="607"/>
      <c r="AN283" s="607"/>
      <c r="AO283" s="607"/>
      <c r="AP283" s="607"/>
      <c r="AQ283" s="607"/>
    </row>
    <row r="284" spans="1:63" s="584" customFormat="1">
      <c r="A284" s="597"/>
      <c r="D284" s="582" t="s">
        <v>1404</v>
      </c>
      <c r="E284" s="766"/>
      <c r="F284" s="766"/>
      <c r="G284" s="766"/>
      <c r="H284" s="766"/>
      <c r="I284" s="766"/>
      <c r="J284" s="766"/>
      <c r="K284" s="766"/>
      <c r="L284" s="766"/>
      <c r="M284" s="766"/>
      <c r="N284" s="766"/>
      <c r="O284" s="766"/>
      <c r="P284" s="766"/>
      <c r="Q284" s="766"/>
      <c r="R284" s="766"/>
      <c r="S284" s="766"/>
      <c r="T284" s="766"/>
      <c r="U284" s="766"/>
      <c r="V284" s="766"/>
      <c r="W284" s="766"/>
      <c r="X284" s="766"/>
      <c r="Y284" s="766"/>
      <c r="Z284" s="766"/>
      <c r="AA284" s="766"/>
      <c r="AB284" s="766"/>
      <c r="AC284" s="766"/>
      <c r="AD284" s="766"/>
      <c r="AE284" s="766"/>
      <c r="AF284" s="766"/>
      <c r="AG284" s="766"/>
      <c r="AI284" s="18"/>
      <c r="AJ284" s="18"/>
      <c r="AK284" s="18"/>
      <c r="AL284" s="18"/>
      <c r="AM284" s="18"/>
      <c r="AN284" s="18"/>
      <c r="AO284" s="18"/>
      <c r="AP284" s="18"/>
      <c r="AQ284" s="18"/>
    </row>
    <row r="285" spans="1:63" s="584" customFormat="1">
      <c r="A285" s="597"/>
      <c r="E285" s="766"/>
      <c r="F285" s="766"/>
      <c r="G285" s="766"/>
      <c r="H285" s="766"/>
      <c r="I285" s="766"/>
      <c r="J285" s="766"/>
      <c r="K285" s="766"/>
      <c r="L285" s="766"/>
      <c r="M285" s="766"/>
      <c r="N285" s="766"/>
      <c r="O285" s="766"/>
      <c r="P285" s="766"/>
      <c r="Q285" s="766"/>
      <c r="R285" s="766"/>
      <c r="S285" s="766"/>
      <c r="T285" s="766"/>
      <c r="U285" s="766"/>
      <c r="V285" s="766"/>
      <c r="W285" s="766"/>
      <c r="X285" s="766"/>
      <c r="Y285" s="766"/>
      <c r="Z285" s="766"/>
      <c r="AA285" s="766"/>
      <c r="AB285" s="766"/>
      <c r="AC285" s="766"/>
      <c r="AD285" s="766"/>
      <c r="AE285" s="766"/>
      <c r="AF285" s="766"/>
      <c r="AG285" s="766"/>
      <c r="AI285" s="18"/>
      <c r="AJ285" s="18"/>
      <c r="AK285" s="18"/>
      <c r="AL285" s="18"/>
      <c r="AM285" s="18"/>
      <c r="AN285" s="18"/>
      <c r="AO285" s="18"/>
      <c r="AP285" s="18"/>
      <c r="AQ285" s="18"/>
    </row>
    <row r="286" spans="1:63" s="584" customFormat="1">
      <c r="A286" s="597"/>
      <c r="D286" s="774" t="s">
        <v>1405</v>
      </c>
      <c r="E286" s="766"/>
      <c r="F286" s="766"/>
      <c r="G286" s="766"/>
      <c r="H286" s="766"/>
      <c r="I286" s="766"/>
      <c r="J286" s="766"/>
      <c r="K286" s="766"/>
      <c r="L286" s="766"/>
      <c r="M286" s="766"/>
      <c r="N286" s="766"/>
      <c r="O286" s="766"/>
      <c r="P286" s="766"/>
      <c r="Q286" s="766"/>
      <c r="R286" s="766"/>
      <c r="S286" s="766"/>
      <c r="T286" s="766"/>
      <c r="U286" s="766"/>
      <c r="V286" s="766"/>
      <c r="W286" s="766"/>
      <c r="X286" s="766"/>
      <c r="Y286" s="766"/>
      <c r="Z286" s="766"/>
      <c r="AA286" s="766"/>
      <c r="AB286" s="766"/>
      <c r="AC286" s="766"/>
      <c r="AD286" s="766"/>
      <c r="AE286" s="766"/>
      <c r="AF286" s="766"/>
      <c r="AG286" s="766"/>
      <c r="AI286" s="18"/>
      <c r="AJ286" s="18"/>
      <c r="AK286" s="18"/>
      <c r="AL286" s="18"/>
      <c r="AM286" s="18"/>
      <c r="AN286" s="18"/>
      <c r="AO286" s="18"/>
      <c r="AP286" s="18"/>
      <c r="AQ286" s="18"/>
    </row>
    <row r="287" spans="1:63" s="584" customFormat="1" ht="15" thickBot="1">
      <c r="A287" s="597"/>
      <c r="D287" s="780"/>
      <c r="E287" s="766"/>
      <c r="F287" s="766"/>
      <c r="G287" s="766"/>
      <c r="H287" s="766"/>
      <c r="I287" s="766"/>
      <c r="J287" s="766"/>
      <c r="K287" s="766"/>
      <c r="L287" s="766"/>
      <c r="M287" s="766"/>
      <c r="N287" s="766"/>
      <c r="O287" s="766"/>
      <c r="P287" s="766"/>
      <c r="Q287" s="766"/>
      <c r="R287" s="766"/>
      <c r="S287" s="766"/>
      <c r="T287" s="766"/>
      <c r="U287" s="766"/>
      <c r="V287" s="766"/>
      <c r="W287" s="766"/>
      <c r="X287" s="766"/>
      <c r="Y287" s="766"/>
      <c r="Z287" s="766"/>
      <c r="AA287" s="766"/>
      <c r="AB287" s="766"/>
      <c r="AC287" s="766"/>
      <c r="AD287" s="766"/>
      <c r="AE287" s="766"/>
      <c r="AF287" s="766"/>
      <c r="AG287" s="766"/>
      <c r="AI287" s="1561" t="s">
        <v>1056</v>
      </c>
      <c r="AJ287" s="1561"/>
      <c r="AK287" s="1561"/>
      <c r="AL287" s="1561"/>
      <c r="AM287" s="1561"/>
      <c r="AN287" s="1561"/>
      <c r="AO287" s="1561"/>
      <c r="AP287" s="1561"/>
      <c r="AQ287" s="1561"/>
      <c r="AR287" s="607"/>
      <c r="AS287" s="1561" t="s">
        <v>1057</v>
      </c>
      <c r="AT287" s="1561"/>
      <c r="AU287" s="1561"/>
      <c r="AV287" s="1561"/>
      <c r="AW287" s="1561"/>
      <c r="AX287" s="1561"/>
      <c r="AY287" s="1561"/>
      <c r="AZ287" s="1561"/>
      <c r="BA287" s="1561"/>
      <c r="BB287" s="607"/>
      <c r="BC287" s="1561" t="s">
        <v>1058</v>
      </c>
      <c r="BD287" s="1561"/>
      <c r="BE287" s="1561"/>
      <c r="BF287" s="1561"/>
      <c r="BG287" s="1561"/>
      <c r="BH287" s="1561"/>
      <c r="BI287" s="1561"/>
      <c r="BJ287" s="1561"/>
      <c r="BK287" s="1561"/>
    </row>
    <row r="288" spans="1:63" s="584" customFormat="1" ht="15.75" customHeight="1" thickBot="1">
      <c r="A288" s="597"/>
      <c r="D288" s="1799" t="s">
        <v>40</v>
      </c>
      <c r="E288" s="1800"/>
      <c r="F288" s="1800"/>
      <c r="G288" s="1803"/>
      <c r="H288" s="1859" t="s">
        <v>2</v>
      </c>
      <c r="I288" s="1859"/>
      <c r="J288" s="1859"/>
      <c r="K288" s="1859"/>
      <c r="L288" s="1859"/>
      <c r="M288" s="1859"/>
      <c r="N288" s="1859"/>
      <c r="O288" s="1859"/>
      <c r="P288" s="1859"/>
      <c r="Q288" s="1859"/>
      <c r="R288" s="1859"/>
      <c r="S288" s="1859"/>
      <c r="T288" s="1859"/>
      <c r="U288" s="1859"/>
      <c r="V288" s="1859"/>
      <c r="W288" s="1859"/>
      <c r="X288" s="1859"/>
      <c r="Y288" s="1859"/>
      <c r="Z288" s="1859"/>
      <c r="AA288" s="1859"/>
      <c r="AB288" s="1859"/>
      <c r="AC288" s="1859"/>
      <c r="AD288" s="1859"/>
      <c r="AE288" s="1859"/>
      <c r="AF288" s="1859"/>
      <c r="AG288" s="1859"/>
      <c r="AH288" s="1859"/>
      <c r="AI288" s="18"/>
      <c r="AJ288" s="18"/>
      <c r="AK288" s="18"/>
      <c r="AL288" s="18"/>
      <c r="AM288" s="18"/>
      <c r="AN288" s="18"/>
      <c r="AO288" s="18"/>
      <c r="AP288" s="18"/>
      <c r="AQ288" s="18"/>
    </row>
    <row r="289" spans="1:63" s="584" customFormat="1" ht="55.5" customHeight="1" thickTop="1" thickBot="1">
      <c r="A289" s="597"/>
      <c r="D289" s="1801"/>
      <c r="E289" s="1802"/>
      <c r="F289" s="1802"/>
      <c r="G289" s="1804"/>
      <c r="H289" s="1838" t="s">
        <v>41</v>
      </c>
      <c r="I289" s="1838"/>
      <c r="J289" s="1838"/>
      <c r="K289" s="1838" t="s">
        <v>42</v>
      </c>
      <c r="L289" s="1838"/>
      <c r="M289" s="1838"/>
      <c r="N289" s="1838" t="s">
        <v>43</v>
      </c>
      <c r="O289" s="1838"/>
      <c r="P289" s="1838"/>
      <c r="Q289" s="1838" t="s">
        <v>1407</v>
      </c>
      <c r="R289" s="1838"/>
      <c r="S289" s="1838"/>
      <c r="T289" s="1838" t="s">
        <v>44</v>
      </c>
      <c r="U289" s="1838"/>
      <c r="V289" s="1838"/>
      <c r="W289" s="1838" t="s">
        <v>45</v>
      </c>
      <c r="X289" s="1838"/>
      <c r="Y289" s="1838"/>
      <c r="Z289" s="1838" t="s">
        <v>445</v>
      </c>
      <c r="AA289" s="1838"/>
      <c r="AB289" s="1838"/>
      <c r="AC289" s="1838" t="s">
        <v>46</v>
      </c>
      <c r="AD289" s="1838"/>
      <c r="AE289" s="1838"/>
      <c r="AF289" s="1838" t="s">
        <v>14</v>
      </c>
      <c r="AG289" s="1838"/>
      <c r="AH289" s="1838"/>
      <c r="AI289" s="932" t="s">
        <v>41</v>
      </c>
      <c r="AJ289" s="764" t="s">
        <v>42</v>
      </c>
      <c r="AK289" s="764" t="s">
        <v>43</v>
      </c>
      <c r="AL289" s="764" t="s">
        <v>444</v>
      </c>
      <c r="AM289" s="764" t="s">
        <v>44</v>
      </c>
      <c r="AN289" s="764" t="s">
        <v>45</v>
      </c>
      <c r="AO289" s="764" t="s">
        <v>445</v>
      </c>
      <c r="AP289" s="764" t="s">
        <v>46</v>
      </c>
      <c r="AQ289" s="764" t="s">
        <v>14</v>
      </c>
      <c r="AS289" s="764" t="s">
        <v>41</v>
      </c>
      <c r="AT289" s="764" t="s">
        <v>42</v>
      </c>
      <c r="AU289" s="764" t="s">
        <v>43</v>
      </c>
      <c r="AV289" s="764" t="s">
        <v>444</v>
      </c>
      <c r="AW289" s="764" t="s">
        <v>44</v>
      </c>
      <c r="AX289" s="764" t="s">
        <v>45</v>
      </c>
      <c r="AY289" s="764" t="s">
        <v>445</v>
      </c>
      <c r="AZ289" s="764" t="s">
        <v>46</v>
      </c>
      <c r="BA289" s="764" t="s">
        <v>14</v>
      </c>
      <c r="BC289" s="764" t="s">
        <v>41</v>
      </c>
      <c r="BD289" s="764" t="s">
        <v>42</v>
      </c>
      <c r="BE289" s="764" t="s">
        <v>43</v>
      </c>
      <c r="BF289" s="764" t="s">
        <v>444</v>
      </c>
      <c r="BG289" s="764" t="s">
        <v>44</v>
      </c>
      <c r="BH289" s="764" t="s">
        <v>45</v>
      </c>
      <c r="BI289" s="764" t="s">
        <v>445</v>
      </c>
      <c r="BJ289" s="764" t="s">
        <v>46</v>
      </c>
      <c r="BK289" s="764" t="s">
        <v>14</v>
      </c>
    </row>
    <row r="290" spans="1:63" s="584" customFormat="1" ht="15.75" customHeight="1" thickBot="1">
      <c r="A290" s="597"/>
      <c r="D290" s="1826" t="s">
        <v>25</v>
      </c>
      <c r="E290" s="1827"/>
      <c r="F290" s="1827"/>
      <c r="G290" s="1827"/>
      <c r="H290" s="1827"/>
      <c r="I290" s="1827"/>
      <c r="J290" s="1827"/>
      <c r="K290" s="1827"/>
      <c r="L290" s="1827"/>
      <c r="M290" s="1827"/>
      <c r="N290" s="1827"/>
      <c r="O290" s="1827"/>
      <c r="P290" s="1827"/>
      <c r="Q290" s="1827"/>
      <c r="R290" s="1827"/>
      <c r="S290" s="1827"/>
      <c r="T290" s="1827"/>
      <c r="U290" s="1827"/>
      <c r="V290" s="1827"/>
      <c r="W290" s="1827"/>
      <c r="X290" s="1827"/>
      <c r="Y290" s="1827"/>
      <c r="Z290" s="1827"/>
      <c r="AA290" s="1827"/>
      <c r="AB290" s="1827"/>
      <c r="AC290" s="1827"/>
      <c r="AD290" s="1827"/>
      <c r="AE290" s="1827"/>
      <c r="AF290" s="1827"/>
      <c r="AG290" s="1827"/>
      <c r="AH290" s="1828"/>
      <c r="AI290" s="613"/>
      <c r="AJ290" s="613"/>
      <c r="AK290" s="613"/>
      <c r="AL290" s="613"/>
      <c r="AM290" s="613"/>
      <c r="AN290" s="613"/>
      <c r="AO290" s="613"/>
      <c r="AP290" s="613"/>
      <c r="AQ290" s="618"/>
      <c r="AS290" s="612"/>
      <c r="AT290" s="613"/>
      <c r="AU290" s="613"/>
      <c r="AV290" s="613"/>
      <c r="AW290" s="613"/>
      <c r="AX290" s="613"/>
      <c r="AY290" s="613"/>
      <c r="AZ290" s="613"/>
      <c r="BA290" s="618"/>
      <c r="BC290" s="612"/>
      <c r="BD290" s="613"/>
      <c r="BE290" s="613"/>
      <c r="BF290" s="613"/>
      <c r="BG290" s="613"/>
      <c r="BH290" s="613"/>
      <c r="BI290" s="613"/>
      <c r="BJ290" s="613"/>
      <c r="BK290" s="618"/>
    </row>
    <row r="291" spans="1:63" s="584" customFormat="1" ht="21.75" customHeight="1">
      <c r="A291" s="597"/>
      <c r="D291" s="1868" t="s">
        <v>26</v>
      </c>
      <c r="E291" s="1868"/>
      <c r="F291" s="1868"/>
      <c r="G291" s="1868"/>
      <c r="H291" s="1864">
        <v>0</v>
      </c>
      <c r="I291" s="1865"/>
      <c r="J291" s="1866"/>
      <c r="K291" s="1861">
        <v>0</v>
      </c>
      <c r="L291" s="1862"/>
      <c r="M291" s="1863"/>
      <c r="N291" s="1861">
        <v>505875</v>
      </c>
      <c r="O291" s="1862"/>
      <c r="P291" s="1863"/>
      <c r="Q291" s="1861">
        <v>0</v>
      </c>
      <c r="R291" s="1862"/>
      <c r="S291" s="1863"/>
      <c r="T291" s="1861">
        <v>0</v>
      </c>
      <c r="U291" s="1862"/>
      <c r="V291" s="1863"/>
      <c r="W291" s="1861">
        <v>0</v>
      </c>
      <c r="X291" s="1862"/>
      <c r="Y291" s="1863"/>
      <c r="Z291" s="1861">
        <v>0</v>
      </c>
      <c r="AA291" s="1862"/>
      <c r="AB291" s="1863"/>
      <c r="AC291" s="1861">
        <v>0</v>
      </c>
      <c r="AD291" s="1862"/>
      <c r="AE291" s="1863"/>
      <c r="AF291" s="1839">
        <f>SUM(H291:AE291)</f>
        <v>505875</v>
      </c>
      <c r="AG291" s="1840"/>
      <c r="AH291" s="1841"/>
      <c r="AI291" s="607"/>
      <c r="AJ291" s="607"/>
      <c r="AK291" s="607"/>
      <c r="AL291" s="607"/>
      <c r="AM291" s="607"/>
      <c r="AN291" s="607"/>
      <c r="AO291" s="607"/>
      <c r="AP291" s="607"/>
      <c r="AQ291" s="608">
        <f>SUM(H291:AE291)-AF291</f>
        <v>0</v>
      </c>
      <c r="AS291" s="621">
        <f>H291-H320</f>
        <v>0</v>
      </c>
      <c r="AT291" s="661">
        <f>K291-K320</f>
        <v>0</v>
      </c>
      <c r="AU291" s="661">
        <f>N291-N320</f>
        <v>0</v>
      </c>
      <c r="AV291" s="661">
        <f>Q291-Q320</f>
        <v>0</v>
      </c>
      <c r="AW291" s="661">
        <f>T291-T320</f>
        <v>0</v>
      </c>
      <c r="AX291" s="661">
        <f>W291-W320</f>
        <v>0</v>
      </c>
      <c r="AY291" s="661">
        <f>Z291-Z320</f>
        <v>0</v>
      </c>
      <c r="AZ291" s="661">
        <f>AC291-AC320</f>
        <v>0</v>
      </c>
      <c r="BA291" s="608">
        <f>AF291-AF320</f>
        <v>0</v>
      </c>
      <c r="BC291" s="606"/>
      <c r="BD291" s="607"/>
      <c r="BE291" s="607"/>
      <c r="BF291" s="607"/>
      <c r="BG291" s="607"/>
      <c r="BH291" s="607"/>
      <c r="BI291" s="607"/>
      <c r="BJ291" s="607"/>
      <c r="BK291" s="619"/>
    </row>
    <row r="292" spans="1:63" s="584" customFormat="1">
      <c r="A292" s="597"/>
      <c r="D292" s="1771" t="s">
        <v>27</v>
      </c>
      <c r="E292" s="1771"/>
      <c r="F292" s="1771"/>
      <c r="G292" s="1771"/>
      <c r="H292" s="1772">
        <v>0</v>
      </c>
      <c r="I292" s="1772"/>
      <c r="J292" s="1772"/>
      <c r="K292" s="1773">
        <v>0</v>
      </c>
      <c r="L292" s="1773"/>
      <c r="M292" s="1773"/>
      <c r="N292" s="1881">
        <v>0</v>
      </c>
      <c r="O292" s="1882"/>
      <c r="P292" s="1883"/>
      <c r="Q292" s="1773">
        <v>0</v>
      </c>
      <c r="R292" s="1773"/>
      <c r="S292" s="1773"/>
      <c r="T292" s="1773">
        <v>0</v>
      </c>
      <c r="U292" s="1773"/>
      <c r="V292" s="1773"/>
      <c r="W292" s="1773">
        <v>0</v>
      </c>
      <c r="X292" s="1773"/>
      <c r="Y292" s="1773"/>
      <c r="Z292" s="1773">
        <v>406211</v>
      </c>
      <c r="AA292" s="1773"/>
      <c r="AB292" s="1773"/>
      <c r="AC292" s="1773">
        <v>0</v>
      </c>
      <c r="AD292" s="1773"/>
      <c r="AE292" s="1773"/>
      <c r="AF292" s="1825">
        <f>SUM(H292:AE292)</f>
        <v>406211</v>
      </c>
      <c r="AG292" s="1825"/>
      <c r="AH292" s="1825"/>
      <c r="AI292" s="607"/>
      <c r="AJ292" s="607"/>
      <c r="AK292" s="607"/>
      <c r="AL292" s="607"/>
      <c r="AM292" s="607"/>
      <c r="AN292" s="607"/>
      <c r="AO292" s="607"/>
      <c r="AP292" s="607"/>
      <c r="AQ292" s="608">
        <f t="shared" ref="AQ292:AQ293" si="50">SUM(H292:AE292)-AF292</f>
        <v>0</v>
      </c>
      <c r="AS292" s="606"/>
      <c r="AT292" s="607"/>
      <c r="AU292" s="607"/>
      <c r="AV292" s="607"/>
      <c r="AW292" s="607"/>
      <c r="AX292" s="607"/>
      <c r="AY292" s="607"/>
      <c r="AZ292" s="607"/>
      <c r="BA292" s="619"/>
      <c r="BC292" s="606"/>
      <c r="BD292" s="607"/>
      <c r="BE292" s="607"/>
      <c r="BF292" s="607"/>
      <c r="BG292" s="607"/>
      <c r="BH292" s="607"/>
      <c r="BI292" s="607"/>
      <c r="BJ292" s="607"/>
      <c r="BK292" s="619"/>
    </row>
    <row r="293" spans="1:63" s="584" customFormat="1">
      <c r="A293" s="597"/>
      <c r="D293" s="1771" t="s">
        <v>28</v>
      </c>
      <c r="E293" s="1771"/>
      <c r="F293" s="1771"/>
      <c r="G293" s="1771"/>
      <c r="H293" s="1772">
        <v>0</v>
      </c>
      <c r="I293" s="1772"/>
      <c r="J293" s="1772"/>
      <c r="K293" s="1773">
        <v>0</v>
      </c>
      <c r="L293" s="1773"/>
      <c r="M293" s="1773"/>
      <c r="N293" s="1773">
        <v>66885</v>
      </c>
      <c r="O293" s="1773"/>
      <c r="P293" s="1773"/>
      <c r="Q293" s="1773">
        <v>0</v>
      </c>
      <c r="R293" s="1773"/>
      <c r="S293" s="1773"/>
      <c r="T293" s="1773">
        <v>0</v>
      </c>
      <c r="U293" s="1773"/>
      <c r="V293" s="1773"/>
      <c r="W293" s="1773">
        <v>0</v>
      </c>
      <c r="X293" s="1773"/>
      <c r="Y293" s="1773"/>
      <c r="Z293" s="1773"/>
      <c r="AA293" s="1773"/>
      <c r="AB293" s="1773"/>
      <c r="AC293" s="1773">
        <v>0</v>
      </c>
      <c r="AD293" s="1773"/>
      <c r="AE293" s="1773"/>
      <c r="AF293" s="1825">
        <f>SUM(H293:AE293)</f>
        <v>66885</v>
      </c>
      <c r="AG293" s="1825"/>
      <c r="AH293" s="1825"/>
      <c r="AI293" s="607"/>
      <c r="AJ293" s="607"/>
      <c r="AK293" s="607"/>
      <c r="AL293" s="607"/>
      <c r="AM293" s="607"/>
      <c r="AN293" s="607"/>
      <c r="AO293" s="607"/>
      <c r="AP293" s="607"/>
      <c r="AQ293" s="608">
        <f t="shared" si="50"/>
        <v>0</v>
      </c>
      <c r="AS293" s="606"/>
      <c r="AT293" s="607"/>
      <c r="AU293" s="607"/>
      <c r="AV293" s="607"/>
      <c r="AW293" s="607"/>
      <c r="AX293" s="607"/>
      <c r="AY293" s="607"/>
      <c r="AZ293" s="607"/>
      <c r="BA293" s="619"/>
      <c r="BC293" s="606"/>
      <c r="BD293" s="607"/>
      <c r="BE293" s="607"/>
      <c r="BF293" s="607"/>
      <c r="BG293" s="607"/>
      <c r="BH293" s="607"/>
      <c r="BI293" s="607"/>
      <c r="BJ293" s="607"/>
      <c r="BK293" s="619"/>
    </row>
    <row r="294" spans="1:63" s="584" customFormat="1">
      <c r="A294" s="597"/>
      <c r="D294" s="1771" t="s">
        <v>29</v>
      </c>
      <c r="E294" s="1771"/>
      <c r="F294" s="1771"/>
      <c r="G294" s="1771"/>
      <c r="H294" s="1772">
        <v>0</v>
      </c>
      <c r="I294" s="1772"/>
      <c r="J294" s="1772"/>
      <c r="K294" s="1773">
        <v>364187</v>
      </c>
      <c r="L294" s="1773"/>
      <c r="M294" s="1773"/>
      <c r="N294" s="1773">
        <v>42024</v>
      </c>
      <c r="O294" s="1773"/>
      <c r="P294" s="1773"/>
      <c r="Q294" s="1773">
        <v>0</v>
      </c>
      <c r="R294" s="1773"/>
      <c r="S294" s="1773"/>
      <c r="T294" s="1773">
        <v>0</v>
      </c>
      <c r="U294" s="1773"/>
      <c r="V294" s="1773"/>
      <c r="W294" s="1773">
        <v>0</v>
      </c>
      <c r="X294" s="1773"/>
      <c r="Y294" s="1773"/>
      <c r="Z294" s="1773">
        <v>-406211</v>
      </c>
      <c r="AA294" s="1773"/>
      <c r="AB294" s="1773"/>
      <c r="AC294" s="1773">
        <v>0</v>
      </c>
      <c r="AD294" s="1773"/>
      <c r="AE294" s="1773"/>
      <c r="AF294" s="1825">
        <f>SUM(H294:AE294)</f>
        <v>0</v>
      </c>
      <c r="AG294" s="1825"/>
      <c r="AH294" s="1825"/>
      <c r="AI294" s="607"/>
      <c r="AJ294" s="607"/>
      <c r="AK294" s="607"/>
      <c r="AL294" s="607"/>
      <c r="AM294" s="607"/>
      <c r="AN294" s="607"/>
      <c r="AO294" s="607"/>
      <c r="AP294" s="607"/>
      <c r="AQ294" s="608">
        <f>SUM(H294:AE294)-AF294</f>
        <v>0</v>
      </c>
      <c r="AS294" s="606"/>
      <c r="AT294" s="607"/>
      <c r="AU294" s="607"/>
      <c r="AV294" s="607"/>
      <c r="AW294" s="607"/>
      <c r="AX294" s="607"/>
      <c r="AY294" s="607"/>
      <c r="AZ294" s="607"/>
      <c r="BA294" s="619"/>
      <c r="BC294" s="606"/>
      <c r="BD294" s="607"/>
      <c r="BE294" s="607"/>
      <c r="BF294" s="607"/>
      <c r="BG294" s="607"/>
      <c r="BH294" s="607"/>
      <c r="BI294" s="607"/>
      <c r="BJ294" s="607"/>
      <c r="BK294" s="619"/>
    </row>
    <row r="295" spans="1:63" s="584" customFormat="1" ht="22.5" customHeight="1" thickBot="1">
      <c r="A295" s="597"/>
      <c r="D295" s="1821" t="s">
        <v>30</v>
      </c>
      <c r="E295" s="1821"/>
      <c r="F295" s="1821"/>
      <c r="G295" s="1821"/>
      <c r="H295" s="1760">
        <f>H291+H292-H293+H294</f>
        <v>0</v>
      </c>
      <c r="I295" s="1760"/>
      <c r="J295" s="1760"/>
      <c r="K295" s="1760">
        <f t="shared" ref="K295" si="51">K291+K292-K293+K294</f>
        <v>364187</v>
      </c>
      <c r="L295" s="1760"/>
      <c r="M295" s="1760"/>
      <c r="N295" s="1760">
        <f>N291+N292-N293+N294</f>
        <v>481014</v>
      </c>
      <c r="O295" s="1760"/>
      <c r="P295" s="1760"/>
      <c r="Q295" s="1760">
        <f t="shared" ref="Q295" si="52">Q291+Q292-Q293+Q294</f>
        <v>0</v>
      </c>
      <c r="R295" s="1760"/>
      <c r="S295" s="1760"/>
      <c r="T295" s="1760">
        <f t="shared" ref="T295" si="53">T291+T292-T293+T294</f>
        <v>0</v>
      </c>
      <c r="U295" s="1760"/>
      <c r="V295" s="1760"/>
      <c r="W295" s="1760">
        <f t="shared" ref="W295" si="54">W291+W292-W293+W294</f>
        <v>0</v>
      </c>
      <c r="X295" s="1760"/>
      <c r="Y295" s="1760"/>
      <c r="Z295" s="1760">
        <f t="shared" ref="Z295" si="55">Z291+Z292-Z293+Z294</f>
        <v>0</v>
      </c>
      <c r="AA295" s="1760"/>
      <c r="AB295" s="1760"/>
      <c r="AC295" s="1760">
        <f t="shared" ref="AC295" si="56">AC291+AC292-AC293+AC294</f>
        <v>0</v>
      </c>
      <c r="AD295" s="1760"/>
      <c r="AE295" s="1760"/>
      <c r="AF295" s="1760">
        <f>AF291+AF292-AF293+AF294</f>
        <v>845201</v>
      </c>
      <c r="AG295" s="1760"/>
      <c r="AH295" s="1760"/>
      <c r="AI295" s="661">
        <f>H291+H292-H293+H294-H295</f>
        <v>0</v>
      </c>
      <c r="AJ295" s="661">
        <f>K291+K292-K293+K294-K295</f>
        <v>0</v>
      </c>
      <c r="AK295" s="661">
        <f>N291+N292-N293+N294-N295</f>
        <v>0</v>
      </c>
      <c r="AL295" s="661">
        <f>Q291+Q292-Q293+Q294-Q295</f>
        <v>0</v>
      </c>
      <c r="AM295" s="661">
        <f>T291+T292-T293+T294-T294</f>
        <v>0</v>
      </c>
      <c r="AN295" s="661">
        <f>W291+W292-W293+W294-W295</f>
        <v>0</v>
      </c>
      <c r="AO295" s="661">
        <f>Z291+Z292-Z293+Z294-Z295</f>
        <v>0</v>
      </c>
      <c r="AP295" s="661">
        <f>AC291+AC292-AC293+AC294-AC295</f>
        <v>0</v>
      </c>
      <c r="AQ295" s="608">
        <f>AF291+AF292-AF293+AF294-AF295</f>
        <v>0</v>
      </c>
      <c r="AS295" s="606"/>
      <c r="AT295" s="607"/>
      <c r="AU295" s="607"/>
      <c r="AV295" s="607"/>
      <c r="AW295" s="607"/>
      <c r="AX295" s="607"/>
      <c r="AY295" s="607"/>
      <c r="AZ295" s="607"/>
      <c r="BA295" s="619"/>
      <c r="BC295" s="621">
        <f>H295-BS!$D$21</f>
        <v>0</v>
      </c>
      <c r="BD295" s="661">
        <f>K295-BS!$D$22</f>
        <v>0</v>
      </c>
      <c r="BE295" s="661">
        <f>N295-BS!$D$23</f>
        <v>0</v>
      </c>
      <c r="BF295" s="661">
        <f>Q295-BS!$D$24</f>
        <v>0</v>
      </c>
      <c r="BG295" s="661">
        <f>T295-BS!$D$25</f>
        <v>0</v>
      </c>
      <c r="BH295" s="661">
        <f>W295-BS!$D$26</f>
        <v>0</v>
      </c>
      <c r="BI295" s="661">
        <f>Z295-BS!$D$27</f>
        <v>0</v>
      </c>
      <c r="BJ295" s="661">
        <f>AC295-BS!$D$28</f>
        <v>0</v>
      </c>
      <c r="BK295" s="608">
        <f>AF295-BS!$D$20</f>
        <v>0</v>
      </c>
    </row>
    <row r="296" spans="1:63" s="584" customFormat="1" ht="15.75" customHeight="1" thickBot="1">
      <c r="A296" s="597"/>
      <c r="D296" s="1826" t="s">
        <v>31</v>
      </c>
      <c r="E296" s="1827"/>
      <c r="F296" s="1827"/>
      <c r="G296" s="1827"/>
      <c r="H296" s="1827"/>
      <c r="I296" s="1827"/>
      <c r="J296" s="1827"/>
      <c r="K296" s="1827"/>
      <c r="L296" s="1827"/>
      <c r="M296" s="1827"/>
      <c r="N296" s="1827"/>
      <c r="O296" s="1827"/>
      <c r="P296" s="1827"/>
      <c r="Q296" s="1827"/>
      <c r="R296" s="1827"/>
      <c r="S296" s="1827"/>
      <c r="T296" s="1827"/>
      <c r="U296" s="1827"/>
      <c r="V296" s="1827"/>
      <c r="W296" s="1827"/>
      <c r="X296" s="1827"/>
      <c r="Y296" s="1827"/>
      <c r="Z296" s="1827"/>
      <c r="AA296" s="1827"/>
      <c r="AB296" s="1827"/>
      <c r="AC296" s="1827"/>
      <c r="AD296" s="1827"/>
      <c r="AE296" s="1827"/>
      <c r="AF296" s="1827"/>
      <c r="AG296" s="1827"/>
      <c r="AH296" s="1828"/>
      <c r="AI296" s="607"/>
      <c r="AJ296" s="607"/>
      <c r="AK296" s="607"/>
      <c r="AL296" s="607"/>
      <c r="AM296" s="607"/>
      <c r="AN296" s="607"/>
      <c r="AO296" s="607"/>
      <c r="AP296" s="607"/>
      <c r="AQ296" s="608"/>
      <c r="AS296" s="606"/>
      <c r="AT296" s="607"/>
      <c r="AU296" s="607"/>
      <c r="AV296" s="607"/>
      <c r="AW296" s="607"/>
      <c r="AX296" s="607"/>
      <c r="AY296" s="607"/>
      <c r="AZ296" s="607"/>
      <c r="BA296" s="619"/>
      <c r="BC296" s="606"/>
      <c r="BD296" s="607"/>
      <c r="BE296" s="607"/>
      <c r="BF296" s="607"/>
      <c r="BG296" s="607"/>
      <c r="BH296" s="607"/>
      <c r="BI296" s="607"/>
      <c r="BJ296" s="607"/>
      <c r="BK296" s="619"/>
    </row>
    <row r="297" spans="1:63" s="584" customFormat="1" ht="22.5" customHeight="1">
      <c r="A297" s="597"/>
      <c r="D297" s="1868" t="s">
        <v>32</v>
      </c>
      <c r="E297" s="1868"/>
      <c r="F297" s="1868"/>
      <c r="G297" s="1868"/>
      <c r="H297" s="1871">
        <v>0</v>
      </c>
      <c r="I297" s="1871"/>
      <c r="J297" s="1871"/>
      <c r="K297" s="1837">
        <v>0</v>
      </c>
      <c r="L297" s="1837"/>
      <c r="M297" s="1837"/>
      <c r="N297" s="1837">
        <v>323716</v>
      </c>
      <c r="O297" s="1837"/>
      <c r="P297" s="1837"/>
      <c r="Q297" s="1837">
        <v>0</v>
      </c>
      <c r="R297" s="1837"/>
      <c r="S297" s="1837"/>
      <c r="T297" s="1837">
        <v>0</v>
      </c>
      <c r="U297" s="1837"/>
      <c r="V297" s="1837"/>
      <c r="W297" s="1837">
        <v>0</v>
      </c>
      <c r="X297" s="1837"/>
      <c r="Y297" s="1837"/>
      <c r="Z297" s="1837">
        <v>0</v>
      </c>
      <c r="AA297" s="1837"/>
      <c r="AB297" s="1837"/>
      <c r="AC297" s="1837">
        <v>0</v>
      </c>
      <c r="AD297" s="1837"/>
      <c r="AE297" s="1837"/>
      <c r="AF297" s="1867">
        <f>SUM(H297:AE297)</f>
        <v>323716</v>
      </c>
      <c r="AG297" s="1867"/>
      <c r="AH297" s="1867"/>
      <c r="AI297" s="607"/>
      <c r="AJ297" s="607"/>
      <c r="AK297" s="607"/>
      <c r="AL297" s="607"/>
      <c r="AM297" s="607"/>
      <c r="AN297" s="607"/>
      <c r="AO297" s="607"/>
      <c r="AP297" s="607"/>
      <c r="AQ297" s="608">
        <f>SUM(H297:AE297)-AF297</f>
        <v>0</v>
      </c>
      <c r="AS297" s="621">
        <f>H297-H326</f>
        <v>0</v>
      </c>
      <c r="AT297" s="661">
        <f>K297-K326</f>
        <v>0</v>
      </c>
      <c r="AU297" s="661">
        <f>N297-N326</f>
        <v>0</v>
      </c>
      <c r="AV297" s="661">
        <f>Q297-Q326</f>
        <v>0</v>
      </c>
      <c r="AW297" s="661">
        <f>T297-T326</f>
        <v>0</v>
      </c>
      <c r="AX297" s="661">
        <f>W297-W326</f>
        <v>0</v>
      </c>
      <c r="AY297" s="661">
        <f>Z297-Z326</f>
        <v>0</v>
      </c>
      <c r="AZ297" s="661">
        <f>AC297-AC326</f>
        <v>0</v>
      </c>
      <c r="BA297" s="608">
        <f>AF297-AF326</f>
        <v>0</v>
      </c>
      <c r="BC297" s="606"/>
      <c r="BD297" s="607"/>
      <c r="BE297" s="607"/>
      <c r="BF297" s="607"/>
      <c r="BG297" s="607"/>
      <c r="BH297" s="607"/>
      <c r="BI297" s="607"/>
      <c r="BJ297" s="607"/>
      <c r="BK297" s="619"/>
    </row>
    <row r="298" spans="1:63" s="584" customFormat="1">
      <c r="A298" s="597"/>
      <c r="D298" s="1771" t="s">
        <v>27</v>
      </c>
      <c r="E298" s="1771"/>
      <c r="F298" s="1771"/>
      <c r="G298" s="1771"/>
      <c r="H298" s="1772">
        <v>0</v>
      </c>
      <c r="I298" s="1772"/>
      <c r="J298" s="1772"/>
      <c r="K298" s="1773">
        <v>5947</v>
      </c>
      <c r="L298" s="1773"/>
      <c r="M298" s="1773"/>
      <c r="N298" s="1773">
        <v>76567</v>
      </c>
      <c r="O298" s="1773"/>
      <c r="P298" s="1773"/>
      <c r="Q298" s="1773">
        <v>0</v>
      </c>
      <c r="R298" s="1773"/>
      <c r="S298" s="1773"/>
      <c r="T298" s="1773">
        <v>0</v>
      </c>
      <c r="U298" s="1773"/>
      <c r="V298" s="1773"/>
      <c r="W298" s="1773">
        <v>0</v>
      </c>
      <c r="X298" s="1773"/>
      <c r="Y298" s="1773"/>
      <c r="Z298" s="1773">
        <v>0</v>
      </c>
      <c r="AA298" s="1773"/>
      <c r="AB298" s="1773"/>
      <c r="AC298" s="1773">
        <v>0</v>
      </c>
      <c r="AD298" s="1773"/>
      <c r="AE298" s="1773"/>
      <c r="AF298" s="1825">
        <f>SUM(H298:AE298)</f>
        <v>82514</v>
      </c>
      <c r="AG298" s="1825"/>
      <c r="AH298" s="1825"/>
      <c r="AI298" s="607"/>
      <c r="AJ298" s="607"/>
      <c r="AK298" s="607"/>
      <c r="AL298" s="607"/>
      <c r="AM298" s="607"/>
      <c r="AN298" s="607"/>
      <c r="AO298" s="607"/>
      <c r="AP298" s="607"/>
      <c r="AQ298" s="608">
        <f t="shared" ref="AQ298:AQ299" si="57">SUM(H298:AE298)-AF298</f>
        <v>0</v>
      </c>
      <c r="AS298" s="606"/>
      <c r="AT298" s="607"/>
      <c r="AU298" s="607"/>
      <c r="AV298" s="607"/>
      <c r="AW298" s="607"/>
      <c r="AX298" s="607"/>
      <c r="AY298" s="607"/>
      <c r="AZ298" s="607"/>
      <c r="BA298" s="619"/>
      <c r="BC298" s="606"/>
      <c r="BD298" s="607"/>
      <c r="BE298" s="607"/>
      <c r="BF298" s="607"/>
      <c r="BG298" s="607"/>
      <c r="BH298" s="607"/>
      <c r="BI298" s="607"/>
      <c r="BJ298" s="607"/>
      <c r="BK298" s="619"/>
    </row>
    <row r="299" spans="1:63" s="584" customFormat="1">
      <c r="A299" s="597"/>
      <c r="D299" s="1771" t="s">
        <v>28</v>
      </c>
      <c r="E299" s="1771"/>
      <c r="F299" s="1771"/>
      <c r="G299" s="1771"/>
      <c r="H299" s="1772">
        <v>0</v>
      </c>
      <c r="I299" s="1772"/>
      <c r="J299" s="1772"/>
      <c r="K299" s="1773">
        <v>0</v>
      </c>
      <c r="L299" s="1773"/>
      <c r="M299" s="1773"/>
      <c r="N299" s="1773">
        <v>66885</v>
      </c>
      <c r="O299" s="1773"/>
      <c r="P299" s="1773"/>
      <c r="Q299" s="1773">
        <v>0</v>
      </c>
      <c r="R299" s="1773"/>
      <c r="S299" s="1773"/>
      <c r="T299" s="1773">
        <v>0</v>
      </c>
      <c r="U299" s="1773"/>
      <c r="V299" s="1773"/>
      <c r="W299" s="1773">
        <v>0</v>
      </c>
      <c r="X299" s="1773"/>
      <c r="Y299" s="1773"/>
      <c r="Z299" s="1773">
        <v>0</v>
      </c>
      <c r="AA299" s="1773"/>
      <c r="AB299" s="1773"/>
      <c r="AC299" s="1773">
        <v>0</v>
      </c>
      <c r="AD299" s="1773"/>
      <c r="AE299" s="1773"/>
      <c r="AF299" s="1825">
        <f>SUM(H299:AE299)</f>
        <v>66885</v>
      </c>
      <c r="AG299" s="1825"/>
      <c r="AH299" s="1825"/>
      <c r="AI299" s="607"/>
      <c r="AJ299" s="607"/>
      <c r="AK299" s="607"/>
      <c r="AL299" s="607"/>
      <c r="AM299" s="607"/>
      <c r="AN299" s="607"/>
      <c r="AO299" s="607"/>
      <c r="AP299" s="607"/>
      <c r="AQ299" s="608">
        <f t="shared" si="57"/>
        <v>0</v>
      </c>
      <c r="AS299" s="606"/>
      <c r="AT299" s="607"/>
      <c r="AU299" s="607"/>
      <c r="AV299" s="607"/>
      <c r="AW299" s="607"/>
      <c r="AX299" s="607"/>
      <c r="AY299" s="607"/>
      <c r="AZ299" s="607"/>
      <c r="BA299" s="619"/>
      <c r="BC299" s="674" t="s">
        <v>1059</v>
      </c>
      <c r="BD299" s="607"/>
      <c r="BE299" s="607"/>
      <c r="BF299" s="607"/>
      <c r="BG299" s="607"/>
      <c r="BH299" s="607"/>
      <c r="BI299" s="607"/>
      <c r="BJ299" s="607"/>
      <c r="BK299" s="619"/>
    </row>
    <row r="300" spans="1:63" s="584" customFormat="1">
      <c r="A300" s="597"/>
      <c r="D300" s="1771" t="s">
        <v>29</v>
      </c>
      <c r="E300" s="1771"/>
      <c r="F300" s="1771"/>
      <c r="G300" s="1771"/>
      <c r="H300" s="1772">
        <v>0</v>
      </c>
      <c r="I300" s="1772"/>
      <c r="J300" s="1772"/>
      <c r="K300" s="1773">
        <v>0</v>
      </c>
      <c r="L300" s="1773"/>
      <c r="M300" s="1773"/>
      <c r="N300" s="1773">
        <v>0</v>
      </c>
      <c r="O300" s="1773"/>
      <c r="P300" s="1773"/>
      <c r="Q300" s="1773">
        <v>0</v>
      </c>
      <c r="R300" s="1773"/>
      <c r="S300" s="1773"/>
      <c r="T300" s="1773">
        <v>0</v>
      </c>
      <c r="U300" s="1773"/>
      <c r="V300" s="1773"/>
      <c r="W300" s="1773">
        <v>0</v>
      </c>
      <c r="X300" s="1773"/>
      <c r="Y300" s="1773"/>
      <c r="Z300" s="1773">
        <v>0</v>
      </c>
      <c r="AA300" s="1773"/>
      <c r="AB300" s="1773"/>
      <c r="AC300" s="1773">
        <v>0</v>
      </c>
      <c r="AD300" s="1773"/>
      <c r="AE300" s="1773"/>
      <c r="AF300" s="1825">
        <f>SUM(H300:AE300)</f>
        <v>0</v>
      </c>
      <c r="AG300" s="1825"/>
      <c r="AH300" s="1825"/>
      <c r="AI300" s="607"/>
      <c r="AJ300" s="607"/>
      <c r="AK300" s="607"/>
      <c r="AL300" s="607"/>
      <c r="AM300" s="607"/>
      <c r="AN300" s="607"/>
      <c r="AO300" s="607"/>
      <c r="AP300" s="607"/>
      <c r="AQ300" s="608">
        <f>SUM(H300:AE300)-AF300</f>
        <v>0</v>
      </c>
      <c r="AS300" s="606"/>
      <c r="AT300" s="607"/>
      <c r="AU300" s="607"/>
      <c r="AV300" s="607"/>
      <c r="AW300" s="607"/>
      <c r="AX300" s="607"/>
      <c r="AY300" s="607"/>
      <c r="AZ300" s="607"/>
      <c r="BA300" s="619"/>
      <c r="BC300" s="606"/>
      <c r="BD300" s="607"/>
      <c r="BE300" s="607"/>
      <c r="BF300" s="607"/>
      <c r="BG300" s="607"/>
      <c r="BH300" s="607"/>
      <c r="BI300" s="607"/>
      <c r="BJ300" s="607"/>
      <c r="BK300" s="619"/>
    </row>
    <row r="301" spans="1:63" s="584" customFormat="1" ht="22.5" customHeight="1" thickBot="1">
      <c r="A301" s="597"/>
      <c r="D301" s="1821" t="s">
        <v>30</v>
      </c>
      <c r="E301" s="1821"/>
      <c r="F301" s="1821"/>
      <c r="G301" s="1821"/>
      <c r="H301" s="1760">
        <f>H297+H298-H299+H300</f>
        <v>0</v>
      </c>
      <c r="I301" s="1760"/>
      <c r="J301" s="1760"/>
      <c r="K301" s="1760">
        <f t="shared" ref="K301" si="58">K297+K298-K299+K300</f>
        <v>5947</v>
      </c>
      <c r="L301" s="1760"/>
      <c r="M301" s="1760"/>
      <c r="N301" s="1760">
        <f>N297+N298-N299+N300</f>
        <v>333398</v>
      </c>
      <c r="O301" s="1760"/>
      <c r="P301" s="1760"/>
      <c r="Q301" s="1760">
        <f t="shared" ref="Q301" si="59">Q297+Q298-Q299+Q300</f>
        <v>0</v>
      </c>
      <c r="R301" s="1760"/>
      <c r="S301" s="1760"/>
      <c r="T301" s="1760">
        <f t="shared" ref="T301" si="60">T297+T298-T299+T300</f>
        <v>0</v>
      </c>
      <c r="U301" s="1760"/>
      <c r="V301" s="1760"/>
      <c r="W301" s="1760">
        <f t="shared" ref="W301" si="61">W297+W298-W299+W300</f>
        <v>0</v>
      </c>
      <c r="X301" s="1760"/>
      <c r="Y301" s="1760"/>
      <c r="Z301" s="1760">
        <f t="shared" ref="Z301" si="62">Z297+Z298-Z299+Z300</f>
        <v>0</v>
      </c>
      <c r="AA301" s="1760"/>
      <c r="AB301" s="1760"/>
      <c r="AC301" s="1760">
        <f t="shared" ref="AC301" si="63">AC297+AC298-AC299+AC300</f>
        <v>0</v>
      </c>
      <c r="AD301" s="1760"/>
      <c r="AE301" s="1760"/>
      <c r="AF301" s="1760">
        <f>AF297+AF298-AF299+AF300</f>
        <v>339345</v>
      </c>
      <c r="AG301" s="1760"/>
      <c r="AH301" s="1760"/>
      <c r="AI301" s="661">
        <f>H297+H298-H299+H300-H301</f>
        <v>0</v>
      </c>
      <c r="AJ301" s="661">
        <f>K297+K298-K299+K300-K301</f>
        <v>0</v>
      </c>
      <c r="AK301" s="661">
        <f>N297+N298-N299+N300-N301</f>
        <v>0</v>
      </c>
      <c r="AL301" s="661">
        <f>Q297+Q298-Q299+Q300-Q301</f>
        <v>0</v>
      </c>
      <c r="AM301" s="661">
        <f>T297+T298-T299+T300-T300</f>
        <v>0</v>
      </c>
      <c r="AN301" s="661">
        <f>W297+W298-W299+W300-W301</f>
        <v>0</v>
      </c>
      <c r="AO301" s="661">
        <f>Z297+Z298-Z299+Z300-Z301</f>
        <v>0</v>
      </c>
      <c r="AP301" s="661">
        <f>AC297+AC298-AC299+AC300-AC301</f>
        <v>0</v>
      </c>
      <c r="AQ301" s="608">
        <f>AF297+AF298-AF299+AF300-AF301</f>
        <v>0</v>
      </c>
      <c r="AS301" s="606"/>
      <c r="AT301" s="607"/>
      <c r="AU301" s="607"/>
      <c r="AV301" s="607"/>
      <c r="AW301" s="607"/>
      <c r="AX301" s="607"/>
      <c r="AY301" s="607"/>
      <c r="AZ301" s="607"/>
      <c r="BA301" s="619"/>
      <c r="BC301" s="621">
        <f>H301+H307-BS!$E$21</f>
        <v>0</v>
      </c>
      <c r="BD301" s="661">
        <f>K301+K307-BS!$E$22</f>
        <v>0</v>
      </c>
      <c r="BE301" s="661">
        <f>N301+N307-BS!$E$23</f>
        <v>0</v>
      </c>
      <c r="BF301" s="661">
        <f>Q301+Q307-BS!$E$24</f>
        <v>0</v>
      </c>
      <c r="BG301" s="661">
        <f>T301+T307-BS!$E$25</f>
        <v>0</v>
      </c>
      <c r="BH301" s="661">
        <f>W301+W307-BS!$E$26</f>
        <v>0</v>
      </c>
      <c r="BI301" s="661">
        <f>Z301+Z307-BS!$E$27</f>
        <v>0</v>
      </c>
      <c r="BJ301" s="661">
        <f>AC301+AC307-BS!$E$28</f>
        <v>0</v>
      </c>
      <c r="BK301" s="608">
        <f>AF301+AF307-BS!$E$20</f>
        <v>0</v>
      </c>
    </row>
    <row r="302" spans="1:63" s="584" customFormat="1" ht="15.75" customHeight="1" thickBot="1">
      <c r="A302" s="597"/>
      <c r="D302" s="1826" t="s">
        <v>33</v>
      </c>
      <c r="E302" s="1827"/>
      <c r="F302" s="1827"/>
      <c r="G302" s="1827"/>
      <c r="H302" s="1827"/>
      <c r="I302" s="1827"/>
      <c r="J302" s="1827"/>
      <c r="K302" s="1827"/>
      <c r="L302" s="1827"/>
      <c r="M302" s="1827"/>
      <c r="N302" s="1827"/>
      <c r="O302" s="1827"/>
      <c r="P302" s="1827"/>
      <c r="Q302" s="1827"/>
      <c r="R302" s="1827"/>
      <c r="S302" s="1827"/>
      <c r="T302" s="1827"/>
      <c r="U302" s="1827"/>
      <c r="V302" s="1827"/>
      <c r="W302" s="1827"/>
      <c r="X302" s="1827"/>
      <c r="Y302" s="1827"/>
      <c r="Z302" s="1827"/>
      <c r="AA302" s="1827"/>
      <c r="AB302" s="1827"/>
      <c r="AC302" s="1827"/>
      <c r="AD302" s="1827"/>
      <c r="AE302" s="1827"/>
      <c r="AF302" s="1827"/>
      <c r="AG302" s="1827"/>
      <c r="AH302" s="1828"/>
      <c r="AI302" s="607"/>
      <c r="AJ302" s="607"/>
      <c r="AK302" s="607"/>
      <c r="AL302" s="607"/>
      <c r="AM302" s="607"/>
      <c r="AN302" s="607"/>
      <c r="AO302" s="607"/>
      <c r="AP302" s="607"/>
      <c r="AQ302" s="608"/>
      <c r="AS302" s="606"/>
      <c r="AT302" s="607"/>
      <c r="AU302" s="607"/>
      <c r="AV302" s="607"/>
      <c r="AW302" s="607"/>
      <c r="AX302" s="607"/>
      <c r="AY302" s="607"/>
      <c r="AZ302" s="607"/>
      <c r="BA302" s="619"/>
      <c r="BC302" s="606"/>
      <c r="BD302" s="607"/>
      <c r="BE302" s="607"/>
      <c r="BF302" s="607"/>
      <c r="BG302" s="607"/>
      <c r="BH302" s="607"/>
      <c r="BI302" s="607"/>
      <c r="BJ302" s="607"/>
      <c r="BK302" s="619"/>
    </row>
    <row r="303" spans="1:63" s="584" customFormat="1" ht="22.5" customHeight="1">
      <c r="A303" s="597"/>
      <c r="D303" s="1868" t="s">
        <v>32</v>
      </c>
      <c r="E303" s="1868"/>
      <c r="F303" s="1868"/>
      <c r="G303" s="1868"/>
      <c r="H303" s="1871">
        <v>0</v>
      </c>
      <c r="I303" s="1871"/>
      <c r="J303" s="1871"/>
      <c r="K303" s="1837">
        <v>0</v>
      </c>
      <c r="L303" s="1837"/>
      <c r="M303" s="1837"/>
      <c r="N303" s="1837">
        <v>0</v>
      </c>
      <c r="O303" s="1837"/>
      <c r="P303" s="1837"/>
      <c r="Q303" s="1837">
        <v>0</v>
      </c>
      <c r="R303" s="1837"/>
      <c r="S303" s="1837"/>
      <c r="T303" s="1837">
        <v>0</v>
      </c>
      <c r="U303" s="1837"/>
      <c r="V303" s="1837"/>
      <c r="W303" s="1837">
        <v>0</v>
      </c>
      <c r="X303" s="1837"/>
      <c r="Y303" s="1837"/>
      <c r="Z303" s="1837">
        <v>0</v>
      </c>
      <c r="AA303" s="1837"/>
      <c r="AB303" s="1837"/>
      <c r="AC303" s="1837">
        <v>0</v>
      </c>
      <c r="AD303" s="1837"/>
      <c r="AE303" s="1837"/>
      <c r="AF303" s="1867">
        <f>SUM(H303:AE303)</f>
        <v>0</v>
      </c>
      <c r="AG303" s="1867"/>
      <c r="AH303" s="1867"/>
      <c r="AI303" s="607"/>
      <c r="AJ303" s="607"/>
      <c r="AK303" s="607"/>
      <c r="AL303" s="607"/>
      <c r="AM303" s="607"/>
      <c r="AN303" s="607"/>
      <c r="AO303" s="607"/>
      <c r="AP303" s="607"/>
      <c r="AQ303" s="608">
        <f>SUM(H303:AE303)-AF303</f>
        <v>0</v>
      </c>
      <c r="AS303" s="621">
        <f>H303-H332</f>
        <v>0</v>
      </c>
      <c r="AT303" s="661">
        <f>K303-K332</f>
        <v>0</v>
      </c>
      <c r="AU303" s="661">
        <f>N303-N332</f>
        <v>0</v>
      </c>
      <c r="AV303" s="661">
        <f>Q303-Q332</f>
        <v>0</v>
      </c>
      <c r="AW303" s="661">
        <f>T303-T332</f>
        <v>0</v>
      </c>
      <c r="AX303" s="661">
        <f>W303-W332</f>
        <v>0</v>
      </c>
      <c r="AY303" s="661">
        <f>Z303-Z332</f>
        <v>0</v>
      </c>
      <c r="AZ303" s="661">
        <f>AC303-AC332</f>
        <v>0</v>
      </c>
      <c r="BA303" s="608">
        <f>AF303-AF332</f>
        <v>0</v>
      </c>
      <c r="BC303" s="606"/>
      <c r="BD303" s="607"/>
      <c r="BE303" s="607"/>
      <c r="BF303" s="607"/>
      <c r="BG303" s="607"/>
      <c r="BH303" s="607"/>
      <c r="BI303" s="607"/>
      <c r="BJ303" s="607"/>
      <c r="BK303" s="619"/>
    </row>
    <row r="304" spans="1:63" s="584" customFormat="1" ht="15" customHeight="1">
      <c r="A304" s="597"/>
      <c r="D304" s="1771" t="s">
        <v>27</v>
      </c>
      <c r="E304" s="1771"/>
      <c r="F304" s="1771"/>
      <c r="G304" s="1771"/>
      <c r="H304" s="1772">
        <v>0</v>
      </c>
      <c r="I304" s="1772"/>
      <c r="J304" s="1772"/>
      <c r="K304" s="1773">
        <v>0</v>
      </c>
      <c r="L304" s="1773"/>
      <c r="M304" s="1773"/>
      <c r="N304" s="1773">
        <v>0</v>
      </c>
      <c r="O304" s="1773"/>
      <c r="P304" s="1773"/>
      <c r="Q304" s="1773">
        <v>0</v>
      </c>
      <c r="R304" s="1773"/>
      <c r="S304" s="1773"/>
      <c r="T304" s="1773">
        <v>0</v>
      </c>
      <c r="U304" s="1773"/>
      <c r="V304" s="1773"/>
      <c r="W304" s="1773">
        <v>0</v>
      </c>
      <c r="X304" s="1773"/>
      <c r="Y304" s="1773"/>
      <c r="Z304" s="1773">
        <v>0</v>
      </c>
      <c r="AA304" s="1773"/>
      <c r="AB304" s="1773"/>
      <c r="AC304" s="1773">
        <v>0</v>
      </c>
      <c r="AD304" s="1773"/>
      <c r="AE304" s="1773"/>
      <c r="AF304" s="1825">
        <f>SUM(H304:AE304)</f>
        <v>0</v>
      </c>
      <c r="AG304" s="1825"/>
      <c r="AH304" s="1825"/>
      <c r="AI304" s="607"/>
      <c r="AJ304" s="607"/>
      <c r="AK304" s="607"/>
      <c r="AL304" s="607"/>
      <c r="AM304" s="607"/>
      <c r="AN304" s="607"/>
      <c r="AO304" s="607"/>
      <c r="AP304" s="607"/>
      <c r="AQ304" s="608">
        <f>SUM(H304:AE304)-AF304</f>
        <v>0</v>
      </c>
      <c r="AS304" s="606"/>
      <c r="AT304" s="607"/>
      <c r="AU304" s="607"/>
      <c r="AV304" s="607"/>
      <c r="AW304" s="607"/>
      <c r="AX304" s="607"/>
      <c r="AY304" s="607"/>
      <c r="AZ304" s="607"/>
      <c r="BA304" s="619"/>
      <c r="BC304" s="606"/>
      <c r="BD304" s="607"/>
      <c r="BE304" s="607"/>
      <c r="BF304" s="607"/>
      <c r="BG304" s="607"/>
      <c r="BH304" s="607"/>
      <c r="BI304" s="607"/>
      <c r="BJ304" s="607"/>
      <c r="BK304" s="619"/>
    </row>
    <row r="305" spans="1:63" s="584" customFormat="1" ht="15" customHeight="1">
      <c r="A305" s="597"/>
      <c r="D305" s="1771" t="s">
        <v>28</v>
      </c>
      <c r="E305" s="1771"/>
      <c r="F305" s="1771"/>
      <c r="G305" s="1771"/>
      <c r="H305" s="1772">
        <v>0</v>
      </c>
      <c r="I305" s="1772"/>
      <c r="J305" s="1772"/>
      <c r="K305" s="1773">
        <v>0</v>
      </c>
      <c r="L305" s="1773"/>
      <c r="M305" s="1773"/>
      <c r="N305" s="1773">
        <v>0</v>
      </c>
      <c r="O305" s="1773"/>
      <c r="P305" s="1773"/>
      <c r="Q305" s="1773">
        <v>0</v>
      </c>
      <c r="R305" s="1773"/>
      <c r="S305" s="1773"/>
      <c r="T305" s="1773">
        <v>0</v>
      </c>
      <c r="U305" s="1773"/>
      <c r="V305" s="1773"/>
      <c r="W305" s="1773">
        <v>0</v>
      </c>
      <c r="X305" s="1773"/>
      <c r="Y305" s="1773"/>
      <c r="Z305" s="1773">
        <v>0</v>
      </c>
      <c r="AA305" s="1773"/>
      <c r="AB305" s="1773"/>
      <c r="AC305" s="1773">
        <v>0</v>
      </c>
      <c r="AD305" s="1773"/>
      <c r="AE305" s="1773"/>
      <c r="AF305" s="1825">
        <f>SUM(H305:AE305)</f>
        <v>0</v>
      </c>
      <c r="AG305" s="1825"/>
      <c r="AH305" s="1825"/>
      <c r="AI305" s="607"/>
      <c r="AJ305" s="607"/>
      <c r="AK305" s="607"/>
      <c r="AL305" s="607"/>
      <c r="AM305" s="607"/>
      <c r="AN305" s="607"/>
      <c r="AO305" s="607"/>
      <c r="AP305" s="607"/>
      <c r="AQ305" s="608">
        <f t="shared" ref="AQ305" si="64">SUM(H305:AE305)-AF305</f>
        <v>0</v>
      </c>
      <c r="AS305" s="606"/>
      <c r="AT305" s="607"/>
      <c r="AU305" s="607"/>
      <c r="AV305" s="607"/>
      <c r="AW305" s="607"/>
      <c r="AX305" s="607"/>
      <c r="AY305" s="607"/>
      <c r="AZ305" s="607"/>
      <c r="BA305" s="619"/>
      <c r="BC305" s="606"/>
      <c r="BD305" s="607"/>
      <c r="BE305" s="607"/>
      <c r="BF305" s="607"/>
      <c r="BG305" s="607"/>
      <c r="BH305" s="607"/>
      <c r="BI305" s="607"/>
      <c r="BJ305" s="607"/>
      <c r="BK305" s="619"/>
    </row>
    <row r="306" spans="1:63" s="584" customFormat="1">
      <c r="A306" s="597"/>
      <c r="D306" s="1771" t="s">
        <v>29</v>
      </c>
      <c r="E306" s="1771"/>
      <c r="F306" s="1771"/>
      <c r="G306" s="1771"/>
      <c r="H306" s="1772">
        <v>0</v>
      </c>
      <c r="I306" s="1772"/>
      <c r="J306" s="1772"/>
      <c r="K306" s="1773">
        <v>0</v>
      </c>
      <c r="L306" s="1773"/>
      <c r="M306" s="1773"/>
      <c r="N306" s="1773">
        <v>0</v>
      </c>
      <c r="O306" s="1773"/>
      <c r="P306" s="1773"/>
      <c r="Q306" s="1773">
        <v>0</v>
      </c>
      <c r="R306" s="1773"/>
      <c r="S306" s="1773"/>
      <c r="T306" s="1773">
        <v>0</v>
      </c>
      <c r="U306" s="1773"/>
      <c r="V306" s="1773"/>
      <c r="W306" s="1773">
        <v>0</v>
      </c>
      <c r="X306" s="1773"/>
      <c r="Y306" s="1773"/>
      <c r="Z306" s="1773">
        <v>0</v>
      </c>
      <c r="AA306" s="1773"/>
      <c r="AB306" s="1773"/>
      <c r="AC306" s="1773">
        <v>0</v>
      </c>
      <c r="AD306" s="1773"/>
      <c r="AE306" s="1773"/>
      <c r="AF306" s="1825">
        <f>SUM(H306:AE306)</f>
        <v>0</v>
      </c>
      <c r="AG306" s="1825"/>
      <c r="AH306" s="1825"/>
      <c r="AI306" s="607"/>
      <c r="AJ306" s="607"/>
      <c r="AK306" s="607"/>
      <c r="AL306" s="607"/>
      <c r="AM306" s="607"/>
      <c r="AN306" s="607"/>
      <c r="AO306" s="607"/>
      <c r="AP306" s="607"/>
      <c r="AQ306" s="608">
        <f>SUM(H306:AE306)-AF306</f>
        <v>0</v>
      </c>
      <c r="AS306" s="606"/>
      <c r="AT306" s="607"/>
      <c r="AU306" s="607"/>
      <c r="AV306" s="607"/>
      <c r="AW306" s="607"/>
      <c r="AX306" s="607"/>
      <c r="AY306" s="607"/>
      <c r="AZ306" s="607"/>
      <c r="BA306" s="619"/>
      <c r="BC306" s="606"/>
      <c r="BD306" s="607"/>
      <c r="BE306" s="607"/>
      <c r="BF306" s="607"/>
      <c r="BG306" s="607"/>
      <c r="BH306" s="607"/>
      <c r="BI306" s="607"/>
      <c r="BJ306" s="607"/>
      <c r="BK306" s="619"/>
    </row>
    <row r="307" spans="1:63" s="584" customFormat="1" ht="22.5" customHeight="1" thickBot="1">
      <c r="A307" s="597"/>
      <c r="D307" s="1821" t="s">
        <v>30</v>
      </c>
      <c r="E307" s="1821"/>
      <c r="F307" s="1821"/>
      <c r="G307" s="1821"/>
      <c r="H307" s="1760">
        <f>H303+H304-H305+H306</f>
        <v>0</v>
      </c>
      <c r="I307" s="1760"/>
      <c r="J307" s="1760"/>
      <c r="K307" s="1760">
        <f t="shared" ref="K307" si="65">K303+K304-K305+K306</f>
        <v>0</v>
      </c>
      <c r="L307" s="1760"/>
      <c r="M307" s="1760"/>
      <c r="N307" s="1760">
        <f t="shared" ref="N307" si="66">N303+N304-N305+N306</f>
        <v>0</v>
      </c>
      <c r="O307" s="1760"/>
      <c r="P307" s="1760"/>
      <c r="Q307" s="1760">
        <f t="shared" ref="Q307" si="67">Q303+Q304-Q305+Q306</f>
        <v>0</v>
      </c>
      <c r="R307" s="1760"/>
      <c r="S307" s="1760"/>
      <c r="T307" s="1760">
        <f t="shared" ref="T307" si="68">T303+T304-T305+T306</f>
        <v>0</v>
      </c>
      <c r="U307" s="1760"/>
      <c r="V307" s="1760"/>
      <c r="W307" s="1760">
        <f t="shared" ref="W307" si="69">W303+W304-W305+W306</f>
        <v>0</v>
      </c>
      <c r="X307" s="1760"/>
      <c r="Y307" s="1760"/>
      <c r="Z307" s="1760">
        <f t="shared" ref="Z307" si="70">Z303+Z304-Z305+Z306</f>
        <v>0</v>
      </c>
      <c r="AA307" s="1760"/>
      <c r="AB307" s="1760"/>
      <c r="AC307" s="1760">
        <f t="shared" ref="AC307" si="71">AC303+AC304-AC305+AC306</f>
        <v>0</v>
      </c>
      <c r="AD307" s="1760"/>
      <c r="AE307" s="1760"/>
      <c r="AF307" s="1760">
        <f t="shared" ref="AF307" si="72">AF303+AF304-AF305+AF306</f>
        <v>0</v>
      </c>
      <c r="AG307" s="1760"/>
      <c r="AH307" s="1760"/>
      <c r="AI307" s="661">
        <f>H303+H304-H305+H306-H307</f>
        <v>0</v>
      </c>
      <c r="AJ307" s="661">
        <f>K303+K304-K305+K306-K307</f>
        <v>0</v>
      </c>
      <c r="AK307" s="661">
        <f>N303+N304-N305+N306-N307</f>
        <v>0</v>
      </c>
      <c r="AL307" s="661">
        <f>Q303+Q304-Q305+Q306-Q307</f>
        <v>0</v>
      </c>
      <c r="AM307" s="661">
        <f>T303+T304-T305+T306-T306</f>
        <v>0</v>
      </c>
      <c r="AN307" s="661">
        <f>W303+W304-W305+W306-W307</f>
        <v>0</v>
      </c>
      <c r="AO307" s="661">
        <f>Z303+Z304-Z305+Z306-Z307</f>
        <v>0</v>
      </c>
      <c r="AP307" s="661">
        <f>AC303+AC304-AC305+AC306-AC307</f>
        <v>0</v>
      </c>
      <c r="AQ307" s="608">
        <f>AF303+AF304-AF305+AF306-AF307</f>
        <v>0</v>
      </c>
      <c r="AS307" s="606"/>
      <c r="AT307" s="607"/>
      <c r="AU307" s="607"/>
      <c r="AV307" s="607"/>
      <c r="AW307" s="607"/>
      <c r="AX307" s="607"/>
      <c r="AY307" s="607"/>
      <c r="AZ307" s="607"/>
      <c r="BA307" s="619"/>
      <c r="BC307" s="606"/>
      <c r="BD307" s="607"/>
      <c r="BE307" s="607"/>
      <c r="BF307" s="607"/>
      <c r="BG307" s="607"/>
      <c r="BH307" s="607"/>
      <c r="BI307" s="607"/>
      <c r="BJ307" s="607"/>
      <c r="BK307" s="619"/>
    </row>
    <row r="308" spans="1:63" s="584" customFormat="1" ht="15.75" customHeight="1" thickBot="1">
      <c r="A308" s="597"/>
      <c r="D308" s="1826" t="s">
        <v>34</v>
      </c>
      <c r="E308" s="1827"/>
      <c r="F308" s="1827"/>
      <c r="G308" s="1827"/>
      <c r="H308" s="1827"/>
      <c r="I308" s="1827"/>
      <c r="J308" s="1827"/>
      <c r="K308" s="1827"/>
      <c r="L308" s="1827"/>
      <c r="M308" s="1827"/>
      <c r="N308" s="1827"/>
      <c r="O308" s="1827"/>
      <c r="P308" s="1827"/>
      <c r="Q308" s="1827"/>
      <c r="R308" s="1827"/>
      <c r="S308" s="1827"/>
      <c r="T308" s="1827"/>
      <c r="U308" s="1827"/>
      <c r="V308" s="1827"/>
      <c r="W308" s="1827"/>
      <c r="X308" s="1827"/>
      <c r="Y308" s="1827"/>
      <c r="Z308" s="1827"/>
      <c r="AA308" s="1827"/>
      <c r="AB308" s="1827"/>
      <c r="AC308" s="1827"/>
      <c r="AD308" s="1827"/>
      <c r="AE308" s="1827"/>
      <c r="AF308" s="1827"/>
      <c r="AG308" s="1827"/>
      <c r="AH308" s="1828"/>
      <c r="AI308" s="607"/>
      <c r="AJ308" s="607"/>
      <c r="AK308" s="607"/>
      <c r="AL308" s="607"/>
      <c r="AM308" s="607"/>
      <c r="AN308" s="607"/>
      <c r="AO308" s="607"/>
      <c r="AP308" s="607"/>
      <c r="AQ308" s="608"/>
      <c r="AS308" s="606"/>
      <c r="AT308" s="607"/>
      <c r="AU308" s="607"/>
      <c r="AV308" s="607"/>
      <c r="AW308" s="607"/>
      <c r="AX308" s="607"/>
      <c r="AY308" s="607"/>
      <c r="AZ308" s="607"/>
      <c r="BA308" s="619"/>
      <c r="BC308" s="606"/>
      <c r="BD308" s="607"/>
      <c r="BE308" s="607"/>
      <c r="BF308" s="607"/>
      <c r="BG308" s="607"/>
      <c r="BH308" s="607"/>
      <c r="BI308" s="607"/>
      <c r="BJ308" s="607"/>
      <c r="BK308" s="619"/>
    </row>
    <row r="309" spans="1:63" s="584" customFormat="1" ht="22.5" customHeight="1">
      <c r="A309" s="597"/>
      <c r="D309" s="1832" t="s">
        <v>32</v>
      </c>
      <c r="E309" s="1832"/>
      <c r="F309" s="1832"/>
      <c r="G309" s="1832"/>
      <c r="H309" s="1789">
        <f>H291-H297-H303</f>
        <v>0</v>
      </c>
      <c r="I309" s="1789"/>
      <c r="J309" s="1789"/>
      <c r="K309" s="1789">
        <f t="shared" ref="K309" si="73">K291-K297-K303</f>
        <v>0</v>
      </c>
      <c r="L309" s="1789"/>
      <c r="M309" s="1789"/>
      <c r="N309" s="1789">
        <f>N291-N297-N303</f>
        <v>182159</v>
      </c>
      <c r="O309" s="1789"/>
      <c r="P309" s="1789"/>
      <c r="Q309" s="1789">
        <f t="shared" ref="Q309" si="74">Q291-Q297-Q303</f>
        <v>0</v>
      </c>
      <c r="R309" s="1789"/>
      <c r="S309" s="1789"/>
      <c r="T309" s="1789">
        <f t="shared" ref="T309" si="75">T291-T297-T303</f>
        <v>0</v>
      </c>
      <c r="U309" s="1789"/>
      <c r="V309" s="1789"/>
      <c r="W309" s="1789">
        <f t="shared" ref="W309" si="76">W291-W297-W303</f>
        <v>0</v>
      </c>
      <c r="X309" s="1789"/>
      <c r="Y309" s="1789"/>
      <c r="Z309" s="1789">
        <f t="shared" ref="Z309" si="77">Z291-Z297-Z303</f>
        <v>0</v>
      </c>
      <c r="AA309" s="1789"/>
      <c r="AB309" s="1789"/>
      <c r="AC309" s="1789">
        <f t="shared" ref="AC309" si="78">AC291-AC297-AC303</f>
        <v>0</v>
      </c>
      <c r="AD309" s="1789"/>
      <c r="AE309" s="1789"/>
      <c r="AF309" s="1789">
        <f t="shared" ref="AF309" si="79">AF291-AF297-AF303</f>
        <v>182159</v>
      </c>
      <c r="AG309" s="1789"/>
      <c r="AH309" s="1789"/>
      <c r="AI309" s="661">
        <f>H291-H297-H303-H309</f>
        <v>0</v>
      </c>
      <c r="AJ309" s="661">
        <f>K291-K297-K303-K309</f>
        <v>0</v>
      </c>
      <c r="AK309" s="661">
        <f>N291-N297-N303-N309</f>
        <v>0</v>
      </c>
      <c r="AL309" s="661">
        <f>Q291-Q297-Q303-Q309</f>
        <v>0</v>
      </c>
      <c r="AM309" s="661">
        <f>T291-T297-T303-T309</f>
        <v>0</v>
      </c>
      <c r="AN309" s="661">
        <f>W291-W297-W303-W309</f>
        <v>0</v>
      </c>
      <c r="AO309" s="661">
        <f>Z291-Z297-Z303-Z309</f>
        <v>0</v>
      </c>
      <c r="AP309" s="661">
        <f>AC291-AC297-AC303-AC309</f>
        <v>0</v>
      </c>
      <c r="AQ309" s="608">
        <f>SUM(H309:AE309)-AF309</f>
        <v>0</v>
      </c>
      <c r="AS309" s="621">
        <f>H309-H335</f>
        <v>0</v>
      </c>
      <c r="AT309" s="661">
        <f>K309-K335</f>
        <v>0</v>
      </c>
      <c r="AU309" s="661">
        <f>N309-N335</f>
        <v>0</v>
      </c>
      <c r="AV309" s="661">
        <f>Q309-Q335</f>
        <v>0</v>
      </c>
      <c r="AW309" s="661">
        <f>T309-T335</f>
        <v>0</v>
      </c>
      <c r="AX309" s="661">
        <f>W309-W335</f>
        <v>0</v>
      </c>
      <c r="AY309" s="661">
        <f>Z309-Z335</f>
        <v>0</v>
      </c>
      <c r="AZ309" s="661">
        <f>AC309-AC335</f>
        <v>0</v>
      </c>
      <c r="BA309" s="608">
        <f>AF309-AF335</f>
        <v>0</v>
      </c>
      <c r="BC309" s="606"/>
      <c r="BD309" s="607"/>
      <c r="BE309" s="607"/>
      <c r="BF309" s="607"/>
      <c r="BG309" s="607"/>
      <c r="BH309" s="607"/>
      <c r="BI309" s="607"/>
      <c r="BJ309" s="607"/>
      <c r="BK309" s="619"/>
    </row>
    <row r="310" spans="1:63" s="584" customFormat="1" ht="22.5" customHeight="1" thickBot="1">
      <c r="A310" s="597"/>
      <c r="D310" s="1821" t="s">
        <v>30</v>
      </c>
      <c r="E310" s="1821"/>
      <c r="F310" s="1821"/>
      <c r="G310" s="1821"/>
      <c r="H310" s="1760">
        <f>H295-H301-H307</f>
        <v>0</v>
      </c>
      <c r="I310" s="1760"/>
      <c r="J310" s="1760"/>
      <c r="K310" s="1760">
        <f t="shared" ref="K310" si="80">K295-K301-K307</f>
        <v>358240</v>
      </c>
      <c r="L310" s="1760"/>
      <c r="M310" s="1760"/>
      <c r="N310" s="1760">
        <f t="shared" ref="N310" si="81">N295-N301-N307</f>
        <v>147616</v>
      </c>
      <c r="O310" s="1760"/>
      <c r="P310" s="1760"/>
      <c r="Q310" s="1760">
        <f t="shared" ref="Q310" si="82">Q295-Q301-Q307</f>
        <v>0</v>
      </c>
      <c r="R310" s="1760"/>
      <c r="S310" s="1760"/>
      <c r="T310" s="1760">
        <f t="shared" ref="T310" si="83">T295-T301-T307</f>
        <v>0</v>
      </c>
      <c r="U310" s="1760"/>
      <c r="V310" s="1760"/>
      <c r="W310" s="1760">
        <f t="shared" ref="W310" si="84">W295-W301-W307</f>
        <v>0</v>
      </c>
      <c r="X310" s="1760"/>
      <c r="Y310" s="1760"/>
      <c r="Z310" s="1760">
        <f t="shared" ref="Z310" si="85">Z295-Z301-Z307</f>
        <v>0</v>
      </c>
      <c r="AA310" s="1760"/>
      <c r="AB310" s="1760"/>
      <c r="AC310" s="1760">
        <f t="shared" ref="AC310" si="86">AC295-AC301-AC307</f>
        <v>0</v>
      </c>
      <c r="AD310" s="1760"/>
      <c r="AE310" s="1760"/>
      <c r="AF310" s="1760">
        <f t="shared" ref="AF310" si="87">AF295-AF301-AF307</f>
        <v>505856</v>
      </c>
      <c r="AG310" s="1760"/>
      <c r="AH310" s="1760"/>
      <c r="AI310" s="610">
        <f>H295-H301-H307-H310</f>
        <v>0</v>
      </c>
      <c r="AJ310" s="610">
        <f>K295-K301-K307-K310</f>
        <v>0</v>
      </c>
      <c r="AK310" s="610">
        <f>N295-N301-N307-N310</f>
        <v>0</v>
      </c>
      <c r="AL310" s="610">
        <f>Q295-Q301-Q307-Q310</f>
        <v>0</v>
      </c>
      <c r="AM310" s="610">
        <f>T295-T301-T307-T310</f>
        <v>0</v>
      </c>
      <c r="AN310" s="610">
        <f>W295-W301-W307-W310</f>
        <v>0</v>
      </c>
      <c r="AO310" s="610">
        <f>Z295-Z301-Z307-Z310</f>
        <v>0</v>
      </c>
      <c r="AP310" s="610">
        <f>AC295-AC301-AC307-AC310</f>
        <v>0</v>
      </c>
      <c r="AQ310" s="611">
        <f>SUM(H310:AE310)-AF310</f>
        <v>0</v>
      </c>
      <c r="AS310" s="633"/>
      <c r="AT310" s="663"/>
      <c r="AU310" s="663"/>
      <c r="AV310" s="663"/>
      <c r="AW310" s="663"/>
      <c r="AX310" s="663"/>
      <c r="AY310" s="663"/>
      <c r="AZ310" s="663"/>
      <c r="BA310" s="634"/>
      <c r="BC310" s="609">
        <f>H310-BS!$F$21</f>
        <v>0</v>
      </c>
      <c r="BD310" s="610">
        <f>K310-BS!$F$22</f>
        <v>0</v>
      </c>
      <c r="BE310" s="610">
        <f>N310-BS!$F$23</f>
        <v>0</v>
      </c>
      <c r="BF310" s="610">
        <f>Q310-BS!$F$24</f>
        <v>0</v>
      </c>
      <c r="BG310" s="610">
        <f>T310-BS!$F$25</f>
        <v>0</v>
      </c>
      <c r="BH310" s="610">
        <f>W310-BS!$F$26</f>
        <v>0</v>
      </c>
      <c r="BI310" s="610">
        <f>Z310-BS!$F$27</f>
        <v>0</v>
      </c>
      <c r="BJ310" s="610">
        <f>AC310-BS!$F$28</f>
        <v>0</v>
      </c>
      <c r="BK310" s="611">
        <f>AF310-BS!$F$20</f>
        <v>0</v>
      </c>
    </row>
    <row r="311" spans="1:63" s="584" customFormat="1">
      <c r="A311" s="597"/>
      <c r="D311" s="780"/>
      <c r="E311" s="766"/>
      <c r="F311" s="766"/>
      <c r="G311" s="766"/>
      <c r="H311" s="766"/>
      <c r="I311" s="766"/>
      <c r="J311" s="766"/>
      <c r="K311" s="766"/>
      <c r="L311" s="766"/>
      <c r="M311" s="766"/>
      <c r="N311" s="766"/>
      <c r="O311" s="766"/>
      <c r="P311" s="766"/>
      <c r="Q311" s="766"/>
      <c r="R311" s="766"/>
      <c r="S311" s="766"/>
      <c r="T311" s="766"/>
      <c r="U311" s="766"/>
      <c r="V311" s="766"/>
      <c r="W311" s="766"/>
      <c r="X311" s="766"/>
      <c r="Y311" s="766"/>
      <c r="Z311" s="766"/>
      <c r="AA311" s="766"/>
      <c r="AB311" s="766"/>
      <c r="AC311" s="766"/>
      <c r="AD311" s="766"/>
      <c r="AE311" s="766"/>
      <c r="AF311" s="766"/>
      <c r="AG311" s="766"/>
      <c r="AI311" s="18"/>
      <c r="AJ311" s="18"/>
      <c r="AK311" s="18"/>
      <c r="AL311" s="18"/>
      <c r="AM311" s="18"/>
      <c r="AN311" s="18"/>
      <c r="AO311" s="18"/>
      <c r="AP311" s="18"/>
      <c r="AQ311" s="18"/>
    </row>
    <row r="312" spans="1:63" s="584" customFormat="1" ht="15" thickBot="1">
      <c r="A312" s="597"/>
      <c r="D312" s="780"/>
      <c r="E312" s="766"/>
      <c r="F312" s="766"/>
      <c r="G312" s="766"/>
      <c r="H312" s="766"/>
      <c r="I312" s="766"/>
      <c r="J312" s="766"/>
      <c r="K312" s="766"/>
      <c r="L312" s="766"/>
      <c r="M312" s="766"/>
      <c r="N312" s="766"/>
      <c r="O312" s="766"/>
      <c r="P312" s="766"/>
      <c r="Q312" s="766"/>
      <c r="R312" s="766"/>
      <c r="S312" s="766"/>
      <c r="T312" s="766"/>
      <c r="U312" s="766"/>
      <c r="V312" s="766"/>
      <c r="W312" s="766"/>
      <c r="X312" s="766"/>
      <c r="Y312" s="766"/>
      <c r="Z312" s="766"/>
      <c r="AA312" s="766"/>
      <c r="AB312" s="766"/>
      <c r="AC312" s="766"/>
      <c r="AD312" s="766"/>
      <c r="AE312" s="766"/>
      <c r="AF312" s="766"/>
      <c r="AG312" s="766"/>
      <c r="AI312" s="18"/>
      <c r="AJ312" s="18"/>
      <c r="AK312" s="18"/>
      <c r="AL312" s="18"/>
      <c r="AM312" s="18"/>
      <c r="AN312" s="18"/>
      <c r="AO312" s="18"/>
      <c r="AP312" s="18"/>
      <c r="AQ312" s="18"/>
    </row>
    <row r="313" spans="1:63" s="584" customFormat="1" ht="15" thickBot="1">
      <c r="A313" s="597"/>
      <c r="D313" s="1799" t="s">
        <v>40</v>
      </c>
      <c r="E313" s="1800"/>
      <c r="F313" s="1800"/>
      <c r="G313" s="1803"/>
      <c r="H313" s="1859" t="s">
        <v>3</v>
      </c>
      <c r="I313" s="1859"/>
      <c r="J313" s="1859"/>
      <c r="K313" s="1859"/>
      <c r="L313" s="1859"/>
      <c r="M313" s="1859"/>
      <c r="N313" s="1859"/>
      <c r="O313" s="1859"/>
      <c r="P313" s="1859"/>
      <c r="Q313" s="1859"/>
      <c r="R313" s="1859"/>
      <c r="S313" s="1859"/>
      <c r="T313" s="1859"/>
      <c r="U313" s="1859"/>
      <c r="V313" s="1859"/>
      <c r="W313" s="1859"/>
      <c r="X313" s="1859"/>
      <c r="Y313" s="1859"/>
      <c r="Z313" s="1859"/>
      <c r="AA313" s="1859"/>
      <c r="AB313" s="1859"/>
      <c r="AC313" s="1859"/>
      <c r="AD313" s="1859"/>
      <c r="AE313" s="1859"/>
      <c r="AF313" s="1859"/>
      <c r="AG313" s="1859"/>
      <c r="AH313" s="1859"/>
      <c r="AI313" s="18"/>
      <c r="AJ313" s="18"/>
      <c r="AK313" s="18"/>
      <c r="AL313" s="18"/>
      <c r="AM313" s="18"/>
      <c r="AN313" s="18"/>
      <c r="AO313" s="18"/>
      <c r="AP313" s="18"/>
      <c r="AQ313" s="18"/>
      <c r="BC313" s="601"/>
      <c r="BD313" s="601"/>
      <c r="BE313" s="601"/>
      <c r="BF313" s="601"/>
      <c r="BG313" s="601"/>
      <c r="BH313" s="601"/>
      <c r="BI313" s="601"/>
      <c r="BJ313" s="601"/>
      <c r="BK313" s="601"/>
    </row>
    <row r="314" spans="1:63" s="584" customFormat="1" ht="55.5" customHeight="1" thickTop="1" thickBot="1">
      <c r="A314" s="597"/>
      <c r="D314" s="1801"/>
      <c r="E314" s="1802"/>
      <c r="F314" s="1802"/>
      <c r="G314" s="1804"/>
      <c r="H314" s="1838" t="s">
        <v>41</v>
      </c>
      <c r="I314" s="1838"/>
      <c r="J314" s="1838"/>
      <c r="K314" s="1838" t="s">
        <v>42</v>
      </c>
      <c r="L314" s="1838"/>
      <c r="M314" s="1838"/>
      <c r="N314" s="1838" t="s">
        <v>43</v>
      </c>
      <c r="O314" s="1838"/>
      <c r="P314" s="1838"/>
      <c r="Q314" s="1838" t="s">
        <v>1407</v>
      </c>
      <c r="R314" s="1838"/>
      <c r="S314" s="1838"/>
      <c r="T314" s="1838" t="s">
        <v>44</v>
      </c>
      <c r="U314" s="1838"/>
      <c r="V314" s="1838"/>
      <c r="W314" s="1838" t="s">
        <v>45</v>
      </c>
      <c r="X314" s="1838"/>
      <c r="Y314" s="1838"/>
      <c r="Z314" s="1838" t="s">
        <v>445</v>
      </c>
      <c r="AA314" s="1838"/>
      <c r="AB314" s="1838"/>
      <c r="AC314" s="1838" t="s">
        <v>46</v>
      </c>
      <c r="AD314" s="1838"/>
      <c r="AE314" s="1838"/>
      <c r="AF314" s="1838" t="s">
        <v>14</v>
      </c>
      <c r="AG314" s="1838"/>
      <c r="AH314" s="1838"/>
      <c r="AI314" s="764" t="s">
        <v>41</v>
      </c>
      <c r="AJ314" s="764" t="s">
        <v>42</v>
      </c>
      <c r="AK314" s="764" t="s">
        <v>43</v>
      </c>
      <c r="AL314" s="764" t="s">
        <v>444</v>
      </c>
      <c r="AM314" s="764" t="s">
        <v>44</v>
      </c>
      <c r="AN314" s="764" t="s">
        <v>45</v>
      </c>
      <c r="AO314" s="764" t="s">
        <v>445</v>
      </c>
      <c r="AP314" s="764" t="s">
        <v>46</v>
      </c>
      <c r="AQ314" s="764" t="s">
        <v>14</v>
      </c>
      <c r="BC314" s="601"/>
      <c r="BD314" s="601"/>
      <c r="BE314" s="601"/>
      <c r="BF314" s="601"/>
      <c r="BG314" s="601"/>
      <c r="BH314" s="601"/>
      <c r="BI314" s="601"/>
      <c r="BJ314" s="601"/>
      <c r="BK314" s="601"/>
    </row>
    <row r="315" spans="1:63" s="584" customFormat="1" ht="15" thickBot="1">
      <c r="A315" s="597"/>
      <c r="D315" s="1826" t="s">
        <v>25</v>
      </c>
      <c r="E315" s="1827"/>
      <c r="F315" s="1827"/>
      <c r="G315" s="1827"/>
      <c r="H315" s="1827"/>
      <c r="I315" s="1827"/>
      <c r="J315" s="1827"/>
      <c r="K315" s="1827"/>
      <c r="L315" s="1827"/>
      <c r="M315" s="1827"/>
      <c r="N315" s="1827"/>
      <c r="O315" s="1827"/>
      <c r="P315" s="1827"/>
      <c r="Q315" s="1827"/>
      <c r="R315" s="1827"/>
      <c r="S315" s="1827"/>
      <c r="T315" s="1827"/>
      <c r="U315" s="1827"/>
      <c r="V315" s="1827"/>
      <c r="W315" s="1827"/>
      <c r="X315" s="1827"/>
      <c r="Y315" s="1827"/>
      <c r="Z315" s="1827"/>
      <c r="AA315" s="1827"/>
      <c r="AB315" s="1827"/>
      <c r="AC315" s="1827"/>
      <c r="AD315" s="1827"/>
      <c r="AE315" s="1827"/>
      <c r="AF315" s="1827"/>
      <c r="AG315" s="1827"/>
      <c r="AH315" s="1828"/>
      <c r="AI315" s="612"/>
      <c r="AJ315" s="613"/>
      <c r="AK315" s="613"/>
      <c r="AL315" s="613"/>
      <c r="AM315" s="613"/>
      <c r="AN315" s="613"/>
      <c r="AO315" s="613"/>
      <c r="AP315" s="613"/>
      <c r="AQ315" s="618"/>
      <c r="BC315" s="781"/>
      <c r="BD315" s="782"/>
      <c r="BE315" s="782"/>
      <c r="BF315" s="782"/>
      <c r="BG315" s="782"/>
      <c r="BH315" s="782"/>
      <c r="BI315" s="782"/>
      <c r="BJ315" s="782"/>
      <c r="BK315" s="783"/>
    </row>
    <row r="316" spans="1:63" s="584" customFormat="1" ht="22.5" customHeight="1">
      <c r="A316" s="597"/>
      <c r="D316" s="1868" t="s">
        <v>26</v>
      </c>
      <c r="E316" s="1868"/>
      <c r="F316" s="1868"/>
      <c r="G316" s="1868"/>
      <c r="H316" s="1878">
        <v>0</v>
      </c>
      <c r="I316" s="1879"/>
      <c r="J316" s="1880"/>
      <c r="K316" s="1872">
        <v>0</v>
      </c>
      <c r="L316" s="1873"/>
      <c r="M316" s="1874"/>
      <c r="N316" s="1872">
        <v>432854</v>
      </c>
      <c r="O316" s="1873"/>
      <c r="P316" s="1874"/>
      <c r="Q316" s="1872">
        <v>0</v>
      </c>
      <c r="R316" s="1873"/>
      <c r="S316" s="1874"/>
      <c r="T316" s="1872">
        <v>0</v>
      </c>
      <c r="U316" s="1873"/>
      <c r="V316" s="1874"/>
      <c r="W316" s="1872">
        <v>0</v>
      </c>
      <c r="X316" s="1873"/>
      <c r="Y316" s="1874"/>
      <c r="Z316" s="1872">
        <v>0</v>
      </c>
      <c r="AA316" s="1873"/>
      <c r="AB316" s="1874"/>
      <c r="AC316" s="1872">
        <v>0</v>
      </c>
      <c r="AD316" s="1873"/>
      <c r="AE316" s="1874"/>
      <c r="AF316" s="1839">
        <f>SUM(H316:AE316)</f>
        <v>432854</v>
      </c>
      <c r="AG316" s="1840"/>
      <c r="AH316" s="1841"/>
      <c r="AI316" s="606"/>
      <c r="AJ316" s="607"/>
      <c r="AK316" s="607"/>
      <c r="AL316" s="607"/>
      <c r="AM316" s="607"/>
      <c r="AN316" s="607"/>
      <c r="AO316" s="607"/>
      <c r="AP316" s="607"/>
      <c r="AQ316" s="608">
        <f>SUM(H316:AE316)-AF316</f>
        <v>0</v>
      </c>
      <c r="BC316" s="776"/>
      <c r="BD316" s="601"/>
      <c r="BE316" s="601"/>
      <c r="BF316" s="601"/>
      <c r="BG316" s="601"/>
      <c r="BH316" s="601"/>
      <c r="BI316" s="601"/>
      <c r="BJ316" s="601"/>
      <c r="BK316" s="775"/>
    </row>
    <row r="317" spans="1:63" s="584" customFormat="1">
      <c r="A317" s="597"/>
      <c r="D317" s="1771" t="s">
        <v>27</v>
      </c>
      <c r="E317" s="1771"/>
      <c r="F317" s="1771"/>
      <c r="G317" s="1771"/>
      <c r="H317" s="1836">
        <v>0</v>
      </c>
      <c r="I317" s="1836"/>
      <c r="J317" s="1836"/>
      <c r="K317" s="1835">
        <v>0</v>
      </c>
      <c r="L317" s="1835"/>
      <c r="M317" s="1835"/>
      <c r="N317" s="1875">
        <v>0</v>
      </c>
      <c r="O317" s="1876"/>
      <c r="P317" s="1877"/>
      <c r="Q317" s="1835">
        <v>0</v>
      </c>
      <c r="R317" s="1835"/>
      <c r="S317" s="1835"/>
      <c r="T317" s="1835">
        <v>0</v>
      </c>
      <c r="U317" s="1835"/>
      <c r="V317" s="1835"/>
      <c r="W317" s="1835">
        <v>0</v>
      </c>
      <c r="X317" s="1835"/>
      <c r="Y317" s="1835"/>
      <c r="Z317" s="1835">
        <v>73021</v>
      </c>
      <c r="AA317" s="1835"/>
      <c r="AB317" s="1835"/>
      <c r="AC317" s="1835">
        <v>0</v>
      </c>
      <c r="AD317" s="1835"/>
      <c r="AE317" s="1835"/>
      <c r="AF317" s="1825">
        <f>SUM(H317:AE317)</f>
        <v>73021</v>
      </c>
      <c r="AG317" s="1825"/>
      <c r="AH317" s="1825"/>
      <c r="AI317" s="606"/>
      <c r="AJ317" s="607"/>
      <c r="AK317" s="607"/>
      <c r="AL317" s="607"/>
      <c r="AM317" s="607"/>
      <c r="AN317" s="607"/>
      <c r="AO317" s="607"/>
      <c r="AP317" s="607"/>
      <c r="AQ317" s="608">
        <f t="shared" ref="AQ317:AQ318" si="88">SUM(H317:AE317)-AF317</f>
        <v>0</v>
      </c>
      <c r="BC317" s="776"/>
      <c r="BD317" s="601"/>
      <c r="BE317" s="601"/>
      <c r="BF317" s="601"/>
      <c r="BG317" s="601"/>
      <c r="BH317" s="601"/>
      <c r="BI317" s="601"/>
      <c r="BJ317" s="601"/>
      <c r="BK317" s="775"/>
    </row>
    <row r="318" spans="1:63" s="584" customFormat="1">
      <c r="A318" s="597"/>
      <c r="D318" s="1771" t="s">
        <v>28</v>
      </c>
      <c r="E318" s="1771"/>
      <c r="F318" s="1771"/>
      <c r="G318" s="1771"/>
      <c r="H318" s="1836">
        <v>0</v>
      </c>
      <c r="I318" s="1836"/>
      <c r="J318" s="1836"/>
      <c r="K318" s="1835">
        <v>0</v>
      </c>
      <c r="L318" s="1835"/>
      <c r="M318" s="1835"/>
      <c r="N318" s="1835">
        <v>0</v>
      </c>
      <c r="O318" s="1835"/>
      <c r="P318" s="1835"/>
      <c r="Q318" s="1835">
        <v>0</v>
      </c>
      <c r="R318" s="1835"/>
      <c r="S318" s="1835"/>
      <c r="T318" s="1835">
        <v>0</v>
      </c>
      <c r="U318" s="1835"/>
      <c r="V318" s="1835"/>
      <c r="W318" s="1835">
        <v>0</v>
      </c>
      <c r="X318" s="1835"/>
      <c r="Y318" s="1835"/>
      <c r="Z318" s="1835">
        <v>0</v>
      </c>
      <c r="AA318" s="1835"/>
      <c r="AB318" s="1835"/>
      <c r="AC318" s="1835">
        <v>0</v>
      </c>
      <c r="AD318" s="1835"/>
      <c r="AE318" s="1835"/>
      <c r="AF318" s="1825">
        <f>SUM(H318:AE318)</f>
        <v>0</v>
      </c>
      <c r="AG318" s="1825"/>
      <c r="AH318" s="1825"/>
      <c r="AI318" s="606"/>
      <c r="AJ318" s="607"/>
      <c r="AK318" s="607"/>
      <c r="AL318" s="607"/>
      <c r="AM318" s="607"/>
      <c r="AN318" s="607"/>
      <c r="AO318" s="607"/>
      <c r="AP318" s="607"/>
      <c r="AQ318" s="608">
        <f t="shared" si="88"/>
        <v>0</v>
      </c>
      <c r="BC318" s="776"/>
      <c r="BD318" s="601"/>
      <c r="BE318" s="601"/>
      <c r="BF318" s="601"/>
      <c r="BG318" s="601"/>
      <c r="BH318" s="601"/>
      <c r="BI318" s="601"/>
      <c r="BJ318" s="601"/>
      <c r="BK318" s="775"/>
    </row>
    <row r="319" spans="1:63" s="584" customFormat="1">
      <c r="A319" s="597"/>
      <c r="D319" s="1771" t="s">
        <v>29</v>
      </c>
      <c r="E319" s="1771"/>
      <c r="F319" s="1771"/>
      <c r="G319" s="1771"/>
      <c r="H319" s="1836">
        <v>0</v>
      </c>
      <c r="I319" s="1836"/>
      <c r="J319" s="1836"/>
      <c r="K319" s="1835">
        <v>0</v>
      </c>
      <c r="L319" s="1835"/>
      <c r="M319" s="1835"/>
      <c r="N319" s="1835">
        <v>73021</v>
      </c>
      <c r="O319" s="1835"/>
      <c r="P319" s="1835"/>
      <c r="Q319" s="1835">
        <v>0</v>
      </c>
      <c r="R319" s="1835"/>
      <c r="S319" s="1835"/>
      <c r="T319" s="1835">
        <v>0</v>
      </c>
      <c r="U319" s="1835"/>
      <c r="V319" s="1835"/>
      <c r="W319" s="1835">
        <v>0</v>
      </c>
      <c r="X319" s="1835"/>
      <c r="Y319" s="1835"/>
      <c r="Z319" s="1835">
        <v>-73021</v>
      </c>
      <c r="AA319" s="1835"/>
      <c r="AB319" s="1835"/>
      <c r="AC319" s="1835">
        <v>0</v>
      </c>
      <c r="AD319" s="1835"/>
      <c r="AE319" s="1835"/>
      <c r="AF319" s="1825">
        <f>SUM(H319:AE319)</f>
        <v>0</v>
      </c>
      <c r="AG319" s="1825"/>
      <c r="AH319" s="1825"/>
      <c r="AI319" s="606"/>
      <c r="AJ319" s="607"/>
      <c r="AK319" s="607"/>
      <c r="AL319" s="607"/>
      <c r="AM319" s="607"/>
      <c r="AN319" s="607"/>
      <c r="AO319" s="607"/>
      <c r="AP319" s="607"/>
      <c r="AQ319" s="608">
        <f>SUM(H319:AE319)-AF319</f>
        <v>0</v>
      </c>
      <c r="BC319" s="776"/>
      <c r="BD319" s="601"/>
      <c r="BE319" s="601"/>
      <c r="BF319" s="601"/>
      <c r="BG319" s="601"/>
      <c r="BH319" s="601"/>
      <c r="BI319" s="601"/>
      <c r="BJ319" s="601"/>
      <c r="BK319" s="775"/>
    </row>
    <row r="320" spans="1:63" s="584" customFormat="1" ht="22.5" customHeight="1" thickBot="1">
      <c r="A320" s="597"/>
      <c r="D320" s="1821" t="s">
        <v>30</v>
      </c>
      <c r="E320" s="1821"/>
      <c r="F320" s="1821"/>
      <c r="G320" s="1821"/>
      <c r="H320" s="1760">
        <f>H316+H317-H318+H319</f>
        <v>0</v>
      </c>
      <c r="I320" s="1760"/>
      <c r="J320" s="1760"/>
      <c r="K320" s="1760">
        <f t="shared" ref="K320" si="89">K316+K317-K318+K319</f>
        <v>0</v>
      </c>
      <c r="L320" s="1760"/>
      <c r="M320" s="1760"/>
      <c r="N320" s="1760">
        <f>N316+N317-N318+N319</f>
        <v>505875</v>
      </c>
      <c r="O320" s="1760"/>
      <c r="P320" s="1760"/>
      <c r="Q320" s="1760">
        <f t="shared" ref="Q320" si="90">Q316+Q317-Q318+Q319</f>
        <v>0</v>
      </c>
      <c r="R320" s="1760"/>
      <c r="S320" s="1760"/>
      <c r="T320" s="1760">
        <f t="shared" ref="T320" si="91">T316+T317-T318+T319</f>
        <v>0</v>
      </c>
      <c r="U320" s="1760"/>
      <c r="V320" s="1760"/>
      <c r="W320" s="1760">
        <f t="shared" ref="W320" si="92">W316+W317-W318+W319</f>
        <v>0</v>
      </c>
      <c r="X320" s="1760"/>
      <c r="Y320" s="1760"/>
      <c r="Z320" s="1760">
        <f t="shared" ref="Z320" si="93">Z316+Z317-Z318+Z319</f>
        <v>0</v>
      </c>
      <c r="AA320" s="1760"/>
      <c r="AB320" s="1760"/>
      <c r="AC320" s="1760">
        <f t="shared" ref="AC320" si="94">AC316+AC317-AC318+AC319</f>
        <v>0</v>
      </c>
      <c r="AD320" s="1760"/>
      <c r="AE320" s="1760"/>
      <c r="AF320" s="1760">
        <f>AF316+AF317-AF318+AF319</f>
        <v>505875</v>
      </c>
      <c r="AG320" s="1760"/>
      <c r="AH320" s="1760"/>
      <c r="AI320" s="621">
        <f>H316+H317-H318+H319-H320</f>
        <v>0</v>
      </c>
      <c r="AJ320" s="661">
        <f>K316+K317-K318+K319-K320</f>
        <v>0</v>
      </c>
      <c r="AK320" s="661">
        <f>N316+N317-N318+N319-N320</f>
        <v>0</v>
      </c>
      <c r="AL320" s="661">
        <f>Q316+Q317-Q318+Q319-Q320</f>
        <v>0</v>
      </c>
      <c r="AM320" s="661">
        <f>T316+T317-T318+T319-T319</f>
        <v>0</v>
      </c>
      <c r="AN320" s="661">
        <f>W316+W317-W318+W319-W320</f>
        <v>0</v>
      </c>
      <c r="AO320" s="661">
        <f>Z316+Z317-Z318+Z319-Z320</f>
        <v>0</v>
      </c>
      <c r="AP320" s="661">
        <f>AC316+AC317-AC318+AC319-AC320</f>
        <v>0</v>
      </c>
      <c r="AQ320" s="608">
        <f>AF316+AF317-AF318+AF319-AF320</f>
        <v>0</v>
      </c>
      <c r="BC320" s="776"/>
      <c r="BD320" s="601"/>
      <c r="BE320" s="601"/>
      <c r="BF320" s="601"/>
      <c r="BG320" s="601"/>
      <c r="BH320" s="601"/>
      <c r="BI320" s="601"/>
      <c r="BJ320" s="601"/>
      <c r="BK320" s="775"/>
    </row>
    <row r="321" spans="1:63" s="584" customFormat="1" ht="15" thickBot="1">
      <c r="A321" s="597"/>
      <c r="D321" s="1826" t="s">
        <v>31</v>
      </c>
      <c r="E321" s="1827"/>
      <c r="F321" s="1827"/>
      <c r="G321" s="1827"/>
      <c r="H321" s="1827"/>
      <c r="I321" s="1827"/>
      <c r="J321" s="1827"/>
      <c r="K321" s="1827"/>
      <c r="L321" s="1827"/>
      <c r="M321" s="1827"/>
      <c r="N321" s="1827"/>
      <c r="O321" s="1827"/>
      <c r="P321" s="1827"/>
      <c r="Q321" s="1827"/>
      <c r="R321" s="1827"/>
      <c r="S321" s="1827"/>
      <c r="T321" s="1827"/>
      <c r="U321" s="1827"/>
      <c r="V321" s="1827"/>
      <c r="W321" s="1827"/>
      <c r="X321" s="1827"/>
      <c r="Y321" s="1827"/>
      <c r="Z321" s="1827"/>
      <c r="AA321" s="1827"/>
      <c r="AB321" s="1827"/>
      <c r="AC321" s="1827"/>
      <c r="AD321" s="1827"/>
      <c r="AE321" s="1827"/>
      <c r="AF321" s="1827"/>
      <c r="AG321" s="1827"/>
      <c r="AH321" s="1828"/>
      <c r="AI321" s="606"/>
      <c r="AJ321" s="607"/>
      <c r="AK321" s="607"/>
      <c r="AL321" s="607"/>
      <c r="AM321" s="607"/>
      <c r="AN321" s="607"/>
      <c r="AO321" s="607"/>
      <c r="AP321" s="607"/>
      <c r="AQ321" s="608"/>
      <c r="BC321" s="776"/>
      <c r="BD321" s="601"/>
      <c r="BE321" s="601"/>
      <c r="BF321" s="601"/>
      <c r="BG321" s="601"/>
      <c r="BH321" s="601"/>
      <c r="BI321" s="601"/>
      <c r="BJ321" s="601"/>
      <c r="BK321" s="775"/>
    </row>
    <row r="322" spans="1:63" s="584" customFormat="1" ht="22.5" customHeight="1">
      <c r="A322" s="597"/>
      <c r="D322" s="1868" t="s">
        <v>32</v>
      </c>
      <c r="E322" s="1868"/>
      <c r="F322" s="1868"/>
      <c r="G322" s="1868"/>
      <c r="H322" s="1869">
        <v>0</v>
      </c>
      <c r="I322" s="1869"/>
      <c r="J322" s="1869"/>
      <c r="K322" s="1870">
        <v>0</v>
      </c>
      <c r="L322" s="1870"/>
      <c r="M322" s="1870"/>
      <c r="N322" s="1870">
        <v>244284</v>
      </c>
      <c r="O322" s="1870"/>
      <c r="P322" s="1870"/>
      <c r="Q322" s="1870">
        <v>0</v>
      </c>
      <c r="R322" s="1870"/>
      <c r="S322" s="1870"/>
      <c r="T322" s="1870">
        <v>0</v>
      </c>
      <c r="U322" s="1870"/>
      <c r="V322" s="1870"/>
      <c r="W322" s="1870">
        <v>0</v>
      </c>
      <c r="X322" s="1870"/>
      <c r="Y322" s="1870"/>
      <c r="Z322" s="1870">
        <v>0</v>
      </c>
      <c r="AA322" s="1870"/>
      <c r="AB322" s="1870"/>
      <c r="AC322" s="1870">
        <v>0</v>
      </c>
      <c r="AD322" s="1870"/>
      <c r="AE322" s="1870"/>
      <c r="AF322" s="1867">
        <f>SUM(H322:AE322)</f>
        <v>244284</v>
      </c>
      <c r="AG322" s="1867"/>
      <c r="AH322" s="1867"/>
      <c r="AI322" s="606"/>
      <c r="AJ322" s="607"/>
      <c r="AK322" s="607"/>
      <c r="AL322" s="607"/>
      <c r="AM322" s="607"/>
      <c r="AN322" s="607"/>
      <c r="AO322" s="607"/>
      <c r="AP322" s="607"/>
      <c r="AQ322" s="608">
        <f>SUM(H322:AE322)-AF322</f>
        <v>0</v>
      </c>
      <c r="BC322" s="776"/>
      <c r="BD322" s="601"/>
      <c r="BE322" s="601"/>
      <c r="BF322" s="601"/>
      <c r="BG322" s="601"/>
      <c r="BH322" s="601"/>
      <c r="BI322" s="601"/>
      <c r="BJ322" s="601"/>
      <c r="BK322" s="775"/>
    </row>
    <row r="323" spans="1:63" s="584" customFormat="1">
      <c r="A323" s="597"/>
      <c r="D323" s="1771" t="s">
        <v>27</v>
      </c>
      <c r="E323" s="1771"/>
      <c r="F323" s="1771"/>
      <c r="G323" s="1771"/>
      <c r="H323" s="1836">
        <v>0</v>
      </c>
      <c r="I323" s="1836"/>
      <c r="J323" s="1836"/>
      <c r="K323" s="1835">
        <v>0</v>
      </c>
      <c r="L323" s="1835"/>
      <c r="M323" s="1835"/>
      <c r="N323" s="1835">
        <v>79432</v>
      </c>
      <c r="O323" s="1835"/>
      <c r="P323" s="1835"/>
      <c r="Q323" s="1835">
        <v>0</v>
      </c>
      <c r="R323" s="1835"/>
      <c r="S323" s="1835"/>
      <c r="T323" s="1835">
        <v>0</v>
      </c>
      <c r="U323" s="1835"/>
      <c r="V323" s="1835"/>
      <c r="W323" s="1835">
        <v>0</v>
      </c>
      <c r="X323" s="1835"/>
      <c r="Y323" s="1835"/>
      <c r="Z323" s="1835">
        <v>0</v>
      </c>
      <c r="AA323" s="1835"/>
      <c r="AB323" s="1835"/>
      <c r="AC323" s="1835">
        <v>0</v>
      </c>
      <c r="AD323" s="1835"/>
      <c r="AE323" s="1835"/>
      <c r="AF323" s="1825">
        <f>SUM(H323:AE323)</f>
        <v>79432</v>
      </c>
      <c r="AG323" s="1825"/>
      <c r="AH323" s="1825"/>
      <c r="AI323" s="606"/>
      <c r="AJ323" s="607"/>
      <c r="AK323" s="607"/>
      <c r="AL323" s="607"/>
      <c r="AM323" s="607"/>
      <c r="AN323" s="607"/>
      <c r="AO323" s="607"/>
      <c r="AP323" s="607"/>
      <c r="AQ323" s="608">
        <f t="shared" ref="AQ323:AQ324" si="95">SUM(H323:AE323)-AF323</f>
        <v>0</v>
      </c>
      <c r="BC323" s="776"/>
      <c r="BD323" s="601"/>
      <c r="BE323" s="601"/>
      <c r="BF323" s="601"/>
      <c r="BG323" s="601"/>
      <c r="BH323" s="601"/>
      <c r="BI323" s="601"/>
      <c r="BJ323" s="601"/>
      <c r="BK323" s="775"/>
    </row>
    <row r="324" spans="1:63" s="584" customFormat="1">
      <c r="A324" s="597"/>
      <c r="D324" s="1771" t="s">
        <v>28</v>
      </c>
      <c r="E324" s="1771"/>
      <c r="F324" s="1771"/>
      <c r="G324" s="1771"/>
      <c r="H324" s="1836">
        <v>0</v>
      </c>
      <c r="I324" s="1836"/>
      <c r="J324" s="1836"/>
      <c r="K324" s="1835">
        <v>0</v>
      </c>
      <c r="L324" s="1835"/>
      <c r="M324" s="1835"/>
      <c r="N324" s="1835">
        <v>0</v>
      </c>
      <c r="O324" s="1835"/>
      <c r="P324" s="1835"/>
      <c r="Q324" s="1835">
        <v>0</v>
      </c>
      <c r="R324" s="1835"/>
      <c r="S324" s="1835"/>
      <c r="T324" s="1835">
        <v>0</v>
      </c>
      <c r="U324" s="1835"/>
      <c r="V324" s="1835"/>
      <c r="W324" s="1835">
        <v>0</v>
      </c>
      <c r="X324" s="1835"/>
      <c r="Y324" s="1835"/>
      <c r="Z324" s="1835">
        <v>0</v>
      </c>
      <c r="AA324" s="1835"/>
      <c r="AB324" s="1835"/>
      <c r="AC324" s="1835">
        <v>0</v>
      </c>
      <c r="AD324" s="1835"/>
      <c r="AE324" s="1835"/>
      <c r="AF324" s="1825">
        <f>SUM(H324:AE324)</f>
        <v>0</v>
      </c>
      <c r="AG324" s="1825"/>
      <c r="AH324" s="1825"/>
      <c r="AI324" s="606"/>
      <c r="AJ324" s="607"/>
      <c r="AK324" s="607"/>
      <c r="AL324" s="607"/>
      <c r="AM324" s="607"/>
      <c r="AN324" s="607"/>
      <c r="AO324" s="607"/>
      <c r="AP324" s="607"/>
      <c r="AQ324" s="608">
        <f t="shared" si="95"/>
        <v>0</v>
      </c>
      <c r="BC324" s="776"/>
      <c r="BD324" s="601"/>
      <c r="BE324" s="601"/>
      <c r="BF324" s="601"/>
      <c r="BG324" s="601"/>
      <c r="BH324" s="601"/>
      <c r="BI324" s="601"/>
      <c r="BJ324" s="601"/>
      <c r="BK324" s="775"/>
    </row>
    <row r="325" spans="1:63" s="584" customFormat="1">
      <c r="A325" s="597"/>
      <c r="D325" s="1771" t="s">
        <v>29</v>
      </c>
      <c r="E325" s="1771"/>
      <c r="F325" s="1771"/>
      <c r="G325" s="1771"/>
      <c r="H325" s="1836">
        <v>0</v>
      </c>
      <c r="I325" s="1836"/>
      <c r="J325" s="1836"/>
      <c r="K325" s="1835">
        <v>0</v>
      </c>
      <c r="L325" s="1835"/>
      <c r="M325" s="1835"/>
      <c r="N325" s="1835">
        <v>0</v>
      </c>
      <c r="O325" s="1835"/>
      <c r="P325" s="1835"/>
      <c r="Q325" s="1835">
        <v>0</v>
      </c>
      <c r="R325" s="1835"/>
      <c r="S325" s="1835"/>
      <c r="T325" s="1835">
        <v>0</v>
      </c>
      <c r="U325" s="1835"/>
      <c r="V325" s="1835"/>
      <c r="W325" s="1835">
        <v>0</v>
      </c>
      <c r="X325" s="1835"/>
      <c r="Y325" s="1835"/>
      <c r="Z325" s="1835">
        <v>0</v>
      </c>
      <c r="AA325" s="1835"/>
      <c r="AB325" s="1835"/>
      <c r="AC325" s="1835">
        <v>0</v>
      </c>
      <c r="AD325" s="1835"/>
      <c r="AE325" s="1835"/>
      <c r="AF325" s="1825">
        <f>SUM(H325:AE325)</f>
        <v>0</v>
      </c>
      <c r="AG325" s="1825"/>
      <c r="AH325" s="1825"/>
      <c r="AI325" s="606"/>
      <c r="AJ325" s="607"/>
      <c r="AK325" s="607"/>
      <c r="AL325" s="607"/>
      <c r="AM325" s="607"/>
      <c r="AN325" s="607"/>
      <c r="AO325" s="607"/>
      <c r="AP325" s="607"/>
      <c r="AQ325" s="608">
        <f>SUM(H325:AE325)-AF325</f>
        <v>0</v>
      </c>
      <c r="BC325" s="776"/>
      <c r="BD325" s="601"/>
      <c r="BE325" s="601"/>
      <c r="BF325" s="601"/>
      <c r="BG325" s="601"/>
      <c r="BH325" s="601"/>
      <c r="BI325" s="601"/>
      <c r="BJ325" s="601"/>
      <c r="BK325" s="775"/>
    </row>
    <row r="326" spans="1:63" s="584" customFormat="1" ht="22.5" customHeight="1" thickBot="1">
      <c r="A326" s="597"/>
      <c r="D326" s="1821" t="s">
        <v>30</v>
      </c>
      <c r="E326" s="1821"/>
      <c r="F326" s="1821"/>
      <c r="G326" s="1821"/>
      <c r="H326" s="1760">
        <f>H322+H323-H324+H325</f>
        <v>0</v>
      </c>
      <c r="I326" s="1760"/>
      <c r="J326" s="1760"/>
      <c r="K326" s="1760">
        <f t="shared" ref="K326" si="96">K322+K323-K324+K325</f>
        <v>0</v>
      </c>
      <c r="L326" s="1760"/>
      <c r="M326" s="1760"/>
      <c r="N326" s="1760">
        <f>N322+N323-N324+N325</f>
        <v>323716</v>
      </c>
      <c r="O326" s="1760"/>
      <c r="P326" s="1760"/>
      <c r="Q326" s="1760">
        <f t="shared" ref="Q326" si="97">Q322+Q323-Q324+Q325</f>
        <v>0</v>
      </c>
      <c r="R326" s="1760"/>
      <c r="S326" s="1760"/>
      <c r="T326" s="1760">
        <f t="shared" ref="T326" si="98">T322+T323-T324+T325</f>
        <v>0</v>
      </c>
      <c r="U326" s="1760"/>
      <c r="V326" s="1760"/>
      <c r="W326" s="1760">
        <f t="shared" ref="W326" si="99">W322+W323-W324+W325</f>
        <v>0</v>
      </c>
      <c r="X326" s="1760"/>
      <c r="Y326" s="1760"/>
      <c r="Z326" s="1760">
        <f t="shared" ref="Z326" si="100">Z322+Z323-Z324+Z325</f>
        <v>0</v>
      </c>
      <c r="AA326" s="1760"/>
      <c r="AB326" s="1760"/>
      <c r="AC326" s="1760">
        <f t="shared" ref="AC326" si="101">AC322+AC323-AC324+AC325</f>
        <v>0</v>
      </c>
      <c r="AD326" s="1760"/>
      <c r="AE326" s="1760"/>
      <c r="AF326" s="1760">
        <f>AF322+AF323-AF324+AF325</f>
        <v>323716</v>
      </c>
      <c r="AG326" s="1760"/>
      <c r="AH326" s="1760"/>
      <c r="AI326" s="621">
        <f>H322+H323-H324+H325-H326</f>
        <v>0</v>
      </c>
      <c r="AJ326" s="661">
        <f>K322+K323-K324+K325-K326</f>
        <v>0</v>
      </c>
      <c r="AK326" s="661">
        <f>N322+N323-N324+N325-N326</f>
        <v>0</v>
      </c>
      <c r="AL326" s="661">
        <f>Q322+Q323-Q324+Q325-Q326</f>
        <v>0</v>
      </c>
      <c r="AM326" s="661">
        <f>T322+T323-T324+T325-T325</f>
        <v>0</v>
      </c>
      <c r="AN326" s="661">
        <f>W322+W323-W324+W325-W326</f>
        <v>0</v>
      </c>
      <c r="AO326" s="661">
        <f>Z322+Z323-Z324+Z325-Z326</f>
        <v>0</v>
      </c>
      <c r="AP326" s="661">
        <f>AC322+AC323-AC324+AC325-AC326</f>
        <v>0</v>
      </c>
      <c r="AQ326" s="608">
        <f>AF322+AF323-AF324+AF325-AF326</f>
        <v>0</v>
      </c>
      <c r="BC326" s="776"/>
      <c r="BD326" s="601"/>
      <c r="BE326" s="601"/>
      <c r="BF326" s="601"/>
      <c r="BG326" s="601"/>
      <c r="BH326" s="601"/>
      <c r="BI326" s="601"/>
      <c r="BJ326" s="601"/>
      <c r="BK326" s="775"/>
    </row>
    <row r="327" spans="1:63" s="584" customFormat="1" ht="15" thickBot="1">
      <c r="A327" s="597"/>
      <c r="D327" s="1826" t="s">
        <v>33</v>
      </c>
      <c r="E327" s="1827"/>
      <c r="F327" s="1827"/>
      <c r="G327" s="1827"/>
      <c r="H327" s="1827"/>
      <c r="I327" s="1827"/>
      <c r="J327" s="1827"/>
      <c r="K327" s="1827"/>
      <c r="L327" s="1827"/>
      <c r="M327" s="1827"/>
      <c r="N327" s="1827"/>
      <c r="O327" s="1827"/>
      <c r="P327" s="1827"/>
      <c r="Q327" s="1827"/>
      <c r="R327" s="1827"/>
      <c r="S327" s="1827"/>
      <c r="T327" s="1827"/>
      <c r="U327" s="1827"/>
      <c r="V327" s="1827"/>
      <c r="W327" s="1827"/>
      <c r="X327" s="1827"/>
      <c r="Y327" s="1827"/>
      <c r="Z327" s="1827"/>
      <c r="AA327" s="1827"/>
      <c r="AB327" s="1827"/>
      <c r="AC327" s="1827"/>
      <c r="AD327" s="1827"/>
      <c r="AE327" s="1827"/>
      <c r="AF327" s="1827"/>
      <c r="AG327" s="1827"/>
      <c r="AH327" s="1828"/>
      <c r="AI327" s="606"/>
      <c r="AJ327" s="607"/>
      <c r="AK327" s="607"/>
      <c r="AL327" s="607"/>
      <c r="AM327" s="607"/>
      <c r="AN327" s="607"/>
      <c r="AO327" s="607"/>
      <c r="AP327" s="607"/>
      <c r="AQ327" s="608"/>
      <c r="BC327" s="776"/>
      <c r="BD327" s="601"/>
      <c r="BE327" s="601"/>
      <c r="BF327" s="601"/>
      <c r="BG327" s="601"/>
      <c r="BH327" s="601"/>
      <c r="BI327" s="601"/>
      <c r="BJ327" s="601"/>
      <c r="BK327" s="775"/>
    </row>
    <row r="328" spans="1:63" s="584" customFormat="1" ht="22.5" customHeight="1">
      <c r="A328" s="597"/>
      <c r="D328" s="1868" t="s">
        <v>32</v>
      </c>
      <c r="E328" s="1868"/>
      <c r="F328" s="1868"/>
      <c r="G328" s="1868"/>
      <c r="H328" s="1871">
        <v>0</v>
      </c>
      <c r="I328" s="1871"/>
      <c r="J328" s="1871"/>
      <c r="K328" s="1837">
        <v>0</v>
      </c>
      <c r="L328" s="1837"/>
      <c r="M328" s="1837"/>
      <c r="N328" s="1837">
        <v>0</v>
      </c>
      <c r="O328" s="1837"/>
      <c r="P328" s="1837"/>
      <c r="Q328" s="1837">
        <v>0</v>
      </c>
      <c r="R328" s="1837"/>
      <c r="S328" s="1837"/>
      <c r="T328" s="1837">
        <v>0</v>
      </c>
      <c r="U328" s="1837"/>
      <c r="V328" s="1837"/>
      <c r="W328" s="1837">
        <v>0</v>
      </c>
      <c r="X328" s="1837"/>
      <c r="Y328" s="1837"/>
      <c r="Z328" s="1837">
        <v>0</v>
      </c>
      <c r="AA328" s="1837"/>
      <c r="AB328" s="1837"/>
      <c r="AC328" s="1837">
        <v>0</v>
      </c>
      <c r="AD328" s="1837"/>
      <c r="AE328" s="1837"/>
      <c r="AF328" s="1867">
        <f>SUM(H328:AE328)</f>
        <v>0</v>
      </c>
      <c r="AG328" s="1867"/>
      <c r="AH328" s="1867"/>
      <c r="AI328" s="606"/>
      <c r="AJ328" s="607"/>
      <c r="AK328" s="607"/>
      <c r="AL328" s="607"/>
      <c r="AM328" s="607"/>
      <c r="AN328" s="607"/>
      <c r="AO328" s="607"/>
      <c r="AP328" s="607"/>
      <c r="AQ328" s="608">
        <f>SUM(H328:AE328)-AF328</f>
        <v>0</v>
      </c>
      <c r="BC328" s="776"/>
      <c r="BD328" s="601"/>
      <c r="BE328" s="601"/>
      <c r="BF328" s="601"/>
      <c r="BG328" s="601"/>
      <c r="BH328" s="601"/>
      <c r="BI328" s="601"/>
      <c r="BJ328" s="601"/>
      <c r="BK328" s="775"/>
    </row>
    <row r="329" spans="1:63" s="584" customFormat="1">
      <c r="A329" s="597"/>
      <c r="D329" s="1771" t="s">
        <v>27</v>
      </c>
      <c r="E329" s="1771"/>
      <c r="F329" s="1771"/>
      <c r="G329" s="1771"/>
      <c r="H329" s="1772">
        <v>0</v>
      </c>
      <c r="I329" s="1772"/>
      <c r="J329" s="1772"/>
      <c r="K329" s="1773">
        <v>0</v>
      </c>
      <c r="L329" s="1773"/>
      <c r="M329" s="1773"/>
      <c r="N329" s="1773">
        <v>0</v>
      </c>
      <c r="O329" s="1773"/>
      <c r="P329" s="1773"/>
      <c r="Q329" s="1773">
        <v>0</v>
      </c>
      <c r="R329" s="1773"/>
      <c r="S329" s="1773"/>
      <c r="T329" s="1773">
        <v>0</v>
      </c>
      <c r="U329" s="1773"/>
      <c r="V329" s="1773"/>
      <c r="W329" s="1773">
        <v>0</v>
      </c>
      <c r="X329" s="1773"/>
      <c r="Y329" s="1773"/>
      <c r="Z329" s="1773">
        <v>0</v>
      </c>
      <c r="AA329" s="1773"/>
      <c r="AB329" s="1773"/>
      <c r="AC329" s="1773">
        <v>0</v>
      </c>
      <c r="AD329" s="1773"/>
      <c r="AE329" s="1773"/>
      <c r="AF329" s="1825">
        <f>SUM(H329:AE329)</f>
        <v>0</v>
      </c>
      <c r="AG329" s="1825"/>
      <c r="AH329" s="1825"/>
      <c r="AI329" s="606"/>
      <c r="AJ329" s="607"/>
      <c r="AK329" s="607"/>
      <c r="AL329" s="607"/>
      <c r="AM329" s="607"/>
      <c r="AN329" s="607"/>
      <c r="AO329" s="607"/>
      <c r="AP329" s="607"/>
      <c r="AQ329" s="608">
        <f>SUM(H329:AE329)-AF329</f>
        <v>0</v>
      </c>
      <c r="BC329" s="776"/>
      <c r="BD329" s="601"/>
      <c r="BE329" s="601"/>
      <c r="BF329" s="601"/>
      <c r="BG329" s="601"/>
      <c r="BH329" s="601"/>
      <c r="BI329" s="601"/>
      <c r="BJ329" s="601"/>
      <c r="BK329" s="775"/>
    </row>
    <row r="330" spans="1:63" s="584" customFormat="1">
      <c r="A330" s="597"/>
      <c r="D330" s="1771" t="s">
        <v>28</v>
      </c>
      <c r="E330" s="1771"/>
      <c r="F330" s="1771"/>
      <c r="G330" s="1771"/>
      <c r="H330" s="1772">
        <v>0</v>
      </c>
      <c r="I330" s="1772"/>
      <c r="J330" s="1772"/>
      <c r="K330" s="1773">
        <v>0</v>
      </c>
      <c r="L330" s="1773"/>
      <c r="M330" s="1773"/>
      <c r="N330" s="1773">
        <v>0</v>
      </c>
      <c r="O330" s="1773"/>
      <c r="P330" s="1773"/>
      <c r="Q330" s="1773">
        <v>0</v>
      </c>
      <c r="R330" s="1773"/>
      <c r="S330" s="1773"/>
      <c r="T330" s="1773">
        <v>0</v>
      </c>
      <c r="U330" s="1773"/>
      <c r="V330" s="1773"/>
      <c r="W330" s="1773">
        <v>0</v>
      </c>
      <c r="X330" s="1773"/>
      <c r="Y330" s="1773"/>
      <c r="Z330" s="1773">
        <v>0</v>
      </c>
      <c r="AA330" s="1773"/>
      <c r="AB330" s="1773"/>
      <c r="AC330" s="1773">
        <v>0</v>
      </c>
      <c r="AD330" s="1773"/>
      <c r="AE330" s="1773"/>
      <c r="AF330" s="1825">
        <f>SUM(H330:AE330)</f>
        <v>0</v>
      </c>
      <c r="AG330" s="1825"/>
      <c r="AH330" s="1825"/>
      <c r="AI330" s="606"/>
      <c r="AJ330" s="607"/>
      <c r="AK330" s="607"/>
      <c r="AL330" s="607"/>
      <c r="AM330" s="607"/>
      <c r="AN330" s="607"/>
      <c r="AO330" s="607"/>
      <c r="AP330" s="607"/>
      <c r="AQ330" s="608">
        <f t="shared" ref="AQ330" si="102">SUM(H330:AE330)-AF330</f>
        <v>0</v>
      </c>
      <c r="BC330" s="776"/>
      <c r="BD330" s="601"/>
      <c r="BE330" s="601"/>
      <c r="BF330" s="601"/>
      <c r="BG330" s="601"/>
      <c r="BH330" s="601"/>
      <c r="BI330" s="601"/>
      <c r="BJ330" s="601"/>
      <c r="BK330" s="775"/>
    </row>
    <row r="331" spans="1:63" s="584" customFormat="1">
      <c r="A331" s="597"/>
      <c r="D331" s="1771" t="s">
        <v>29</v>
      </c>
      <c r="E331" s="1771"/>
      <c r="F331" s="1771"/>
      <c r="G331" s="1771"/>
      <c r="H331" s="1772">
        <v>0</v>
      </c>
      <c r="I331" s="1772"/>
      <c r="J331" s="1772"/>
      <c r="K331" s="1773">
        <v>0</v>
      </c>
      <c r="L331" s="1773"/>
      <c r="M331" s="1773"/>
      <c r="N331" s="1773">
        <v>0</v>
      </c>
      <c r="O331" s="1773"/>
      <c r="P331" s="1773"/>
      <c r="Q331" s="1773">
        <v>0</v>
      </c>
      <c r="R331" s="1773"/>
      <c r="S331" s="1773"/>
      <c r="T331" s="1773">
        <v>0</v>
      </c>
      <c r="U331" s="1773"/>
      <c r="V331" s="1773"/>
      <c r="W331" s="1773">
        <v>0</v>
      </c>
      <c r="X331" s="1773"/>
      <c r="Y331" s="1773"/>
      <c r="Z331" s="1773">
        <v>0</v>
      </c>
      <c r="AA331" s="1773"/>
      <c r="AB331" s="1773"/>
      <c r="AC331" s="1773">
        <v>0</v>
      </c>
      <c r="AD331" s="1773"/>
      <c r="AE331" s="1773"/>
      <c r="AF331" s="1825">
        <f>SUM(H331:AE331)</f>
        <v>0</v>
      </c>
      <c r="AG331" s="1825"/>
      <c r="AH331" s="1825"/>
      <c r="AI331" s="606"/>
      <c r="AJ331" s="607"/>
      <c r="AK331" s="607"/>
      <c r="AL331" s="607"/>
      <c r="AM331" s="607"/>
      <c r="AN331" s="607"/>
      <c r="AO331" s="607"/>
      <c r="AP331" s="607"/>
      <c r="AQ331" s="608">
        <f>SUM(H331:AE331)-AF331</f>
        <v>0</v>
      </c>
      <c r="BC331" s="776"/>
      <c r="BD331" s="601"/>
      <c r="BE331" s="601"/>
      <c r="BF331" s="601"/>
      <c r="BG331" s="601"/>
      <c r="BH331" s="601"/>
      <c r="BI331" s="601"/>
      <c r="BJ331" s="601"/>
      <c r="BK331" s="775"/>
    </row>
    <row r="332" spans="1:63" s="584" customFormat="1" ht="22.5" customHeight="1" thickBot="1">
      <c r="A332" s="597"/>
      <c r="D332" s="1821" t="s">
        <v>30</v>
      </c>
      <c r="E332" s="1821"/>
      <c r="F332" s="1821"/>
      <c r="G332" s="1821"/>
      <c r="H332" s="1760">
        <f>H328+H329-H330+H331</f>
        <v>0</v>
      </c>
      <c r="I332" s="1760"/>
      <c r="J332" s="1760"/>
      <c r="K332" s="1760">
        <f t="shared" ref="K332" si="103">K328+K329-K330+K331</f>
        <v>0</v>
      </c>
      <c r="L332" s="1760"/>
      <c r="M332" s="1760"/>
      <c r="N332" s="1760">
        <f t="shared" ref="N332" si="104">N328+N329-N330+N331</f>
        <v>0</v>
      </c>
      <c r="O332" s="1760"/>
      <c r="P332" s="1760"/>
      <c r="Q332" s="1760">
        <f t="shared" ref="Q332" si="105">Q328+Q329-Q330+Q331</f>
        <v>0</v>
      </c>
      <c r="R332" s="1760"/>
      <c r="S332" s="1760"/>
      <c r="T332" s="1760">
        <f t="shared" ref="T332" si="106">T328+T329-T330+T331</f>
        <v>0</v>
      </c>
      <c r="U332" s="1760"/>
      <c r="V332" s="1760"/>
      <c r="W332" s="1760">
        <f t="shared" ref="W332" si="107">W328+W329-W330+W331</f>
        <v>0</v>
      </c>
      <c r="X332" s="1760"/>
      <c r="Y332" s="1760"/>
      <c r="Z332" s="1760">
        <f t="shared" ref="Z332" si="108">Z328+Z329-Z330+Z331</f>
        <v>0</v>
      </c>
      <c r="AA332" s="1760"/>
      <c r="AB332" s="1760"/>
      <c r="AC332" s="1760">
        <f t="shared" ref="AC332" si="109">AC328+AC329-AC330+AC331</f>
        <v>0</v>
      </c>
      <c r="AD332" s="1760"/>
      <c r="AE332" s="1760"/>
      <c r="AF332" s="1760">
        <f t="shared" ref="AF332" si="110">AF328+AF329-AF330+AF331</f>
        <v>0</v>
      </c>
      <c r="AG332" s="1760"/>
      <c r="AH332" s="1760"/>
      <c r="AI332" s="621">
        <f>H328+H329-H330+H331-H332</f>
        <v>0</v>
      </c>
      <c r="AJ332" s="661">
        <f>K328+K329-K330+K331-K332</f>
        <v>0</v>
      </c>
      <c r="AK332" s="661">
        <f>N328+N329-N330+N331-N332</f>
        <v>0</v>
      </c>
      <c r="AL332" s="661">
        <f>Q328+Q329-Q330+Q331-Q332</f>
        <v>0</v>
      </c>
      <c r="AM332" s="661">
        <f>T328+T329-T330+T331-T331</f>
        <v>0</v>
      </c>
      <c r="AN332" s="661">
        <f>W328+W329-W330+W331-W332</f>
        <v>0</v>
      </c>
      <c r="AO332" s="661">
        <f>Z328+Z329-Z330+Z331-Z332</f>
        <v>0</v>
      </c>
      <c r="AP332" s="661">
        <f>AC328+AC329-AC330+AC331-AC332</f>
        <v>0</v>
      </c>
      <c r="AQ332" s="608">
        <f>AF328+AF329-AF330+AF331-AF332</f>
        <v>0</v>
      </c>
      <c r="BC332" s="776"/>
      <c r="BD332" s="601"/>
      <c r="BE332" s="601"/>
      <c r="BF332" s="601"/>
      <c r="BG332" s="601"/>
      <c r="BH332" s="601"/>
      <c r="BI332" s="601"/>
      <c r="BJ332" s="601"/>
      <c r="BK332" s="775"/>
    </row>
    <row r="333" spans="1:63" s="584" customFormat="1" ht="15" thickBot="1">
      <c r="A333" s="597"/>
      <c r="D333" s="1826" t="s">
        <v>34</v>
      </c>
      <c r="E333" s="1827"/>
      <c r="F333" s="1827"/>
      <c r="G333" s="1827"/>
      <c r="H333" s="1827"/>
      <c r="I333" s="1827"/>
      <c r="J333" s="1827"/>
      <c r="K333" s="1827"/>
      <c r="L333" s="1827"/>
      <c r="M333" s="1827"/>
      <c r="N333" s="1827"/>
      <c r="O333" s="1827"/>
      <c r="P333" s="1827"/>
      <c r="Q333" s="1827"/>
      <c r="R333" s="1827"/>
      <c r="S333" s="1827"/>
      <c r="T333" s="1827"/>
      <c r="U333" s="1827"/>
      <c r="V333" s="1827"/>
      <c r="W333" s="1827"/>
      <c r="X333" s="1827"/>
      <c r="Y333" s="1827"/>
      <c r="Z333" s="1827"/>
      <c r="AA333" s="1827"/>
      <c r="AB333" s="1827"/>
      <c r="AC333" s="1827"/>
      <c r="AD333" s="1827"/>
      <c r="AE333" s="1827"/>
      <c r="AF333" s="1827"/>
      <c r="AG333" s="1827"/>
      <c r="AH333" s="1828"/>
      <c r="AI333" s="606"/>
      <c r="AJ333" s="607"/>
      <c r="AK333" s="607"/>
      <c r="AL333" s="607"/>
      <c r="AM333" s="607"/>
      <c r="AN333" s="607"/>
      <c r="AO333" s="607"/>
      <c r="AP333" s="607"/>
      <c r="AQ333" s="608"/>
      <c r="BC333" s="776"/>
      <c r="BD333" s="601"/>
      <c r="BE333" s="601"/>
      <c r="BF333" s="601"/>
      <c r="BG333" s="601"/>
      <c r="BH333" s="601"/>
      <c r="BI333" s="601"/>
      <c r="BJ333" s="601"/>
      <c r="BK333" s="775"/>
    </row>
    <row r="334" spans="1:63" s="584" customFormat="1" ht="22.5" customHeight="1">
      <c r="A334" s="597"/>
      <c r="D334" s="1832" t="s">
        <v>32</v>
      </c>
      <c r="E334" s="1832"/>
      <c r="F334" s="1832"/>
      <c r="G334" s="1832"/>
      <c r="H334" s="1789">
        <f>H316-H322-H328</f>
        <v>0</v>
      </c>
      <c r="I334" s="1789"/>
      <c r="J334" s="1789"/>
      <c r="K334" s="1789">
        <f t="shared" ref="K334" si="111">K316-K322-K328</f>
        <v>0</v>
      </c>
      <c r="L334" s="1789"/>
      <c r="M334" s="1789"/>
      <c r="N334" s="1789">
        <f>N316-N322-N328</f>
        <v>188570</v>
      </c>
      <c r="O334" s="1789"/>
      <c r="P334" s="1789"/>
      <c r="Q334" s="1789">
        <f t="shared" ref="Q334" si="112">Q316-Q322-Q328</f>
        <v>0</v>
      </c>
      <c r="R334" s="1789"/>
      <c r="S334" s="1789"/>
      <c r="T334" s="1789">
        <f t="shared" ref="T334" si="113">T316-T322-T328</f>
        <v>0</v>
      </c>
      <c r="U334" s="1789"/>
      <c r="V334" s="1789"/>
      <c r="W334" s="1789">
        <f t="shared" ref="W334" si="114">W316-W322-W328</f>
        <v>0</v>
      </c>
      <c r="X334" s="1789"/>
      <c r="Y334" s="1789"/>
      <c r="Z334" s="1789">
        <f t="shared" ref="Z334" si="115">Z316-Z322-Z328</f>
        <v>0</v>
      </c>
      <c r="AA334" s="1789"/>
      <c r="AB334" s="1789"/>
      <c r="AC334" s="1789">
        <f t="shared" ref="AC334" si="116">AC316-AC322-AC328</f>
        <v>0</v>
      </c>
      <c r="AD334" s="1789"/>
      <c r="AE334" s="1789"/>
      <c r="AF334" s="1789">
        <f t="shared" ref="AF334" si="117">AF316-AF322-AF328</f>
        <v>188570</v>
      </c>
      <c r="AG334" s="1789"/>
      <c r="AH334" s="1789"/>
      <c r="AI334" s="621">
        <f>H316-H322-H328-H334</f>
        <v>0</v>
      </c>
      <c r="AJ334" s="661">
        <f>K316-K322-K328-K334</f>
        <v>0</v>
      </c>
      <c r="AK334" s="661">
        <f>N316-N322-N328-N334</f>
        <v>0</v>
      </c>
      <c r="AL334" s="661">
        <f>Q316-Q322-Q328-Q334</f>
        <v>0</v>
      </c>
      <c r="AM334" s="661">
        <f>T316-T322-T328-T334</f>
        <v>0</v>
      </c>
      <c r="AN334" s="661">
        <f>W316-W322-W328-W334</f>
        <v>0</v>
      </c>
      <c r="AO334" s="661">
        <f>Z316-Z322-Z328-Z334</f>
        <v>0</v>
      </c>
      <c r="AP334" s="661">
        <f>AC316-AC322-AC328-AC334</f>
        <v>0</v>
      </c>
      <c r="AQ334" s="608">
        <f>SUM(H334:AE334)-AF334</f>
        <v>0</v>
      </c>
      <c r="BC334" s="776"/>
      <c r="BD334" s="601"/>
      <c r="BE334" s="601"/>
      <c r="BF334" s="601"/>
      <c r="BG334" s="601"/>
      <c r="BH334" s="601"/>
      <c r="BI334" s="601"/>
      <c r="BJ334" s="601"/>
      <c r="BK334" s="775"/>
    </row>
    <row r="335" spans="1:63" s="584" customFormat="1" ht="22.5" customHeight="1" thickBot="1">
      <c r="A335" s="597"/>
      <c r="D335" s="1821" t="s">
        <v>30</v>
      </c>
      <c r="E335" s="1821"/>
      <c r="F335" s="1821"/>
      <c r="G335" s="1821"/>
      <c r="H335" s="1760">
        <f>H320-H326-H332</f>
        <v>0</v>
      </c>
      <c r="I335" s="1760"/>
      <c r="J335" s="1760"/>
      <c r="K335" s="1760">
        <f t="shared" ref="K335" si="118">K320-K326-K332</f>
        <v>0</v>
      </c>
      <c r="L335" s="1760"/>
      <c r="M335" s="1760"/>
      <c r="N335" s="1760">
        <f t="shared" ref="N335" si="119">N320-N326-N332</f>
        <v>182159</v>
      </c>
      <c r="O335" s="1760"/>
      <c r="P335" s="1760"/>
      <c r="Q335" s="1760">
        <f t="shared" ref="Q335" si="120">Q320-Q326-Q332</f>
        <v>0</v>
      </c>
      <c r="R335" s="1760"/>
      <c r="S335" s="1760"/>
      <c r="T335" s="1760">
        <f t="shared" ref="T335" si="121">T320-T326-T332</f>
        <v>0</v>
      </c>
      <c r="U335" s="1760"/>
      <c r="V335" s="1760"/>
      <c r="W335" s="1760">
        <f t="shared" ref="W335" si="122">W320-W326-W332</f>
        <v>0</v>
      </c>
      <c r="X335" s="1760"/>
      <c r="Y335" s="1760"/>
      <c r="Z335" s="1760">
        <f t="shared" ref="Z335" si="123">Z320-Z326-Z332</f>
        <v>0</v>
      </c>
      <c r="AA335" s="1760"/>
      <c r="AB335" s="1760"/>
      <c r="AC335" s="1760">
        <f t="shared" ref="AC335" si="124">AC320-AC326-AC332</f>
        <v>0</v>
      </c>
      <c r="AD335" s="1760"/>
      <c r="AE335" s="1760"/>
      <c r="AF335" s="1760">
        <f t="shared" ref="AF335" si="125">AF320-AF326-AF332</f>
        <v>182159</v>
      </c>
      <c r="AG335" s="1760"/>
      <c r="AH335" s="1760"/>
      <c r="AI335" s="609">
        <f>H320-H326-H332-H335</f>
        <v>0</v>
      </c>
      <c r="AJ335" s="610">
        <f>K320-K326-K332-K335</f>
        <v>0</v>
      </c>
      <c r="AK335" s="610">
        <f>N320-N326-N332-N335</f>
        <v>0</v>
      </c>
      <c r="AL335" s="610">
        <f>Q320-Q326-Q332-Q335</f>
        <v>0</v>
      </c>
      <c r="AM335" s="610">
        <f>T320-T326-T332-T335</f>
        <v>0</v>
      </c>
      <c r="AN335" s="610">
        <f>W320-W326-W332-W335</f>
        <v>0</v>
      </c>
      <c r="AO335" s="610">
        <f>Z320-Z326-Z332-Z335</f>
        <v>0</v>
      </c>
      <c r="AP335" s="610">
        <f>AC320-AC326-AC332-AC335</f>
        <v>0</v>
      </c>
      <c r="AQ335" s="611">
        <f>SUM(H335:AE335)-AF335</f>
        <v>0</v>
      </c>
      <c r="BC335" s="609">
        <f>H335-BS!$G$21</f>
        <v>0</v>
      </c>
      <c r="BD335" s="610">
        <f>K335-BS!$G$22</f>
        <v>0</v>
      </c>
      <c r="BE335" s="610">
        <f>N335-BS!$G$23</f>
        <v>0</v>
      </c>
      <c r="BF335" s="610">
        <f>Q335-BS!$G$24</f>
        <v>0</v>
      </c>
      <c r="BG335" s="610">
        <f>T335-BS!$G$25</f>
        <v>0</v>
      </c>
      <c r="BH335" s="610">
        <f>W335-BS!$G$26</f>
        <v>0</v>
      </c>
      <c r="BI335" s="610">
        <f>Z335-BS!$G$27</f>
        <v>0</v>
      </c>
      <c r="BJ335" s="610">
        <f>AC335-BS!$G$28</f>
        <v>0</v>
      </c>
      <c r="BK335" s="611">
        <f>AF335-BS!$G$20</f>
        <v>0</v>
      </c>
    </row>
    <row r="336" spans="1:63" s="584" customFormat="1">
      <c r="A336" s="597"/>
      <c r="D336" s="780"/>
      <c r="E336" s="766"/>
      <c r="F336" s="766"/>
      <c r="G336" s="766"/>
      <c r="H336" s="766"/>
      <c r="I336" s="766"/>
      <c r="J336" s="766"/>
      <c r="K336" s="766"/>
      <c r="L336" s="766"/>
      <c r="M336" s="766"/>
      <c r="N336" s="766"/>
      <c r="O336" s="766"/>
      <c r="P336" s="766"/>
      <c r="Q336" s="766"/>
      <c r="R336" s="766"/>
      <c r="S336" s="766"/>
      <c r="T336" s="766"/>
      <c r="U336" s="766"/>
      <c r="V336" s="766"/>
      <c r="W336" s="766"/>
      <c r="X336" s="766"/>
      <c r="Y336" s="766"/>
      <c r="Z336" s="766"/>
      <c r="AA336" s="766"/>
      <c r="AB336" s="766"/>
      <c r="AC336" s="766"/>
      <c r="AD336" s="766"/>
      <c r="AE336" s="766"/>
      <c r="AF336" s="766"/>
      <c r="AG336" s="766"/>
      <c r="AI336" s="18"/>
      <c r="AJ336" s="18"/>
      <c r="AK336" s="18"/>
      <c r="AL336" s="18"/>
      <c r="AM336" s="18"/>
      <c r="AN336" s="18"/>
      <c r="AO336" s="18"/>
      <c r="AP336" s="18"/>
      <c r="AQ336" s="18"/>
    </row>
    <row r="337" spans="1:43" s="584" customFormat="1" ht="15" thickBot="1">
      <c r="A337" s="597"/>
      <c r="AI337" s="18"/>
      <c r="AJ337" s="18"/>
      <c r="AK337" s="18"/>
      <c r="AL337" s="18"/>
      <c r="AM337" s="18"/>
      <c r="AN337" s="18"/>
      <c r="AO337" s="18"/>
      <c r="AP337" s="18"/>
      <c r="AQ337" s="18"/>
    </row>
    <row r="338" spans="1:43" s="584" customFormat="1" ht="29.25" customHeight="1" thickBot="1">
      <c r="A338" s="597"/>
      <c r="D338" s="1859" t="s">
        <v>40</v>
      </c>
      <c r="E338" s="1859"/>
      <c r="F338" s="1859"/>
      <c r="G338" s="1859"/>
      <c r="H338" s="1859"/>
      <c r="I338" s="1859"/>
      <c r="J338" s="1859"/>
      <c r="K338" s="1859"/>
      <c r="L338" s="1859"/>
      <c r="M338" s="1859"/>
      <c r="N338" s="1859"/>
      <c r="O338" s="1859"/>
      <c r="P338" s="1859"/>
      <c r="Q338" s="1859"/>
      <c r="R338" s="1859"/>
      <c r="S338" s="1859" t="s">
        <v>36</v>
      </c>
      <c r="T338" s="1859"/>
      <c r="U338" s="1859"/>
      <c r="V338" s="1859"/>
      <c r="W338" s="1859"/>
      <c r="X338" s="1859"/>
      <c r="Y338" s="1859"/>
      <c r="Z338" s="1859"/>
      <c r="AA338" s="1859"/>
      <c r="AB338" s="1859"/>
      <c r="AC338" s="1859"/>
      <c r="AD338" s="1859"/>
      <c r="AE338" s="1859"/>
      <c r="AF338" s="1859"/>
      <c r="AG338" s="1859"/>
      <c r="AI338" s="18"/>
      <c r="AJ338" s="18"/>
      <c r="AK338" s="18"/>
      <c r="AL338" s="18"/>
      <c r="AM338" s="18"/>
      <c r="AN338" s="18"/>
      <c r="AO338" s="18"/>
      <c r="AP338" s="18"/>
      <c r="AQ338" s="18"/>
    </row>
    <row r="339" spans="1:43" s="584" customFormat="1" ht="29.25" customHeight="1">
      <c r="A339" s="597"/>
      <c r="D339" s="2086" t="s">
        <v>48</v>
      </c>
      <c r="E339" s="2086"/>
      <c r="F339" s="2086"/>
      <c r="G339" s="2086"/>
      <c r="H339" s="2086"/>
      <c r="I339" s="2086"/>
      <c r="J339" s="2086"/>
      <c r="K339" s="2086"/>
      <c r="L339" s="2086"/>
      <c r="M339" s="2086"/>
      <c r="N339" s="2086"/>
      <c r="O339" s="2086"/>
      <c r="P339" s="2086"/>
      <c r="Q339" s="2086"/>
      <c r="R339" s="2086"/>
      <c r="S339" s="2209" t="s">
        <v>1339</v>
      </c>
      <c r="T339" s="2210"/>
      <c r="U339" s="2210"/>
      <c r="V339" s="2210"/>
      <c r="W339" s="2210"/>
      <c r="X339" s="2210"/>
      <c r="Y339" s="2210"/>
      <c r="Z339" s="2210"/>
      <c r="AA339" s="2210"/>
      <c r="AB339" s="2210"/>
      <c r="AC339" s="2210"/>
      <c r="AD339" s="2210"/>
      <c r="AE339" s="2210"/>
      <c r="AF339" s="2210"/>
      <c r="AG339" s="2211"/>
      <c r="AI339" s="18"/>
      <c r="AJ339" s="18"/>
      <c r="AK339" s="18"/>
      <c r="AL339" s="18"/>
      <c r="AM339" s="18"/>
      <c r="AN339" s="18"/>
      <c r="AO339" s="18"/>
      <c r="AP339" s="18"/>
      <c r="AQ339" s="18"/>
    </row>
    <row r="340" spans="1:43" s="584" customFormat="1" ht="29.25" customHeight="1" thickBot="1">
      <c r="A340" s="597"/>
      <c r="D340" s="1942" t="s">
        <v>49</v>
      </c>
      <c r="E340" s="1942"/>
      <c r="F340" s="1942"/>
      <c r="G340" s="1942"/>
      <c r="H340" s="1942"/>
      <c r="I340" s="1942"/>
      <c r="J340" s="1942"/>
      <c r="K340" s="1942"/>
      <c r="L340" s="1942"/>
      <c r="M340" s="1942"/>
      <c r="N340" s="1942"/>
      <c r="O340" s="1942"/>
      <c r="P340" s="1942"/>
      <c r="Q340" s="1942"/>
      <c r="R340" s="1942"/>
      <c r="S340" s="2212" t="s">
        <v>1339</v>
      </c>
      <c r="T340" s="2213"/>
      <c r="U340" s="2213"/>
      <c r="V340" s="2213"/>
      <c r="W340" s="2213"/>
      <c r="X340" s="2213"/>
      <c r="Y340" s="2213"/>
      <c r="Z340" s="2213"/>
      <c r="AA340" s="2213"/>
      <c r="AB340" s="2213"/>
      <c r="AC340" s="2213"/>
      <c r="AD340" s="2213"/>
      <c r="AE340" s="2213"/>
      <c r="AF340" s="2213"/>
      <c r="AG340" s="2214"/>
      <c r="AI340" s="18"/>
      <c r="AJ340" s="18"/>
      <c r="AK340" s="18"/>
      <c r="AL340" s="18"/>
      <c r="AM340" s="18"/>
      <c r="AN340" s="18"/>
      <c r="AO340" s="18"/>
      <c r="AP340" s="18"/>
      <c r="AQ340" s="18"/>
    </row>
    <row r="341" spans="1:43" s="584" customFormat="1" ht="15" customHeight="1">
      <c r="A341" s="597"/>
      <c r="D341" s="1436"/>
      <c r="E341" s="1436"/>
      <c r="F341" s="1436"/>
      <c r="G341" s="1436"/>
      <c r="H341" s="1436"/>
      <c r="I341" s="1436"/>
      <c r="J341" s="1436"/>
      <c r="K341" s="1436"/>
      <c r="L341" s="1436"/>
      <c r="M341" s="1436"/>
      <c r="N341" s="1436"/>
      <c r="O341" s="1436"/>
      <c r="P341" s="1436"/>
      <c r="Q341" s="1436"/>
      <c r="R341" s="1436"/>
      <c r="S341" s="1437"/>
      <c r="T341" s="1438"/>
      <c r="U341" s="1438"/>
      <c r="V341" s="1438"/>
      <c r="W341" s="1438"/>
      <c r="X341" s="1438"/>
      <c r="Y341" s="1438"/>
      <c r="Z341" s="1438"/>
      <c r="AA341" s="1438"/>
      <c r="AB341" s="1438"/>
      <c r="AC341" s="1438"/>
      <c r="AD341" s="1438"/>
      <c r="AE341" s="1438"/>
      <c r="AF341" s="1438"/>
      <c r="AG341" s="1438"/>
      <c r="AI341" s="18"/>
      <c r="AJ341" s="18"/>
      <c r="AK341" s="18"/>
      <c r="AL341" s="18"/>
      <c r="AM341" s="18"/>
      <c r="AN341" s="18"/>
      <c r="AO341" s="18"/>
      <c r="AP341" s="18"/>
      <c r="AQ341" s="18"/>
    </row>
    <row r="342" spans="1:43" s="584" customFormat="1">
      <c r="A342" s="597"/>
      <c r="D342" s="1439" t="s">
        <v>2750</v>
      </c>
      <c r="AI342" s="18"/>
      <c r="AJ342" s="18"/>
      <c r="AK342" s="18"/>
      <c r="AL342" s="18"/>
      <c r="AM342" s="18"/>
      <c r="AN342" s="18"/>
      <c r="AO342" s="18"/>
      <c r="AP342" s="18"/>
      <c r="AQ342" s="18"/>
    </row>
    <row r="343" spans="1:43" s="584" customFormat="1">
      <c r="A343" s="597"/>
      <c r="D343" s="1439"/>
      <c r="AI343" s="18"/>
      <c r="AJ343" s="18"/>
      <c r="AK343" s="18"/>
      <c r="AL343" s="18"/>
      <c r="AM343" s="18"/>
      <c r="AN343" s="18"/>
      <c r="AO343" s="18"/>
      <c r="AP343" s="18"/>
      <c r="AQ343" s="18"/>
    </row>
    <row r="344" spans="1:43" s="584" customFormat="1">
      <c r="A344" s="597"/>
      <c r="D344" s="582" t="s">
        <v>1364</v>
      </c>
      <c r="AI344" s="18"/>
      <c r="AJ344" s="18"/>
      <c r="AK344" s="18"/>
      <c r="AL344" s="18"/>
      <c r="AM344" s="18"/>
      <c r="AN344" s="18"/>
      <c r="AO344" s="18"/>
      <c r="AP344" s="18"/>
      <c r="AQ344" s="18"/>
    </row>
    <row r="345" spans="1:43" s="584" customFormat="1">
      <c r="A345" s="597"/>
      <c r="AI345" s="18"/>
      <c r="AJ345" s="18"/>
      <c r="AK345" s="18"/>
      <c r="AL345" s="18"/>
      <c r="AM345" s="18"/>
      <c r="AN345" s="18"/>
      <c r="AO345" s="18"/>
      <c r="AP345" s="18"/>
      <c r="AQ345" s="18"/>
    </row>
    <row r="346" spans="1:43" s="584" customFormat="1">
      <c r="A346" s="597"/>
      <c r="D346" s="2099" t="s">
        <v>2893</v>
      </c>
      <c r="E346" s="2102"/>
      <c r="F346" s="2102"/>
      <c r="G346" s="2102"/>
      <c r="H346" s="2102"/>
      <c r="I346" s="2102"/>
      <c r="J346" s="2102"/>
      <c r="K346" s="2102"/>
      <c r="L346" s="2102"/>
      <c r="M346" s="2102"/>
      <c r="N346" s="2102"/>
      <c r="O346" s="2102"/>
      <c r="P346" s="2102"/>
      <c r="Q346" s="2102"/>
      <c r="R346" s="2102"/>
      <c r="S346" s="2102"/>
      <c r="T346" s="2102"/>
      <c r="U346" s="2102"/>
      <c r="V346" s="2102"/>
      <c r="W346" s="2102"/>
      <c r="X346" s="2102"/>
      <c r="Y346" s="2102"/>
      <c r="Z346" s="2102"/>
      <c r="AA346" s="2102"/>
      <c r="AB346" s="2102"/>
      <c r="AC346" s="2102"/>
      <c r="AD346" s="2102"/>
      <c r="AE346" s="2102"/>
      <c r="AF346" s="2102"/>
      <c r="AG346" s="2102"/>
      <c r="AI346" s="18"/>
      <c r="AJ346" s="18"/>
      <c r="AK346" s="18"/>
      <c r="AL346" s="18"/>
      <c r="AM346" s="18"/>
      <c r="AN346" s="18"/>
      <c r="AO346" s="18"/>
      <c r="AP346" s="18"/>
      <c r="AQ346" s="18"/>
    </row>
    <row r="347" spans="1:43" s="584" customFormat="1" ht="10.5" customHeight="1">
      <c r="A347" s="597"/>
      <c r="D347" s="2102"/>
      <c r="E347" s="2102"/>
      <c r="F347" s="2102"/>
      <c r="G347" s="2102"/>
      <c r="H347" s="2102"/>
      <c r="I347" s="2102"/>
      <c r="J347" s="2102"/>
      <c r="K347" s="2102"/>
      <c r="L347" s="2102"/>
      <c r="M347" s="2102"/>
      <c r="N347" s="2102"/>
      <c r="O347" s="2102"/>
      <c r="P347" s="2102"/>
      <c r="Q347" s="2102"/>
      <c r="R347" s="2102"/>
      <c r="S347" s="2102"/>
      <c r="T347" s="2102"/>
      <c r="U347" s="2102"/>
      <c r="V347" s="2102"/>
      <c r="W347" s="2102"/>
      <c r="X347" s="2102"/>
      <c r="Y347" s="2102"/>
      <c r="Z347" s="2102"/>
      <c r="AA347" s="2102"/>
      <c r="AB347" s="2102"/>
      <c r="AC347" s="2102"/>
      <c r="AD347" s="2102"/>
      <c r="AE347" s="2102"/>
      <c r="AF347" s="2102"/>
      <c r="AG347" s="2102"/>
      <c r="AI347" s="18"/>
      <c r="AJ347" s="18"/>
      <c r="AK347" s="18"/>
      <c r="AL347" s="18"/>
      <c r="AM347" s="18"/>
      <c r="AN347" s="18"/>
      <c r="AO347" s="18"/>
      <c r="AP347" s="18"/>
      <c r="AQ347" s="18"/>
    </row>
    <row r="348" spans="1:43" s="584" customFormat="1" ht="15" hidden="1" thickBot="1">
      <c r="A348" s="597"/>
      <c r="D348" s="2102"/>
      <c r="E348" s="2102"/>
      <c r="F348" s="2102"/>
      <c r="G348" s="2102"/>
      <c r="H348" s="2102"/>
      <c r="I348" s="2102"/>
      <c r="J348" s="2102"/>
      <c r="K348" s="2102"/>
      <c r="L348" s="2102"/>
      <c r="M348" s="2102"/>
      <c r="N348" s="2102"/>
      <c r="O348" s="2102"/>
      <c r="P348" s="2102"/>
      <c r="Q348" s="2102"/>
      <c r="R348" s="2102"/>
      <c r="S348" s="2102"/>
      <c r="T348" s="2102"/>
      <c r="U348" s="2102"/>
      <c r="V348" s="2102"/>
      <c r="W348" s="2102"/>
      <c r="X348" s="2102"/>
      <c r="Y348" s="2102"/>
      <c r="Z348" s="2102"/>
      <c r="AA348" s="2102"/>
      <c r="AB348" s="2102"/>
      <c r="AC348" s="2102"/>
      <c r="AD348" s="2102"/>
      <c r="AE348" s="2102"/>
      <c r="AF348" s="2102"/>
      <c r="AG348" s="2102"/>
      <c r="AI348" s="18"/>
      <c r="AJ348" s="18"/>
      <c r="AK348" s="18"/>
      <c r="AL348" s="18"/>
      <c r="AM348" s="18"/>
      <c r="AN348" s="18"/>
      <c r="AO348" s="18"/>
      <c r="AP348" s="18"/>
      <c r="AQ348" s="18"/>
    </row>
    <row r="349" spans="1:43" s="584" customFormat="1" ht="15" thickBot="1">
      <c r="A349" s="597"/>
      <c r="D349" s="1466"/>
      <c r="E349" s="1466"/>
      <c r="F349" s="1466"/>
      <c r="G349" s="1466"/>
      <c r="H349" s="1466"/>
      <c r="I349" s="1466"/>
      <c r="J349" s="1466"/>
      <c r="K349" s="1466"/>
      <c r="L349" s="1466"/>
      <c r="M349" s="1466"/>
      <c r="N349" s="1466"/>
      <c r="O349" s="1466"/>
      <c r="P349" s="1466"/>
      <c r="Q349" s="1466"/>
      <c r="R349" s="1466"/>
      <c r="S349" s="1466"/>
      <c r="T349" s="1466"/>
      <c r="U349" s="1466"/>
      <c r="V349" s="1466"/>
      <c r="W349" s="1466"/>
      <c r="X349" s="1466"/>
      <c r="Y349" s="1466"/>
      <c r="Z349" s="1466"/>
      <c r="AA349" s="1466"/>
      <c r="AB349" s="1466"/>
      <c r="AC349" s="1466"/>
      <c r="AD349" s="1466"/>
      <c r="AE349" s="1466"/>
      <c r="AF349" s="1466"/>
      <c r="AG349" s="1466"/>
      <c r="AI349" s="18"/>
      <c r="AJ349" s="18"/>
      <c r="AK349" s="18"/>
      <c r="AL349" s="18"/>
      <c r="AM349" s="18"/>
      <c r="AN349" s="18"/>
      <c r="AO349" s="18"/>
      <c r="AP349" s="18"/>
      <c r="AQ349" s="18"/>
    </row>
    <row r="350" spans="1:43" s="584" customFormat="1" ht="34.5" customHeight="1">
      <c r="A350" s="597"/>
      <c r="D350" s="2206" t="s">
        <v>2915</v>
      </c>
      <c r="E350" s="2207"/>
      <c r="F350" s="2207"/>
      <c r="G350" s="2207"/>
      <c r="H350" s="2207"/>
      <c r="I350" s="2207"/>
      <c r="J350" s="2207"/>
      <c r="K350" s="2207"/>
      <c r="L350" s="2207"/>
      <c r="M350" s="2207"/>
      <c r="N350" s="2207"/>
      <c r="O350" s="2207"/>
      <c r="P350" s="2207"/>
      <c r="Q350" s="2207"/>
      <c r="R350" s="2208"/>
      <c r="S350" s="1468"/>
      <c r="T350" s="1468"/>
      <c r="U350" s="1468"/>
      <c r="V350" s="1468"/>
      <c r="W350" s="1468"/>
      <c r="X350" s="1468"/>
      <c r="Y350" s="1468"/>
      <c r="Z350" s="1468"/>
      <c r="AA350" s="1468"/>
      <c r="AB350" s="1468"/>
      <c r="AC350" s="1468"/>
      <c r="AD350" s="1468"/>
      <c r="AE350" s="1468"/>
      <c r="AF350" s="1468"/>
      <c r="AG350" s="1468"/>
      <c r="AI350" s="18"/>
      <c r="AJ350" s="18"/>
      <c r="AK350" s="18"/>
      <c r="AL350" s="18"/>
      <c r="AM350" s="18"/>
      <c r="AN350" s="18"/>
      <c r="AO350" s="18"/>
      <c r="AP350" s="18"/>
      <c r="AQ350" s="18"/>
    </row>
    <row r="351" spans="1:43" s="584" customFormat="1" ht="15" customHeight="1">
      <c r="A351" s="597"/>
      <c r="D351" s="2251" t="s">
        <v>2747</v>
      </c>
      <c r="E351" s="2252"/>
      <c r="F351" s="2252"/>
      <c r="G351" s="2252"/>
      <c r="H351" s="2252"/>
      <c r="I351" s="2252"/>
      <c r="J351" s="2252" t="s">
        <v>2748</v>
      </c>
      <c r="K351" s="2252"/>
      <c r="L351" s="2252"/>
      <c r="M351" s="2252"/>
      <c r="N351" s="2252"/>
      <c r="O351" s="2253" t="s">
        <v>2749</v>
      </c>
      <c r="P351" s="2253"/>
      <c r="Q351" s="2253"/>
      <c r="R351" s="2254"/>
      <c r="S351" s="1469"/>
      <c r="T351" s="1469"/>
      <c r="U351" s="1469"/>
      <c r="V351" s="1469"/>
      <c r="W351" s="1469"/>
      <c r="X351" s="1469"/>
      <c r="Y351" s="1469"/>
      <c r="Z351" s="1469"/>
      <c r="AA351" s="1466"/>
      <c r="AB351" s="1466"/>
      <c r="AC351" s="1466"/>
      <c r="AD351" s="1466"/>
      <c r="AE351" s="1466"/>
      <c r="AF351" s="1466"/>
      <c r="AG351" s="1466"/>
      <c r="AI351" s="18"/>
      <c r="AJ351" s="18"/>
      <c r="AK351" s="18"/>
      <c r="AL351" s="18"/>
      <c r="AM351" s="18"/>
      <c r="AN351" s="18"/>
      <c r="AO351" s="18"/>
      <c r="AP351" s="18"/>
      <c r="AQ351" s="18"/>
    </row>
    <row r="352" spans="1:43" s="584" customFormat="1" ht="41.25" customHeight="1">
      <c r="A352" s="597"/>
      <c r="D352" s="2247" t="s">
        <v>2918</v>
      </c>
      <c r="E352" s="2248"/>
      <c r="F352" s="2248"/>
      <c r="G352" s="2248"/>
      <c r="H352" s="2248"/>
      <c r="I352" s="2248"/>
      <c r="J352" s="2248" t="s">
        <v>2916</v>
      </c>
      <c r="K352" s="2248"/>
      <c r="L352" s="2248"/>
      <c r="M352" s="2248"/>
      <c r="N352" s="2248"/>
      <c r="O352" s="2255" t="s">
        <v>2919</v>
      </c>
      <c r="P352" s="2255"/>
      <c r="Q352" s="2255"/>
      <c r="R352" s="2256"/>
      <c r="S352" s="1469"/>
      <c r="T352" s="1469"/>
      <c r="U352" s="1469"/>
      <c r="V352" s="1469"/>
      <c r="W352" s="1469"/>
      <c r="X352" s="1469"/>
      <c r="Y352" s="1469"/>
      <c r="Z352" s="1469"/>
      <c r="AA352" s="1466"/>
      <c r="AB352" s="1466"/>
      <c r="AC352" s="1466"/>
      <c r="AD352" s="1466"/>
      <c r="AE352" s="1466"/>
      <c r="AF352" s="1466"/>
      <c r="AG352" s="1466"/>
      <c r="AI352" s="18"/>
      <c r="AJ352" s="18"/>
      <c r="AK352" s="18"/>
      <c r="AL352" s="18"/>
      <c r="AM352" s="18"/>
      <c r="AN352" s="18"/>
      <c r="AO352" s="18"/>
      <c r="AP352" s="18"/>
      <c r="AQ352" s="18"/>
    </row>
    <row r="353" spans="1:43" s="584" customFormat="1" ht="34.5" customHeight="1" thickBot="1">
      <c r="A353" s="597"/>
      <c r="D353" s="2249" t="s">
        <v>86</v>
      </c>
      <c r="E353" s="2250"/>
      <c r="F353" s="2250"/>
      <c r="G353" s="2250"/>
      <c r="H353" s="2250"/>
      <c r="I353" s="2250"/>
      <c r="J353" s="2250" t="s">
        <v>2916</v>
      </c>
      <c r="K353" s="2250"/>
      <c r="L353" s="2250"/>
      <c r="M353" s="2250"/>
      <c r="N353" s="2250"/>
      <c r="O353" s="2257" t="s">
        <v>2917</v>
      </c>
      <c r="P353" s="2257"/>
      <c r="Q353" s="2257"/>
      <c r="R353" s="2258"/>
      <c r="S353" s="1469"/>
      <c r="T353" s="1469"/>
      <c r="U353" s="1469"/>
      <c r="V353" s="1469"/>
      <c r="W353" s="1469"/>
      <c r="X353" s="1469"/>
      <c r="Y353" s="1469"/>
      <c r="Z353" s="1469"/>
      <c r="AA353" s="1466"/>
      <c r="AB353" s="1466"/>
      <c r="AC353" s="1466"/>
      <c r="AD353" s="1466"/>
      <c r="AE353" s="1466"/>
      <c r="AF353" s="1466"/>
      <c r="AG353" s="1466"/>
      <c r="AI353" s="18"/>
      <c r="AJ353" s="18"/>
      <c r="AK353" s="18"/>
      <c r="AL353" s="18"/>
      <c r="AM353" s="18"/>
      <c r="AN353" s="18"/>
      <c r="AO353" s="18"/>
      <c r="AP353" s="18"/>
      <c r="AQ353" s="18"/>
    </row>
    <row r="354" spans="1:43" s="584" customFormat="1">
      <c r="A354" s="597"/>
      <c r="D354" s="1426"/>
      <c r="E354" s="1426"/>
      <c r="F354" s="1426"/>
      <c r="G354" s="766"/>
      <c r="H354" s="766"/>
      <c r="I354" s="766"/>
      <c r="J354" s="766"/>
      <c r="K354" s="766"/>
      <c r="L354" s="766"/>
      <c r="M354" s="766"/>
      <c r="N354" s="766"/>
      <c r="O354" s="766"/>
      <c r="P354" s="766"/>
      <c r="Q354" s="766"/>
      <c r="R354" s="766"/>
      <c r="S354" s="766"/>
      <c r="T354" s="766"/>
      <c r="U354" s="766"/>
      <c r="V354" s="766"/>
      <c r="W354" s="766"/>
      <c r="X354" s="766"/>
      <c r="Y354" s="766"/>
      <c r="Z354" s="766"/>
      <c r="AA354" s="766"/>
      <c r="AB354" s="766"/>
      <c r="AC354" s="766"/>
      <c r="AD354" s="766"/>
      <c r="AE354" s="766"/>
      <c r="AF354" s="766"/>
      <c r="AG354" s="766"/>
      <c r="AI354" s="18"/>
      <c r="AJ354" s="18"/>
      <c r="AK354" s="18"/>
      <c r="AL354" s="18"/>
      <c r="AM354" s="18"/>
      <c r="AN354" s="18"/>
      <c r="AO354" s="18"/>
      <c r="AP354" s="18"/>
      <c r="AQ354" s="18"/>
    </row>
    <row r="355" spans="1:43" s="584" customFormat="1">
      <c r="A355" s="597"/>
      <c r="D355" s="582" t="s">
        <v>1409</v>
      </c>
      <c r="E355" s="1426"/>
      <c r="F355" s="1426"/>
      <c r="AI355" s="18"/>
      <c r="AJ355" s="18"/>
      <c r="AK355" s="18"/>
      <c r="AL355" s="18"/>
      <c r="AM355" s="18"/>
      <c r="AN355" s="18"/>
      <c r="AO355" s="18"/>
      <c r="AP355" s="18"/>
      <c r="AQ355" s="18"/>
    </row>
    <row r="356" spans="1:43" s="773" customFormat="1">
      <c r="A356" s="784"/>
      <c r="E356" s="785"/>
      <c r="F356" s="785"/>
      <c r="AI356" s="786"/>
      <c r="AJ356" s="786"/>
      <c r="AK356" s="786"/>
      <c r="AL356" s="786"/>
      <c r="AM356" s="786"/>
      <c r="AN356" s="786"/>
      <c r="AO356" s="786"/>
      <c r="AP356" s="786"/>
      <c r="AQ356" s="786"/>
    </row>
    <row r="357" spans="1:43" s="584" customFormat="1">
      <c r="A357" s="597"/>
      <c r="D357" s="1439" t="s">
        <v>2751</v>
      </c>
      <c r="AI357" s="18"/>
      <c r="AJ357" s="18"/>
      <c r="AK357" s="18"/>
      <c r="AL357" s="18"/>
      <c r="AM357" s="18"/>
      <c r="AN357" s="18"/>
      <c r="AO357" s="18"/>
      <c r="AP357" s="18"/>
      <c r="AQ357" s="18"/>
    </row>
    <row r="358" spans="1:43" s="584" customFormat="1">
      <c r="A358" s="597"/>
      <c r="AI358" s="18"/>
      <c r="AJ358" s="18"/>
      <c r="AK358" s="18"/>
      <c r="AL358" s="18"/>
      <c r="AM358" s="18"/>
      <c r="AN358" s="18"/>
      <c r="AO358" s="18"/>
      <c r="AP358" s="18"/>
      <c r="AQ358" s="18"/>
    </row>
    <row r="359" spans="1:43" s="584" customFormat="1">
      <c r="A359" s="597"/>
      <c r="D359" s="582" t="s">
        <v>2998</v>
      </c>
      <c r="AI359" s="18"/>
      <c r="AJ359" s="18"/>
      <c r="AK359" s="18"/>
      <c r="AL359" s="18"/>
      <c r="AM359" s="18"/>
      <c r="AN359" s="18"/>
      <c r="AO359" s="18"/>
      <c r="AP359" s="18"/>
      <c r="AQ359" s="18"/>
    </row>
    <row r="360" spans="1:43" s="584" customFormat="1">
      <c r="A360" s="597"/>
      <c r="AI360" s="18"/>
      <c r="AJ360" s="18"/>
      <c r="AK360" s="18"/>
      <c r="AL360" s="18"/>
      <c r="AM360" s="18"/>
      <c r="AN360" s="18"/>
      <c r="AO360" s="18"/>
      <c r="AP360" s="18"/>
      <c r="AQ360" s="18"/>
    </row>
    <row r="361" spans="1:43" s="584" customFormat="1">
      <c r="A361" s="597"/>
      <c r="D361" s="2099" t="s">
        <v>2800</v>
      </c>
      <c r="E361" s="2100"/>
      <c r="F361" s="2100"/>
      <c r="G361" s="2100"/>
      <c r="H361" s="2100"/>
      <c r="I361" s="2100"/>
      <c r="J361" s="2100"/>
      <c r="K361" s="2100"/>
      <c r="L361" s="2100"/>
      <c r="M361" s="2100"/>
      <c r="N361" s="2100"/>
      <c r="O361" s="2100"/>
      <c r="P361" s="2100"/>
      <c r="Q361" s="2100"/>
      <c r="R361" s="2100"/>
      <c r="S361" s="2100"/>
      <c r="T361" s="2100"/>
      <c r="U361" s="2100"/>
      <c r="V361" s="2100"/>
      <c r="W361" s="2100"/>
      <c r="X361" s="2100"/>
      <c r="Y361" s="2100"/>
      <c r="Z361" s="2100"/>
      <c r="AA361" s="2100"/>
      <c r="AB361" s="2100"/>
      <c r="AC361" s="2100"/>
      <c r="AD361" s="2100"/>
      <c r="AE361" s="2100"/>
      <c r="AF361" s="2100"/>
      <c r="AG361" s="2100"/>
      <c r="AI361" s="18"/>
      <c r="AJ361" s="18"/>
      <c r="AK361" s="18"/>
      <c r="AL361" s="18"/>
      <c r="AM361" s="18"/>
      <c r="AN361" s="18"/>
      <c r="AO361" s="18"/>
      <c r="AP361" s="18"/>
      <c r="AQ361" s="18"/>
    </row>
    <row r="362" spans="1:43" s="584" customFormat="1">
      <c r="A362" s="597"/>
      <c r="D362" s="2100"/>
      <c r="E362" s="2100"/>
      <c r="F362" s="2100"/>
      <c r="G362" s="2100"/>
      <c r="H362" s="2100"/>
      <c r="I362" s="2100"/>
      <c r="J362" s="2100"/>
      <c r="K362" s="2100"/>
      <c r="L362" s="2100"/>
      <c r="M362" s="2100"/>
      <c r="N362" s="2100"/>
      <c r="O362" s="2100"/>
      <c r="P362" s="2100"/>
      <c r="Q362" s="2100"/>
      <c r="R362" s="2100"/>
      <c r="S362" s="2100"/>
      <c r="T362" s="2100"/>
      <c r="U362" s="2100"/>
      <c r="V362" s="2100"/>
      <c r="W362" s="2100"/>
      <c r="X362" s="2100"/>
      <c r="Y362" s="2100"/>
      <c r="Z362" s="2100"/>
      <c r="AA362" s="2100"/>
      <c r="AB362" s="2100"/>
      <c r="AC362" s="2100"/>
      <c r="AD362" s="2100"/>
      <c r="AE362" s="2100"/>
      <c r="AF362" s="2100"/>
      <c r="AG362" s="2100"/>
      <c r="AI362" s="18"/>
      <c r="AJ362" s="18"/>
      <c r="AK362" s="18"/>
      <c r="AL362" s="18"/>
      <c r="AM362" s="18"/>
      <c r="AN362" s="18"/>
      <c r="AO362" s="18"/>
      <c r="AP362" s="18"/>
      <c r="AQ362" s="18"/>
    </row>
    <row r="363" spans="1:43" s="584" customFormat="1">
      <c r="A363" s="597"/>
      <c r="AI363" s="18"/>
      <c r="AJ363" s="18"/>
      <c r="AK363" s="18"/>
      <c r="AL363" s="18"/>
      <c r="AM363" s="18"/>
      <c r="AN363" s="18"/>
      <c r="AO363" s="18"/>
      <c r="AP363" s="18"/>
      <c r="AQ363" s="18"/>
    </row>
    <row r="364" spans="1:43" s="584" customFormat="1">
      <c r="A364" s="597"/>
      <c r="D364" s="2091" t="s">
        <v>1365</v>
      </c>
      <c r="E364" s="2091"/>
      <c r="F364" s="2091"/>
      <c r="G364" s="2091"/>
      <c r="H364" s="2091"/>
      <c r="I364" s="2091"/>
      <c r="J364" s="2091"/>
      <c r="K364" s="2091"/>
      <c r="L364" s="2091"/>
      <c r="M364" s="2091"/>
      <c r="N364" s="2091"/>
      <c r="O364" s="2091"/>
      <c r="P364" s="2091"/>
      <c r="Q364" s="2091"/>
      <c r="R364" s="2091"/>
      <c r="S364" s="2091"/>
      <c r="T364" s="2091"/>
      <c r="U364" s="2091"/>
      <c r="V364" s="2091"/>
      <c r="W364" s="2091"/>
      <c r="X364" s="2091"/>
      <c r="Y364" s="2091"/>
      <c r="Z364" s="2091"/>
      <c r="AA364" s="2091"/>
      <c r="AB364" s="2091"/>
      <c r="AC364" s="2091"/>
      <c r="AD364" s="2091"/>
      <c r="AE364" s="2091"/>
      <c r="AF364" s="2091"/>
      <c r="AG364" s="2091"/>
      <c r="AI364" s="18"/>
      <c r="AJ364" s="18"/>
      <c r="AK364" s="18"/>
      <c r="AL364" s="18"/>
      <c r="AM364" s="18"/>
      <c r="AN364" s="18"/>
      <c r="AO364" s="18"/>
      <c r="AP364" s="18"/>
      <c r="AQ364" s="18"/>
    </row>
    <row r="365" spans="1:43" s="584" customFormat="1" ht="15" thickBot="1">
      <c r="A365" s="597"/>
      <c r="AI365" s="18"/>
      <c r="AJ365" s="18"/>
      <c r="AK365" s="18"/>
      <c r="AL365" s="18"/>
      <c r="AM365" s="18"/>
      <c r="AN365" s="18"/>
      <c r="AO365" s="18"/>
      <c r="AP365" s="18"/>
      <c r="AQ365" s="18"/>
    </row>
    <row r="366" spans="1:43" s="584" customFormat="1" ht="15.75" customHeight="1" thickBot="1">
      <c r="A366" s="597"/>
      <c r="D366" s="1859" t="s">
        <v>86</v>
      </c>
      <c r="E366" s="1859"/>
      <c r="F366" s="1859"/>
      <c r="G366" s="1859"/>
      <c r="H366" s="1859"/>
      <c r="I366" s="1859" t="s">
        <v>2</v>
      </c>
      <c r="J366" s="1859"/>
      <c r="K366" s="1859"/>
      <c r="L366" s="1859"/>
      <c r="M366" s="1859"/>
      <c r="N366" s="1859"/>
      <c r="O366" s="1859"/>
      <c r="P366" s="1859"/>
      <c r="Q366" s="1859"/>
      <c r="R366" s="1859"/>
      <c r="S366" s="1859"/>
      <c r="T366" s="1859"/>
      <c r="U366" s="1859"/>
      <c r="V366" s="1859"/>
      <c r="W366" s="1859"/>
      <c r="X366" s="1859"/>
      <c r="Y366" s="1859"/>
      <c r="Z366" s="1859"/>
      <c r="AA366" s="1859"/>
      <c r="AB366" s="1859"/>
      <c r="AC366" s="1859"/>
      <c r="AD366" s="1859"/>
      <c r="AE366" s="1859"/>
      <c r="AF366" s="1859"/>
      <c r="AG366" s="1859"/>
      <c r="AI366" s="18"/>
      <c r="AJ366" s="18"/>
      <c r="AK366" s="18"/>
      <c r="AL366" s="18"/>
      <c r="AM366" s="18"/>
      <c r="AN366" s="18"/>
      <c r="AO366" s="18"/>
      <c r="AP366" s="18"/>
      <c r="AQ366" s="18"/>
    </row>
    <row r="367" spans="1:43" s="584" customFormat="1" ht="47.25" customHeight="1" thickTop="1" thickBot="1">
      <c r="A367" s="597"/>
      <c r="D367" s="1859"/>
      <c r="E367" s="1859"/>
      <c r="F367" s="1859"/>
      <c r="G367" s="1859"/>
      <c r="H367" s="1859"/>
      <c r="I367" s="1838" t="s">
        <v>87</v>
      </c>
      <c r="J367" s="1838"/>
      <c r="K367" s="1838"/>
      <c r="L367" s="1838"/>
      <c r="M367" s="1838"/>
      <c r="N367" s="1838" t="s">
        <v>455</v>
      </c>
      <c r="O367" s="1838"/>
      <c r="P367" s="1838"/>
      <c r="Q367" s="1838"/>
      <c r="R367" s="1838"/>
      <c r="S367" s="1838" t="s">
        <v>459</v>
      </c>
      <c r="T367" s="1838"/>
      <c r="U367" s="1838"/>
      <c r="V367" s="1838"/>
      <c r="W367" s="1838"/>
      <c r="X367" s="1838" t="s">
        <v>457</v>
      </c>
      <c r="Y367" s="1838"/>
      <c r="Z367" s="1838"/>
      <c r="AA367" s="1838"/>
      <c r="AB367" s="1838"/>
      <c r="AC367" s="1838" t="s">
        <v>89</v>
      </c>
      <c r="AD367" s="1838"/>
      <c r="AE367" s="1838"/>
      <c r="AF367" s="1838"/>
      <c r="AG367" s="1838"/>
      <c r="AI367" s="591" t="s">
        <v>87</v>
      </c>
      <c r="AJ367" s="594" t="s">
        <v>456</v>
      </c>
      <c r="AK367" s="591" t="s">
        <v>459</v>
      </c>
      <c r="AL367" s="594" t="s">
        <v>457</v>
      </c>
      <c r="AM367" s="591" t="s">
        <v>89</v>
      </c>
      <c r="AN367" s="18"/>
      <c r="AO367" s="59" t="s">
        <v>89</v>
      </c>
      <c r="AP367" s="18"/>
      <c r="AQ367" s="18"/>
    </row>
    <row r="368" spans="1:43" s="584" customFormat="1" ht="28.5" customHeight="1" thickBot="1">
      <c r="A368" s="597"/>
      <c r="D368" s="2098" t="s">
        <v>90</v>
      </c>
      <c r="E368" s="2098"/>
      <c r="F368" s="2098"/>
      <c r="G368" s="2098"/>
      <c r="H368" s="2098"/>
      <c r="I368" s="2022">
        <v>4833</v>
      </c>
      <c r="J368" s="2023"/>
      <c r="K368" s="2023"/>
      <c r="L368" s="2023"/>
      <c r="M368" s="2023"/>
      <c r="N368" s="2023">
        <v>1391</v>
      </c>
      <c r="O368" s="2023"/>
      <c r="P368" s="2023"/>
      <c r="Q368" s="2023"/>
      <c r="R368" s="2023"/>
      <c r="S368" s="2023">
        <v>0</v>
      </c>
      <c r="T368" s="2023"/>
      <c r="U368" s="2023"/>
      <c r="V368" s="2023"/>
      <c r="W368" s="2023"/>
      <c r="X368" s="2023">
        <v>0</v>
      </c>
      <c r="Y368" s="2023"/>
      <c r="Z368" s="2023"/>
      <c r="AA368" s="2023"/>
      <c r="AB368" s="2023"/>
      <c r="AC368" s="2025">
        <f>SUM(I368:AB368)</f>
        <v>6224</v>
      </c>
      <c r="AD368" s="2025"/>
      <c r="AE368" s="2025"/>
      <c r="AF368" s="2025"/>
      <c r="AG368" s="2026"/>
      <c r="AI368" s="612"/>
      <c r="AJ368" s="613"/>
      <c r="AK368" s="613"/>
      <c r="AL368" s="613"/>
      <c r="AM368" s="614">
        <f>SUM(I368:AB368)-AC368</f>
        <v>0</v>
      </c>
      <c r="AN368" s="18"/>
      <c r="AO368" s="615">
        <f>AC368-BS!E44</f>
        <v>0</v>
      </c>
      <c r="AP368" s="18"/>
      <c r="AQ368" s="18"/>
    </row>
    <row r="369" spans="1:43" s="584" customFormat="1" ht="34.5" customHeight="1" thickBot="1">
      <c r="A369" s="597"/>
      <c r="D369" s="2098" t="s">
        <v>98</v>
      </c>
      <c r="E369" s="2098"/>
      <c r="F369" s="2098"/>
      <c r="G369" s="2098"/>
      <c r="H369" s="2098"/>
      <c r="I369" s="2097">
        <v>0</v>
      </c>
      <c r="J369" s="2033"/>
      <c r="K369" s="2033"/>
      <c r="L369" s="2033"/>
      <c r="M369" s="2033"/>
      <c r="N369" s="1778">
        <v>0</v>
      </c>
      <c r="O369" s="1778"/>
      <c r="P369" s="1778"/>
      <c r="Q369" s="1778"/>
      <c r="R369" s="1778"/>
      <c r="S369" s="1778">
        <v>0</v>
      </c>
      <c r="T369" s="1778"/>
      <c r="U369" s="1778"/>
      <c r="V369" s="1778"/>
      <c r="W369" s="1778"/>
      <c r="X369" s="1778">
        <v>0</v>
      </c>
      <c r="Y369" s="1778"/>
      <c r="Z369" s="1778"/>
      <c r="AA369" s="1778"/>
      <c r="AB369" s="1778"/>
      <c r="AC369" s="1816">
        <f t="shared" ref="AC369:AC374" si="126">SUM(I369:AB369)</f>
        <v>0</v>
      </c>
      <c r="AD369" s="1816"/>
      <c r="AE369" s="1816"/>
      <c r="AF369" s="1816"/>
      <c r="AG369" s="1817"/>
      <c r="AI369" s="606"/>
      <c r="AJ369" s="607"/>
      <c r="AK369" s="607"/>
      <c r="AL369" s="607"/>
      <c r="AM369" s="608">
        <f t="shared" ref="AM369:AM374" si="127">SUM(I369:AB369)-AC369</f>
        <v>0</v>
      </c>
      <c r="AN369" s="18"/>
      <c r="AO369" s="615">
        <f>AC369-BS!E45</f>
        <v>0</v>
      </c>
      <c r="AP369" s="18"/>
      <c r="AQ369" s="18"/>
    </row>
    <row r="370" spans="1:43" s="584" customFormat="1" ht="28.5" customHeight="1" thickBot="1">
      <c r="A370" s="597"/>
      <c r="D370" s="2098" t="s">
        <v>91</v>
      </c>
      <c r="E370" s="2098"/>
      <c r="F370" s="2098"/>
      <c r="G370" s="2098"/>
      <c r="H370" s="2098"/>
      <c r="I370" s="2097">
        <v>0</v>
      </c>
      <c r="J370" s="2033"/>
      <c r="K370" s="2033"/>
      <c r="L370" s="2033"/>
      <c r="M370" s="2033"/>
      <c r="N370" s="1778">
        <v>0</v>
      </c>
      <c r="O370" s="1778"/>
      <c r="P370" s="1778"/>
      <c r="Q370" s="1778"/>
      <c r="R370" s="1778"/>
      <c r="S370" s="1778">
        <v>0</v>
      </c>
      <c r="T370" s="1778"/>
      <c r="U370" s="1778"/>
      <c r="V370" s="1778"/>
      <c r="W370" s="1778"/>
      <c r="X370" s="1778">
        <v>0</v>
      </c>
      <c r="Y370" s="1778"/>
      <c r="Z370" s="1778"/>
      <c r="AA370" s="1778"/>
      <c r="AB370" s="1778"/>
      <c r="AC370" s="1816">
        <f t="shared" si="126"/>
        <v>0</v>
      </c>
      <c r="AD370" s="1816"/>
      <c r="AE370" s="1816"/>
      <c r="AF370" s="1816"/>
      <c r="AG370" s="1817"/>
      <c r="AI370" s="606"/>
      <c r="AJ370" s="607"/>
      <c r="AK370" s="607"/>
      <c r="AL370" s="607"/>
      <c r="AM370" s="608">
        <f t="shared" si="127"/>
        <v>0</v>
      </c>
      <c r="AN370" s="18"/>
      <c r="AO370" s="615">
        <f>AC370-BS!E46</f>
        <v>0</v>
      </c>
      <c r="AP370" s="18"/>
      <c r="AQ370" s="18"/>
    </row>
    <row r="371" spans="1:43" s="584" customFormat="1" ht="28.5" customHeight="1" thickBot="1">
      <c r="A371" s="597"/>
      <c r="D371" s="2098" t="s">
        <v>92</v>
      </c>
      <c r="E371" s="2098"/>
      <c r="F371" s="2098"/>
      <c r="G371" s="2098"/>
      <c r="H371" s="2098"/>
      <c r="I371" s="2097">
        <v>0</v>
      </c>
      <c r="J371" s="2033"/>
      <c r="K371" s="2033"/>
      <c r="L371" s="2033"/>
      <c r="M371" s="2033"/>
      <c r="N371" s="1778">
        <v>0</v>
      </c>
      <c r="O371" s="1778"/>
      <c r="P371" s="1778"/>
      <c r="Q371" s="1778"/>
      <c r="R371" s="1778"/>
      <c r="S371" s="1778">
        <v>0</v>
      </c>
      <c r="T371" s="1778"/>
      <c r="U371" s="1778"/>
      <c r="V371" s="1778"/>
      <c r="W371" s="1778"/>
      <c r="X371" s="1778">
        <v>0</v>
      </c>
      <c r="Y371" s="1778"/>
      <c r="Z371" s="1778"/>
      <c r="AA371" s="1778"/>
      <c r="AB371" s="1778"/>
      <c r="AC371" s="1816">
        <f t="shared" si="126"/>
        <v>0</v>
      </c>
      <c r="AD371" s="1816"/>
      <c r="AE371" s="1816"/>
      <c r="AF371" s="1816"/>
      <c r="AG371" s="1817"/>
      <c r="AI371" s="606"/>
      <c r="AJ371" s="607"/>
      <c r="AK371" s="607"/>
      <c r="AL371" s="607"/>
      <c r="AM371" s="608">
        <f t="shared" si="127"/>
        <v>0</v>
      </c>
      <c r="AN371" s="18"/>
      <c r="AO371" s="615">
        <f>AC371-BS!E47</f>
        <v>0</v>
      </c>
      <c r="AP371" s="18"/>
      <c r="AQ371" s="18"/>
    </row>
    <row r="372" spans="1:43" s="584" customFormat="1" ht="28.5" customHeight="1" thickBot="1">
      <c r="A372" s="597"/>
      <c r="D372" s="2098" t="s">
        <v>93</v>
      </c>
      <c r="E372" s="2098"/>
      <c r="F372" s="2098"/>
      <c r="G372" s="2098"/>
      <c r="H372" s="2098"/>
      <c r="I372" s="2097">
        <v>0</v>
      </c>
      <c r="J372" s="2033"/>
      <c r="K372" s="2033"/>
      <c r="L372" s="2033"/>
      <c r="M372" s="2033"/>
      <c r="N372" s="1778">
        <v>0</v>
      </c>
      <c r="O372" s="1778"/>
      <c r="P372" s="1778"/>
      <c r="Q372" s="1778"/>
      <c r="R372" s="1778"/>
      <c r="S372" s="1778">
        <v>0</v>
      </c>
      <c r="T372" s="1778"/>
      <c r="U372" s="1778"/>
      <c r="V372" s="1778"/>
      <c r="W372" s="1778"/>
      <c r="X372" s="1778">
        <v>0</v>
      </c>
      <c r="Y372" s="1778"/>
      <c r="Z372" s="1778"/>
      <c r="AA372" s="1778"/>
      <c r="AB372" s="1778"/>
      <c r="AC372" s="1816">
        <f t="shared" si="126"/>
        <v>0</v>
      </c>
      <c r="AD372" s="1816"/>
      <c r="AE372" s="1816"/>
      <c r="AF372" s="1816"/>
      <c r="AG372" s="1817"/>
      <c r="AI372" s="606"/>
      <c r="AJ372" s="607"/>
      <c r="AK372" s="607"/>
      <c r="AL372" s="607"/>
      <c r="AM372" s="608">
        <f t="shared" si="127"/>
        <v>0</v>
      </c>
      <c r="AN372" s="18"/>
      <c r="AO372" s="615">
        <f>AC372-BS!E48</f>
        <v>0</v>
      </c>
      <c r="AP372" s="18"/>
      <c r="AQ372" s="18"/>
    </row>
    <row r="373" spans="1:43" s="584" customFormat="1" ht="28.5" customHeight="1" thickBot="1">
      <c r="A373" s="597"/>
      <c r="D373" s="2098" t="s">
        <v>94</v>
      </c>
      <c r="E373" s="2098"/>
      <c r="F373" s="2098"/>
      <c r="G373" s="2098"/>
      <c r="H373" s="2098"/>
      <c r="I373" s="2097">
        <v>0</v>
      </c>
      <c r="J373" s="2033"/>
      <c r="K373" s="2033"/>
      <c r="L373" s="2033"/>
      <c r="M373" s="2033"/>
      <c r="N373" s="1778">
        <v>0</v>
      </c>
      <c r="O373" s="1778"/>
      <c r="P373" s="1778"/>
      <c r="Q373" s="1778"/>
      <c r="R373" s="1778"/>
      <c r="S373" s="1778">
        <v>0</v>
      </c>
      <c r="T373" s="1778"/>
      <c r="U373" s="1778"/>
      <c r="V373" s="1778"/>
      <c r="W373" s="1778"/>
      <c r="X373" s="1778">
        <v>0</v>
      </c>
      <c r="Y373" s="1778"/>
      <c r="Z373" s="1778"/>
      <c r="AA373" s="1778"/>
      <c r="AB373" s="1778"/>
      <c r="AC373" s="1816">
        <f t="shared" si="126"/>
        <v>0</v>
      </c>
      <c r="AD373" s="1816"/>
      <c r="AE373" s="1816"/>
      <c r="AF373" s="1816"/>
      <c r="AG373" s="1817"/>
      <c r="AI373" s="606"/>
      <c r="AJ373" s="607"/>
      <c r="AK373" s="607"/>
      <c r="AL373" s="607"/>
      <c r="AM373" s="608">
        <f t="shared" si="127"/>
        <v>0</v>
      </c>
      <c r="AN373" s="18"/>
      <c r="AO373" s="616"/>
      <c r="AP373" s="18"/>
      <c r="AQ373" s="18"/>
    </row>
    <row r="374" spans="1:43" s="584" customFormat="1" ht="28.5" customHeight="1" thickBot="1">
      <c r="A374" s="597"/>
      <c r="D374" s="2098" t="s">
        <v>458</v>
      </c>
      <c r="E374" s="2098"/>
      <c r="F374" s="2098"/>
      <c r="G374" s="2098"/>
      <c r="H374" s="2098"/>
      <c r="I374" s="2097">
        <v>0</v>
      </c>
      <c r="J374" s="2033"/>
      <c r="K374" s="2033"/>
      <c r="L374" s="2033"/>
      <c r="M374" s="2033"/>
      <c r="N374" s="1778">
        <v>0</v>
      </c>
      <c r="O374" s="1778"/>
      <c r="P374" s="1778"/>
      <c r="Q374" s="1778"/>
      <c r="R374" s="1778"/>
      <c r="S374" s="1778">
        <v>0</v>
      </c>
      <c r="T374" s="1778"/>
      <c r="U374" s="1778"/>
      <c r="V374" s="1778"/>
      <c r="W374" s="1778"/>
      <c r="X374" s="1778">
        <v>0</v>
      </c>
      <c r="Y374" s="1778"/>
      <c r="Z374" s="1778"/>
      <c r="AA374" s="1778"/>
      <c r="AB374" s="1778"/>
      <c r="AC374" s="1816">
        <f t="shared" si="126"/>
        <v>0</v>
      </c>
      <c r="AD374" s="1816"/>
      <c r="AE374" s="1816"/>
      <c r="AF374" s="1816"/>
      <c r="AG374" s="1817"/>
      <c r="AI374" s="606"/>
      <c r="AJ374" s="607"/>
      <c r="AK374" s="607"/>
      <c r="AL374" s="607"/>
      <c r="AM374" s="608">
        <f t="shared" si="127"/>
        <v>0</v>
      </c>
      <c r="AN374" s="18"/>
      <c r="AO374" s="615">
        <f>AC374-BS!E49</f>
        <v>0</v>
      </c>
      <c r="AP374" s="18"/>
      <c r="AQ374" s="18"/>
    </row>
    <row r="375" spans="1:43" s="584" customFormat="1" ht="28.5" customHeight="1" thickBot="1">
      <c r="A375" s="597"/>
      <c r="D375" s="1941" t="s">
        <v>95</v>
      </c>
      <c r="E375" s="1941"/>
      <c r="F375" s="1941"/>
      <c r="G375" s="1941"/>
      <c r="H375" s="1941"/>
      <c r="I375" s="2092">
        <f t="shared" ref="I375" si="128">SUM(I368:M374)</f>
        <v>4833</v>
      </c>
      <c r="J375" s="2093"/>
      <c r="K375" s="2093"/>
      <c r="L375" s="2093"/>
      <c r="M375" s="2093"/>
      <c r="N375" s="2093">
        <f>SUM(N368:R374)</f>
        <v>1391</v>
      </c>
      <c r="O375" s="2093"/>
      <c r="P375" s="2093"/>
      <c r="Q375" s="2093"/>
      <c r="R375" s="2093"/>
      <c r="S375" s="2093">
        <f t="shared" ref="S375" si="129">SUM(S368:W374)</f>
        <v>0</v>
      </c>
      <c r="T375" s="2093"/>
      <c r="U375" s="2093"/>
      <c r="V375" s="2093"/>
      <c r="W375" s="2093"/>
      <c r="X375" s="2093">
        <f t="shared" ref="X375" si="130">SUM(X368:AB374)</f>
        <v>0</v>
      </c>
      <c r="Y375" s="2093"/>
      <c r="Z375" s="2093"/>
      <c r="AA375" s="2093"/>
      <c r="AB375" s="2093"/>
      <c r="AC375" s="2093">
        <f>SUM(AC368:AG374)</f>
        <v>6224</v>
      </c>
      <c r="AD375" s="2093"/>
      <c r="AE375" s="2093"/>
      <c r="AF375" s="2093"/>
      <c r="AG375" s="2096"/>
      <c r="AI375" s="609">
        <f>SUM(I368:M374)-I375</f>
        <v>0</v>
      </c>
      <c r="AJ375" s="610">
        <f>SUM(N368:R374)-N375</f>
        <v>0</v>
      </c>
      <c r="AK375" s="610">
        <f>SUM(S368:W374)-S375</f>
        <v>0</v>
      </c>
      <c r="AL375" s="610">
        <f>SUM(X368:AB374)-X375</f>
        <v>0</v>
      </c>
      <c r="AM375" s="611">
        <f>SUM(I375:AB375)-AC375</f>
        <v>0</v>
      </c>
      <c r="AN375" s="18"/>
      <c r="AO375" s="617">
        <f>AC375-BS!E43</f>
        <v>0</v>
      </c>
      <c r="AP375" s="18"/>
      <c r="AQ375" s="18"/>
    </row>
    <row r="376" spans="1:43" s="584" customFormat="1" ht="15" thickBot="1">
      <c r="A376" s="597"/>
      <c r="AI376" s="18"/>
      <c r="AJ376" s="18"/>
      <c r="AK376" s="18"/>
      <c r="AL376" s="18"/>
      <c r="AM376" s="18"/>
      <c r="AN376" s="18"/>
      <c r="AO376" s="18"/>
      <c r="AP376" s="18"/>
      <c r="AQ376" s="18"/>
    </row>
    <row r="377" spans="1:43" s="584" customFormat="1" ht="15" thickBot="1">
      <c r="A377" s="597"/>
      <c r="D377" s="1859" t="s">
        <v>86</v>
      </c>
      <c r="E377" s="1859"/>
      <c r="F377" s="1859"/>
      <c r="G377" s="1859"/>
      <c r="H377" s="1859"/>
      <c r="I377" s="1859" t="s">
        <v>3</v>
      </c>
      <c r="J377" s="1859"/>
      <c r="K377" s="1859"/>
      <c r="L377" s="1859"/>
      <c r="M377" s="1859"/>
      <c r="N377" s="1859"/>
      <c r="O377" s="1859"/>
      <c r="P377" s="1859"/>
      <c r="Q377" s="1859"/>
      <c r="R377" s="1859"/>
      <c r="S377" s="1859"/>
      <c r="T377" s="1859"/>
      <c r="U377" s="1859"/>
      <c r="V377" s="1859"/>
      <c r="W377" s="1859"/>
      <c r="X377" s="1859"/>
      <c r="Y377" s="1859"/>
      <c r="Z377" s="1859"/>
      <c r="AA377" s="1859"/>
      <c r="AB377" s="1859"/>
      <c r="AC377" s="1859"/>
      <c r="AD377" s="1859"/>
      <c r="AE377" s="1859"/>
      <c r="AF377" s="1859"/>
      <c r="AG377" s="1859"/>
      <c r="AI377" s="18"/>
      <c r="AJ377" s="18"/>
      <c r="AK377" s="18"/>
      <c r="AL377" s="18"/>
      <c r="AM377" s="18"/>
      <c r="AN377" s="18"/>
      <c r="AO377" s="18"/>
      <c r="AP377" s="18"/>
      <c r="AQ377" s="18"/>
    </row>
    <row r="378" spans="1:43" s="584" customFormat="1" ht="47.25" customHeight="1" thickBot="1">
      <c r="A378" s="597"/>
      <c r="D378" s="1859"/>
      <c r="E378" s="1859"/>
      <c r="F378" s="1859"/>
      <c r="G378" s="1859"/>
      <c r="H378" s="1859"/>
      <c r="I378" s="1838" t="s">
        <v>87</v>
      </c>
      <c r="J378" s="1838"/>
      <c r="K378" s="1838"/>
      <c r="L378" s="1838"/>
      <c r="M378" s="1838"/>
      <c r="N378" s="1838" t="s">
        <v>455</v>
      </c>
      <c r="O378" s="1838"/>
      <c r="P378" s="1838"/>
      <c r="Q378" s="1838"/>
      <c r="R378" s="1838"/>
      <c r="S378" s="1838" t="s">
        <v>459</v>
      </c>
      <c r="T378" s="1838"/>
      <c r="U378" s="1838"/>
      <c r="V378" s="1838"/>
      <c r="W378" s="1838"/>
      <c r="X378" s="1838" t="s">
        <v>457</v>
      </c>
      <c r="Y378" s="1838"/>
      <c r="Z378" s="1838"/>
      <c r="AA378" s="1838"/>
      <c r="AB378" s="1838"/>
      <c r="AC378" s="1838" t="s">
        <v>89</v>
      </c>
      <c r="AD378" s="1838"/>
      <c r="AE378" s="1838"/>
      <c r="AF378" s="1838"/>
      <c r="AG378" s="1838"/>
      <c r="AI378" s="18"/>
      <c r="AJ378" s="18"/>
      <c r="AK378" s="18"/>
      <c r="AL378" s="18"/>
      <c r="AM378" s="18"/>
      <c r="AN378" s="18"/>
      <c r="AO378" s="18"/>
      <c r="AP378" s="18"/>
      <c r="AQ378" s="18"/>
    </row>
    <row r="379" spans="1:43" s="584" customFormat="1" ht="15.75" customHeight="1" thickBot="1">
      <c r="A379" s="597"/>
      <c r="D379" s="2098" t="s">
        <v>90</v>
      </c>
      <c r="E379" s="2098"/>
      <c r="F379" s="2098"/>
      <c r="G379" s="2098"/>
      <c r="H379" s="2098"/>
      <c r="I379" s="2022">
        <v>7518</v>
      </c>
      <c r="J379" s="2023"/>
      <c r="K379" s="2023"/>
      <c r="L379" s="2023"/>
      <c r="M379" s="2023"/>
      <c r="N379" s="2023"/>
      <c r="O379" s="2023"/>
      <c r="P379" s="2023"/>
      <c r="Q379" s="2023"/>
      <c r="R379" s="2023"/>
      <c r="S379" s="2023">
        <v>-2685</v>
      </c>
      <c r="T379" s="2023"/>
      <c r="U379" s="2023"/>
      <c r="V379" s="2023"/>
      <c r="W379" s="2023"/>
      <c r="X379" s="2023"/>
      <c r="Y379" s="2023"/>
      <c r="Z379" s="2023"/>
      <c r="AA379" s="2023"/>
      <c r="AB379" s="2023"/>
      <c r="AC379" s="2025">
        <v>4833</v>
      </c>
      <c r="AD379" s="2025"/>
      <c r="AE379" s="2025"/>
      <c r="AF379" s="2025"/>
      <c r="AG379" s="2026"/>
      <c r="AI379" s="18"/>
      <c r="AJ379" s="18"/>
      <c r="AK379" s="18"/>
      <c r="AL379" s="18"/>
      <c r="AM379" s="18"/>
      <c r="AN379" s="18"/>
      <c r="AO379" s="18"/>
      <c r="AP379" s="18"/>
      <c r="AQ379" s="18"/>
    </row>
    <row r="380" spans="1:43" s="584" customFormat="1" ht="42" customHeight="1" thickBot="1">
      <c r="A380" s="597"/>
      <c r="D380" s="2098" t="s">
        <v>98</v>
      </c>
      <c r="E380" s="2098"/>
      <c r="F380" s="2098"/>
      <c r="G380" s="2098"/>
      <c r="H380" s="2098"/>
      <c r="I380" s="2097">
        <v>0</v>
      </c>
      <c r="J380" s="2033"/>
      <c r="K380" s="2033"/>
      <c r="L380" s="2033"/>
      <c r="M380" s="2033"/>
      <c r="N380" s="2033">
        <v>0</v>
      </c>
      <c r="O380" s="2033"/>
      <c r="P380" s="2033"/>
      <c r="Q380" s="2033"/>
      <c r="R380" s="2033"/>
      <c r="S380" s="2033">
        <v>0</v>
      </c>
      <c r="T380" s="2033"/>
      <c r="U380" s="2033"/>
      <c r="V380" s="2033"/>
      <c r="W380" s="2033"/>
      <c r="X380" s="2033">
        <v>0</v>
      </c>
      <c r="Y380" s="2033"/>
      <c r="Z380" s="2033"/>
      <c r="AA380" s="2033"/>
      <c r="AB380" s="2033"/>
      <c r="AC380" s="1816">
        <v>0</v>
      </c>
      <c r="AD380" s="1816"/>
      <c r="AE380" s="1816"/>
      <c r="AF380" s="1816"/>
      <c r="AG380" s="1817"/>
      <c r="AI380" s="18"/>
      <c r="AJ380" s="18"/>
      <c r="AK380" s="18"/>
      <c r="AL380" s="18"/>
      <c r="AM380" s="18"/>
      <c r="AN380" s="18"/>
      <c r="AO380" s="18"/>
      <c r="AP380" s="18"/>
      <c r="AQ380" s="18"/>
    </row>
    <row r="381" spans="1:43" s="584" customFormat="1" ht="23.25" customHeight="1" thickBot="1">
      <c r="A381" s="597"/>
      <c r="D381" s="2098" t="s">
        <v>91</v>
      </c>
      <c r="E381" s="2098"/>
      <c r="F381" s="2098"/>
      <c r="G381" s="2098"/>
      <c r="H381" s="2098"/>
      <c r="I381" s="2097">
        <v>0</v>
      </c>
      <c r="J381" s="2033"/>
      <c r="K381" s="2033"/>
      <c r="L381" s="2033"/>
      <c r="M381" s="2033"/>
      <c r="N381" s="2033">
        <v>0</v>
      </c>
      <c r="O381" s="2033"/>
      <c r="P381" s="2033"/>
      <c r="Q381" s="2033"/>
      <c r="R381" s="2033"/>
      <c r="S381" s="2033">
        <v>0</v>
      </c>
      <c r="T381" s="2033"/>
      <c r="U381" s="2033"/>
      <c r="V381" s="2033"/>
      <c r="W381" s="2033"/>
      <c r="X381" s="2033">
        <v>0</v>
      </c>
      <c r="Y381" s="2033"/>
      <c r="Z381" s="2033"/>
      <c r="AA381" s="2033"/>
      <c r="AB381" s="2033"/>
      <c r="AC381" s="1816">
        <v>0</v>
      </c>
      <c r="AD381" s="1816"/>
      <c r="AE381" s="1816"/>
      <c r="AF381" s="1816"/>
      <c r="AG381" s="1817"/>
      <c r="AI381" s="18"/>
      <c r="AJ381" s="18"/>
      <c r="AK381" s="18"/>
      <c r="AL381" s="18"/>
      <c r="AM381" s="18"/>
      <c r="AN381" s="18"/>
      <c r="AO381" s="18"/>
      <c r="AP381" s="18"/>
      <c r="AQ381" s="18"/>
    </row>
    <row r="382" spans="1:43" s="584" customFormat="1" ht="25.5" customHeight="1" thickBot="1">
      <c r="A382" s="597"/>
      <c r="D382" s="2098" t="s">
        <v>92</v>
      </c>
      <c r="E382" s="2098"/>
      <c r="F382" s="2098"/>
      <c r="G382" s="2098"/>
      <c r="H382" s="2098"/>
      <c r="I382" s="2097">
        <v>0</v>
      </c>
      <c r="J382" s="2033"/>
      <c r="K382" s="2033"/>
      <c r="L382" s="2033"/>
      <c r="M382" s="2033"/>
      <c r="N382" s="2033">
        <v>0</v>
      </c>
      <c r="O382" s="2033"/>
      <c r="P382" s="2033"/>
      <c r="Q382" s="2033"/>
      <c r="R382" s="2033"/>
      <c r="S382" s="2033">
        <v>0</v>
      </c>
      <c r="T382" s="2033"/>
      <c r="U382" s="2033"/>
      <c r="V382" s="2033"/>
      <c r="W382" s="2033"/>
      <c r="X382" s="2033">
        <v>0</v>
      </c>
      <c r="Y382" s="2033"/>
      <c r="Z382" s="2033"/>
      <c r="AA382" s="2033"/>
      <c r="AB382" s="2033"/>
      <c r="AC382" s="1816">
        <v>0</v>
      </c>
      <c r="AD382" s="1816"/>
      <c r="AE382" s="1816"/>
      <c r="AF382" s="1816"/>
      <c r="AG382" s="1817"/>
      <c r="AI382" s="18"/>
      <c r="AJ382" s="18"/>
      <c r="AK382" s="18"/>
      <c r="AL382" s="18"/>
      <c r="AM382" s="18"/>
      <c r="AN382" s="18"/>
      <c r="AO382" s="18"/>
      <c r="AP382" s="18"/>
      <c r="AQ382" s="18"/>
    </row>
    <row r="383" spans="1:43" s="584" customFormat="1" ht="22.5" customHeight="1" thickBot="1">
      <c r="A383" s="597"/>
      <c r="D383" s="2098" t="s">
        <v>93</v>
      </c>
      <c r="E383" s="2098"/>
      <c r="F383" s="2098"/>
      <c r="G383" s="2098"/>
      <c r="H383" s="2098"/>
      <c r="I383" s="2097">
        <v>0</v>
      </c>
      <c r="J383" s="2033"/>
      <c r="K383" s="2033"/>
      <c r="L383" s="2033"/>
      <c r="M383" s="2033"/>
      <c r="N383" s="2033">
        <v>0</v>
      </c>
      <c r="O383" s="2033"/>
      <c r="P383" s="2033"/>
      <c r="Q383" s="2033"/>
      <c r="R383" s="2033"/>
      <c r="S383" s="2033">
        <v>0</v>
      </c>
      <c r="T383" s="2033"/>
      <c r="U383" s="2033"/>
      <c r="V383" s="2033"/>
      <c r="W383" s="2033"/>
      <c r="X383" s="2033">
        <v>0</v>
      </c>
      <c r="Y383" s="2033"/>
      <c r="Z383" s="2033"/>
      <c r="AA383" s="2033"/>
      <c r="AB383" s="2033"/>
      <c r="AC383" s="1816">
        <v>0</v>
      </c>
      <c r="AD383" s="1816"/>
      <c r="AE383" s="1816"/>
      <c r="AF383" s="1816"/>
      <c r="AG383" s="1817"/>
      <c r="AI383" s="18"/>
      <c r="AJ383" s="18"/>
      <c r="AK383" s="18"/>
      <c r="AL383" s="18"/>
      <c r="AM383" s="18"/>
      <c r="AN383" s="18"/>
      <c r="AO383" s="18"/>
      <c r="AP383" s="18"/>
      <c r="AQ383" s="18"/>
    </row>
    <row r="384" spans="1:43" s="584" customFormat="1" ht="27.75" customHeight="1" thickBot="1">
      <c r="A384" s="597"/>
      <c r="D384" s="2098" t="s">
        <v>94</v>
      </c>
      <c r="E384" s="2098"/>
      <c r="F384" s="2098"/>
      <c r="G384" s="2098"/>
      <c r="H384" s="2098"/>
      <c r="I384" s="2097">
        <v>0</v>
      </c>
      <c r="J384" s="2033"/>
      <c r="K384" s="2033"/>
      <c r="L384" s="2033"/>
      <c r="M384" s="2033"/>
      <c r="N384" s="2033">
        <v>0</v>
      </c>
      <c r="O384" s="2033"/>
      <c r="P384" s="2033"/>
      <c r="Q384" s="2033"/>
      <c r="R384" s="2033"/>
      <c r="S384" s="2033">
        <v>0</v>
      </c>
      <c r="T384" s="2033"/>
      <c r="U384" s="2033"/>
      <c r="V384" s="2033"/>
      <c r="W384" s="2033"/>
      <c r="X384" s="2033">
        <v>0</v>
      </c>
      <c r="Y384" s="2033"/>
      <c r="Z384" s="2033"/>
      <c r="AA384" s="2033"/>
      <c r="AB384" s="2033"/>
      <c r="AC384" s="1816">
        <v>0</v>
      </c>
      <c r="AD384" s="1816"/>
      <c r="AE384" s="1816"/>
      <c r="AF384" s="1816"/>
      <c r="AG384" s="1817"/>
      <c r="AI384" s="18"/>
      <c r="AJ384" s="18"/>
      <c r="AK384" s="18"/>
      <c r="AL384" s="18"/>
      <c r="AM384" s="18"/>
      <c r="AN384" s="18"/>
      <c r="AO384" s="18"/>
      <c r="AP384" s="18"/>
      <c r="AQ384" s="18"/>
    </row>
    <row r="385" spans="1:43" s="584" customFormat="1" ht="33.75" customHeight="1" thickBot="1">
      <c r="A385" s="597"/>
      <c r="D385" s="2098" t="s">
        <v>458</v>
      </c>
      <c r="E385" s="2098"/>
      <c r="F385" s="2098"/>
      <c r="G385" s="2098"/>
      <c r="H385" s="2098"/>
      <c r="I385" s="2097">
        <v>0</v>
      </c>
      <c r="J385" s="2033"/>
      <c r="K385" s="2033"/>
      <c r="L385" s="2033"/>
      <c r="M385" s="2033"/>
      <c r="N385" s="2033">
        <v>0</v>
      </c>
      <c r="O385" s="2033"/>
      <c r="P385" s="2033"/>
      <c r="Q385" s="2033"/>
      <c r="R385" s="2033"/>
      <c r="S385" s="2033">
        <v>0</v>
      </c>
      <c r="T385" s="2033"/>
      <c r="U385" s="2033"/>
      <c r="V385" s="2033"/>
      <c r="W385" s="2033"/>
      <c r="X385" s="2033">
        <v>0</v>
      </c>
      <c r="Y385" s="2033"/>
      <c r="Z385" s="2033"/>
      <c r="AA385" s="2033"/>
      <c r="AB385" s="2033"/>
      <c r="AC385" s="1816">
        <v>0</v>
      </c>
      <c r="AD385" s="1816"/>
      <c r="AE385" s="1816"/>
      <c r="AF385" s="1816"/>
      <c r="AG385" s="1817"/>
      <c r="AI385" s="18"/>
      <c r="AJ385" s="18"/>
      <c r="AK385" s="18"/>
      <c r="AL385" s="18"/>
      <c r="AM385" s="18"/>
      <c r="AN385" s="18"/>
      <c r="AO385" s="18"/>
      <c r="AP385" s="18"/>
      <c r="AQ385" s="18"/>
    </row>
    <row r="386" spans="1:43" s="584" customFormat="1" ht="21.75" customHeight="1" thickBot="1">
      <c r="A386" s="597"/>
      <c r="D386" s="1941" t="s">
        <v>95</v>
      </c>
      <c r="E386" s="1941"/>
      <c r="F386" s="1941"/>
      <c r="G386" s="1941"/>
      <c r="H386" s="1941"/>
      <c r="I386" s="2092">
        <v>7518</v>
      </c>
      <c r="J386" s="2093"/>
      <c r="K386" s="2093"/>
      <c r="L386" s="2093"/>
      <c r="M386" s="2093"/>
      <c r="N386" s="2093">
        <v>0</v>
      </c>
      <c r="O386" s="2093"/>
      <c r="P386" s="2093"/>
      <c r="Q386" s="2093"/>
      <c r="R386" s="2093"/>
      <c r="S386" s="2093">
        <v>-2685</v>
      </c>
      <c r="T386" s="2093"/>
      <c r="U386" s="2093"/>
      <c r="V386" s="2093"/>
      <c r="W386" s="2093"/>
      <c r="X386" s="2093">
        <v>0</v>
      </c>
      <c r="Y386" s="2093"/>
      <c r="Z386" s="2093"/>
      <c r="AA386" s="2093"/>
      <c r="AB386" s="2093"/>
      <c r="AC386" s="2093">
        <v>4833</v>
      </c>
      <c r="AD386" s="2093"/>
      <c r="AE386" s="2093"/>
      <c r="AF386" s="2093"/>
      <c r="AG386" s="2096"/>
      <c r="AI386" s="18"/>
      <c r="AJ386" s="18"/>
      <c r="AK386" s="18"/>
      <c r="AL386" s="18"/>
      <c r="AM386" s="18"/>
      <c r="AN386" s="18"/>
      <c r="AO386" s="18"/>
      <c r="AP386" s="18"/>
      <c r="AQ386" s="18"/>
    </row>
    <row r="387" spans="1:43" s="584" customFormat="1">
      <c r="A387" s="597"/>
      <c r="D387" s="773"/>
      <c r="E387" s="773"/>
      <c r="F387" s="773"/>
      <c r="G387" s="773"/>
      <c r="H387" s="773"/>
      <c r="I387" s="773"/>
      <c r="J387" s="773"/>
      <c r="K387" s="773"/>
      <c r="L387" s="773"/>
      <c r="M387" s="773"/>
      <c r="N387" s="773"/>
      <c r="O387" s="773"/>
      <c r="P387" s="773"/>
      <c r="Q387" s="773"/>
      <c r="R387" s="773"/>
      <c r="S387" s="773"/>
      <c r="T387" s="773"/>
      <c r="U387" s="773"/>
      <c r="V387" s="773"/>
      <c r="W387" s="773"/>
      <c r="X387" s="773"/>
      <c r="Y387" s="773"/>
      <c r="Z387" s="773"/>
      <c r="AA387" s="773"/>
      <c r="AB387" s="773"/>
      <c r="AC387" s="773"/>
      <c r="AD387" s="773"/>
      <c r="AE387" s="773"/>
      <c r="AF387" s="773"/>
      <c r="AG387" s="773"/>
      <c r="AI387" s="18"/>
      <c r="AJ387" s="18"/>
      <c r="AK387" s="18"/>
      <c r="AL387" s="18"/>
      <c r="AM387" s="18"/>
      <c r="AN387" s="18"/>
      <c r="AO387" s="18"/>
      <c r="AP387" s="18"/>
      <c r="AQ387" s="18"/>
    </row>
    <row r="388" spans="1:43" s="584" customFormat="1">
      <c r="A388" s="597"/>
      <c r="D388" s="2275" t="s">
        <v>2990</v>
      </c>
      <c r="E388" s="2275"/>
      <c r="F388" s="2275"/>
      <c r="G388" s="2275"/>
      <c r="H388" s="2275"/>
      <c r="I388" s="2275"/>
      <c r="J388" s="2275"/>
      <c r="K388" s="2275"/>
      <c r="L388" s="2275"/>
      <c r="M388" s="2275"/>
      <c r="N388" s="2275"/>
      <c r="O388" s="2275"/>
      <c r="P388" s="2275"/>
      <c r="Q388" s="2275"/>
      <c r="R388" s="2275"/>
      <c r="S388" s="2275"/>
      <c r="T388" s="2275"/>
      <c r="U388" s="2275"/>
      <c r="V388" s="2275"/>
      <c r="W388" s="2275"/>
      <c r="X388" s="2275"/>
      <c r="Y388" s="2275"/>
      <c r="Z388" s="2275"/>
      <c r="AA388" s="2275"/>
      <c r="AB388" s="2275"/>
      <c r="AC388" s="2275"/>
      <c r="AD388" s="2275"/>
      <c r="AE388" s="2275"/>
      <c r="AF388" s="2275"/>
      <c r="AG388" s="2275"/>
      <c r="AI388" s="18"/>
      <c r="AJ388" s="18"/>
      <c r="AK388" s="18"/>
      <c r="AL388" s="18"/>
      <c r="AM388" s="18"/>
      <c r="AN388" s="18"/>
      <c r="AO388" s="18"/>
      <c r="AP388" s="18"/>
      <c r="AQ388" s="18"/>
    </row>
    <row r="389" spans="1:43" s="584" customFormat="1">
      <c r="A389" s="597"/>
      <c r="D389" s="2275"/>
      <c r="E389" s="2275"/>
      <c r="F389" s="2275"/>
      <c r="G389" s="2275"/>
      <c r="H389" s="2275"/>
      <c r="I389" s="2275"/>
      <c r="J389" s="2275"/>
      <c r="K389" s="2275"/>
      <c r="L389" s="2275"/>
      <c r="M389" s="2275"/>
      <c r="N389" s="2275"/>
      <c r="O389" s="2275"/>
      <c r="P389" s="2275"/>
      <c r="Q389" s="2275"/>
      <c r="R389" s="2275"/>
      <c r="S389" s="2275"/>
      <c r="T389" s="2275"/>
      <c r="U389" s="2275"/>
      <c r="V389" s="2275"/>
      <c r="W389" s="2275"/>
      <c r="X389" s="2275"/>
      <c r="Y389" s="2275"/>
      <c r="Z389" s="2275"/>
      <c r="AA389" s="2275"/>
      <c r="AB389" s="2275"/>
      <c r="AC389" s="2275"/>
      <c r="AD389" s="2275"/>
      <c r="AE389" s="2275"/>
      <c r="AF389" s="2275"/>
      <c r="AG389" s="2275"/>
      <c r="AI389" s="18"/>
      <c r="AJ389" s="18"/>
      <c r="AK389" s="18"/>
      <c r="AL389" s="18"/>
      <c r="AM389" s="18"/>
      <c r="AN389" s="18"/>
      <c r="AO389" s="18"/>
      <c r="AP389" s="18"/>
      <c r="AQ389" s="18"/>
    </row>
    <row r="390" spans="1:43" s="584" customFormat="1">
      <c r="A390" s="597"/>
      <c r="D390" s="773"/>
      <c r="E390" s="773"/>
      <c r="F390" s="773"/>
      <c r="G390" s="773"/>
      <c r="H390" s="773"/>
      <c r="I390" s="773"/>
      <c r="J390" s="773"/>
      <c r="K390" s="773"/>
      <c r="L390" s="773"/>
      <c r="M390" s="773"/>
      <c r="N390" s="773"/>
      <c r="O390" s="773"/>
      <c r="P390" s="773"/>
      <c r="Q390" s="773"/>
      <c r="R390" s="773"/>
      <c r="S390" s="773"/>
      <c r="T390" s="773"/>
      <c r="U390" s="773"/>
      <c r="V390" s="773"/>
      <c r="W390" s="773"/>
      <c r="X390" s="773"/>
      <c r="Y390" s="773"/>
      <c r="Z390" s="773"/>
      <c r="AA390" s="773"/>
      <c r="AB390" s="773"/>
      <c r="AC390" s="773"/>
      <c r="AD390" s="773"/>
      <c r="AE390" s="773"/>
      <c r="AF390" s="773"/>
      <c r="AG390" s="773"/>
      <c r="AI390" s="18"/>
      <c r="AJ390" s="18"/>
      <c r="AK390" s="18"/>
      <c r="AL390" s="18"/>
      <c r="AM390" s="18"/>
      <c r="AN390" s="18"/>
      <c r="AO390" s="18"/>
      <c r="AP390" s="18"/>
      <c r="AQ390" s="18"/>
    </row>
    <row r="391" spans="1:43" s="584" customFormat="1">
      <c r="A391" s="597"/>
      <c r="D391" s="2058" t="s">
        <v>1367</v>
      </c>
      <c r="E391" s="2058"/>
      <c r="F391" s="2058"/>
      <c r="G391" s="2058"/>
      <c r="H391" s="2058"/>
      <c r="I391" s="2058"/>
      <c r="J391" s="2058"/>
      <c r="K391" s="2058"/>
      <c r="L391" s="2058"/>
      <c r="M391" s="2058"/>
      <c r="N391" s="2058"/>
      <c r="O391" s="2058"/>
      <c r="P391" s="2058"/>
      <c r="Q391" s="2058"/>
      <c r="R391" s="2058"/>
      <c r="S391" s="2058"/>
      <c r="T391" s="2058"/>
      <c r="U391" s="2058"/>
      <c r="V391" s="2058"/>
      <c r="W391" s="2058"/>
      <c r="X391" s="2058"/>
      <c r="Y391" s="2058"/>
      <c r="Z391" s="2058"/>
      <c r="AA391" s="2058"/>
      <c r="AB391" s="2058"/>
      <c r="AC391" s="2058"/>
      <c r="AD391" s="2058"/>
      <c r="AE391" s="2058"/>
      <c r="AF391" s="2058"/>
      <c r="AG391" s="2058"/>
      <c r="AI391" s="18"/>
      <c r="AJ391" s="18"/>
      <c r="AK391" s="18"/>
      <c r="AL391" s="18"/>
      <c r="AM391" s="18"/>
      <c r="AN391" s="18"/>
      <c r="AO391" s="18"/>
      <c r="AP391" s="18"/>
      <c r="AQ391" s="18"/>
    </row>
    <row r="392" spans="1:43" s="584" customFormat="1">
      <c r="A392" s="597"/>
      <c r="D392" s="2058"/>
      <c r="E392" s="2058"/>
      <c r="F392" s="2058"/>
      <c r="G392" s="2058"/>
      <c r="H392" s="2058"/>
      <c r="I392" s="2058"/>
      <c r="J392" s="2058"/>
      <c r="K392" s="2058"/>
      <c r="L392" s="2058"/>
      <c r="M392" s="2058"/>
      <c r="N392" s="2058"/>
      <c r="O392" s="2058"/>
      <c r="P392" s="2058"/>
      <c r="Q392" s="2058"/>
      <c r="R392" s="2058"/>
      <c r="S392" s="2058"/>
      <c r="T392" s="2058"/>
      <c r="U392" s="2058"/>
      <c r="V392" s="2058"/>
      <c r="W392" s="2058"/>
      <c r="X392" s="2058"/>
      <c r="Y392" s="2058"/>
      <c r="Z392" s="2058"/>
      <c r="AA392" s="2058"/>
      <c r="AB392" s="2058"/>
      <c r="AC392" s="2058"/>
      <c r="AD392" s="2058"/>
      <c r="AE392" s="2058"/>
      <c r="AF392" s="2058"/>
      <c r="AG392" s="2058"/>
      <c r="AI392" s="18"/>
      <c r="AJ392" s="18"/>
      <c r="AK392" s="18"/>
      <c r="AL392" s="18"/>
      <c r="AM392" s="18"/>
      <c r="AN392" s="18"/>
      <c r="AO392" s="18"/>
      <c r="AP392" s="18"/>
      <c r="AQ392" s="18"/>
    </row>
    <row r="393" spans="1:43" s="584" customFormat="1" ht="15" thickBot="1">
      <c r="A393" s="597"/>
      <c r="AI393" s="18"/>
      <c r="AJ393" s="18"/>
      <c r="AK393" s="18"/>
      <c r="AL393" s="18"/>
      <c r="AM393" s="18"/>
      <c r="AN393" s="18"/>
      <c r="AO393" s="18"/>
      <c r="AP393" s="18"/>
      <c r="AQ393" s="18"/>
    </row>
    <row r="394" spans="1:43" s="584" customFormat="1" ht="19.5" customHeight="1" thickBot="1">
      <c r="A394" s="597"/>
      <c r="D394" s="1859" t="s">
        <v>86</v>
      </c>
      <c r="E394" s="1859"/>
      <c r="F394" s="1859"/>
      <c r="G394" s="1859"/>
      <c r="H394" s="1859"/>
      <c r="I394" s="1859"/>
      <c r="J394" s="1859"/>
      <c r="K394" s="1859"/>
      <c r="L394" s="1859"/>
      <c r="M394" s="1859"/>
      <c r="N394" s="1859"/>
      <c r="O394" s="1859"/>
      <c r="P394" s="1859"/>
      <c r="Q394" s="1859"/>
      <c r="R394" s="1859"/>
      <c r="S394" s="1859"/>
      <c r="T394" s="1811" t="s">
        <v>2</v>
      </c>
      <c r="U394" s="1812"/>
      <c r="V394" s="1812"/>
      <c r="W394" s="1812"/>
      <c r="X394" s="1812"/>
      <c r="Y394" s="1812"/>
      <c r="Z394" s="1813"/>
      <c r="AA394" s="1995" t="s">
        <v>2981</v>
      </c>
      <c r="AB394" s="1996"/>
      <c r="AC394" s="1996"/>
      <c r="AD394" s="1996"/>
      <c r="AE394" s="1996"/>
      <c r="AF394" s="1996"/>
      <c r="AG394" s="1997"/>
      <c r="AI394" s="18"/>
      <c r="AJ394" s="18"/>
      <c r="AK394" s="18"/>
      <c r="AL394" s="18"/>
      <c r="AM394" s="18"/>
      <c r="AN394" s="18"/>
      <c r="AO394" s="18"/>
      <c r="AP394" s="18"/>
      <c r="AQ394" s="18"/>
    </row>
    <row r="395" spans="1:43" s="584" customFormat="1" ht="19.5" customHeight="1">
      <c r="A395" s="597"/>
      <c r="D395" s="2086" t="s">
        <v>100</v>
      </c>
      <c r="E395" s="2086"/>
      <c r="F395" s="2086"/>
      <c r="G395" s="2086"/>
      <c r="H395" s="2086"/>
      <c r="I395" s="2086"/>
      <c r="J395" s="2086"/>
      <c r="K395" s="2086"/>
      <c r="L395" s="2086"/>
      <c r="M395" s="2086"/>
      <c r="N395" s="2086"/>
      <c r="O395" s="2086"/>
      <c r="P395" s="2086"/>
      <c r="Q395" s="2086"/>
      <c r="R395" s="2086"/>
      <c r="S395" s="2086"/>
      <c r="T395" s="1872" t="s">
        <v>1339</v>
      </c>
      <c r="U395" s="1873"/>
      <c r="V395" s="1873"/>
      <c r="W395" s="1873"/>
      <c r="X395" s="1873"/>
      <c r="Y395" s="1873"/>
      <c r="Z395" s="1874"/>
      <c r="AA395" s="1872" t="s">
        <v>1339</v>
      </c>
      <c r="AB395" s="1862"/>
      <c r="AC395" s="1862"/>
      <c r="AD395" s="1862"/>
      <c r="AE395" s="1862"/>
      <c r="AF395" s="1862"/>
      <c r="AG395" s="1863"/>
      <c r="AI395" s="18"/>
      <c r="AJ395" s="18"/>
      <c r="AK395" s="18"/>
      <c r="AL395" s="18"/>
      <c r="AM395" s="18"/>
      <c r="AN395" s="18"/>
      <c r="AO395" s="18"/>
      <c r="AP395" s="18"/>
      <c r="AQ395" s="18"/>
    </row>
    <row r="396" spans="1:43" s="584" customFormat="1" ht="19.5" customHeight="1" thickBot="1">
      <c r="A396" s="597"/>
      <c r="D396" s="1942" t="s">
        <v>101</v>
      </c>
      <c r="E396" s="1942"/>
      <c r="F396" s="1942"/>
      <c r="G396" s="1942"/>
      <c r="H396" s="1942"/>
      <c r="I396" s="1942"/>
      <c r="J396" s="1942"/>
      <c r="K396" s="1942"/>
      <c r="L396" s="1942"/>
      <c r="M396" s="1942"/>
      <c r="N396" s="1942"/>
      <c r="O396" s="1942"/>
      <c r="P396" s="1942"/>
      <c r="Q396" s="1942"/>
      <c r="R396" s="1942"/>
      <c r="S396" s="1942"/>
      <c r="T396" s="2280" t="s">
        <v>1339</v>
      </c>
      <c r="U396" s="2281"/>
      <c r="V396" s="2281"/>
      <c r="W396" s="2281"/>
      <c r="X396" s="2281"/>
      <c r="Y396" s="2281"/>
      <c r="Z396" s="2282"/>
      <c r="AA396" s="2008" t="s">
        <v>1339</v>
      </c>
      <c r="AB396" s="2009"/>
      <c r="AC396" s="2009"/>
      <c r="AD396" s="2009"/>
      <c r="AE396" s="2009"/>
      <c r="AF396" s="2009"/>
      <c r="AG396" s="2010"/>
      <c r="AI396" s="18"/>
      <c r="AJ396" s="18"/>
      <c r="AK396" s="18"/>
      <c r="AL396" s="18"/>
      <c r="AM396" s="18"/>
      <c r="AN396" s="18"/>
      <c r="AO396" s="18"/>
      <c r="AP396" s="18"/>
      <c r="AQ396" s="18"/>
    </row>
    <row r="397" spans="1:43" s="773" customFormat="1">
      <c r="A397" s="784"/>
      <c r="AI397" s="786"/>
      <c r="AJ397" s="786"/>
      <c r="AK397" s="786"/>
      <c r="AL397" s="786"/>
      <c r="AM397" s="786"/>
      <c r="AN397" s="786"/>
      <c r="AO397" s="786"/>
      <c r="AP397" s="786"/>
      <c r="AQ397" s="786"/>
    </row>
    <row r="398" spans="1:43" s="584" customFormat="1">
      <c r="A398" s="597"/>
      <c r="D398" s="2083"/>
      <c r="E398" s="2083"/>
      <c r="F398" s="2083"/>
      <c r="G398" s="2083"/>
      <c r="H398" s="2083"/>
      <c r="I398" s="2083"/>
      <c r="J398" s="2083"/>
      <c r="K398" s="2083"/>
      <c r="L398" s="2083"/>
      <c r="M398" s="2083"/>
      <c r="N398" s="2083"/>
      <c r="O398" s="2083"/>
      <c r="P398" s="2083"/>
      <c r="Q398" s="2083"/>
      <c r="R398" s="2083"/>
      <c r="S398" s="2083"/>
      <c r="T398" s="2083"/>
      <c r="U398" s="2083"/>
      <c r="V398" s="2083"/>
      <c r="W398" s="2083"/>
      <c r="X398" s="2083"/>
      <c r="Y398" s="2083"/>
      <c r="Z398" s="2083"/>
      <c r="AA398" s="2083"/>
      <c r="AB398" s="2083"/>
      <c r="AC398" s="2083"/>
      <c r="AD398" s="2083"/>
      <c r="AE398" s="2083"/>
      <c r="AF398" s="2083"/>
      <c r="AG398" s="2083"/>
      <c r="AI398" s="18"/>
      <c r="AJ398" s="18"/>
      <c r="AK398" s="18"/>
      <c r="AL398" s="18"/>
      <c r="AM398" s="18"/>
      <c r="AN398" s="18"/>
      <c r="AO398" s="18"/>
      <c r="AP398" s="18"/>
      <c r="AQ398" s="18"/>
    </row>
    <row r="399" spans="1:43" s="584" customFormat="1">
      <c r="A399" s="597"/>
      <c r="D399" s="908"/>
      <c r="AI399" s="18"/>
      <c r="AJ399" s="18"/>
      <c r="AK399" s="18"/>
      <c r="AL399" s="18"/>
      <c r="AM399" s="18"/>
      <c r="AN399" s="18"/>
      <c r="AO399" s="18"/>
      <c r="AP399" s="18"/>
      <c r="AQ399" s="18"/>
    </row>
    <row r="400" spans="1:43" s="584" customFormat="1">
      <c r="A400" s="597"/>
      <c r="D400" s="582" t="s">
        <v>2999</v>
      </c>
      <c r="AI400" s="18"/>
      <c r="AJ400" s="18"/>
      <c r="AK400" s="18"/>
      <c r="AL400" s="18"/>
      <c r="AM400" s="18"/>
      <c r="AN400" s="18"/>
      <c r="AO400" s="18"/>
      <c r="AP400" s="18"/>
      <c r="AQ400" s="18"/>
    </row>
    <row r="401" spans="1:43" s="584" customFormat="1">
      <c r="A401" s="597"/>
      <c r="AI401" s="18"/>
      <c r="AJ401" s="18"/>
      <c r="AK401" s="18"/>
      <c r="AL401" s="18"/>
      <c r="AM401" s="18"/>
      <c r="AN401" s="18"/>
      <c r="AO401" s="18"/>
      <c r="AP401" s="18"/>
      <c r="AQ401" s="18"/>
    </row>
    <row r="402" spans="1:43" s="584" customFormat="1">
      <c r="A402" s="597"/>
      <c r="D402" s="2279" t="s">
        <v>1368</v>
      </c>
      <c r="E402" s="2279"/>
      <c r="F402" s="2279"/>
      <c r="G402" s="2279"/>
      <c r="H402" s="2279"/>
      <c r="I402" s="2279"/>
      <c r="J402" s="2279"/>
      <c r="K402" s="2279"/>
      <c r="L402" s="2279"/>
      <c r="M402" s="2279"/>
      <c r="N402" s="2279"/>
      <c r="O402" s="2279"/>
      <c r="P402" s="2279"/>
      <c r="Q402" s="2279"/>
      <c r="R402" s="2279"/>
      <c r="S402" s="2279"/>
      <c r="T402" s="2279"/>
      <c r="U402" s="2279"/>
      <c r="V402" s="2279"/>
      <c r="W402" s="2279"/>
      <c r="X402" s="2279"/>
      <c r="Y402" s="2279"/>
      <c r="Z402" s="2279"/>
      <c r="AA402" s="2279"/>
      <c r="AB402" s="2279"/>
      <c r="AC402" s="2279"/>
      <c r="AD402" s="2279"/>
      <c r="AE402" s="2279"/>
      <c r="AF402" s="2279"/>
      <c r="AG402" s="2279"/>
      <c r="AI402" s="18"/>
      <c r="AJ402" s="18"/>
      <c r="AK402" s="18"/>
      <c r="AL402" s="18"/>
      <c r="AM402" s="18"/>
      <c r="AN402" s="18"/>
      <c r="AO402" s="18"/>
      <c r="AP402" s="18"/>
      <c r="AQ402" s="18"/>
    </row>
    <row r="403" spans="1:43" s="584" customFormat="1" ht="15" thickBot="1">
      <c r="A403" s="597"/>
      <c r="AI403" s="18"/>
      <c r="AJ403" s="18"/>
      <c r="AK403" s="18"/>
      <c r="AL403" s="18"/>
      <c r="AM403" s="18"/>
      <c r="AN403" s="18"/>
      <c r="AO403" s="18"/>
      <c r="AP403" s="18"/>
      <c r="AQ403" s="18"/>
    </row>
    <row r="404" spans="1:43" s="584" customFormat="1" ht="15" thickBot="1">
      <c r="A404" s="597"/>
      <c r="D404" s="1859" t="s">
        <v>122</v>
      </c>
      <c r="E404" s="1859"/>
      <c r="F404" s="1859"/>
      <c r="G404" s="1859"/>
      <c r="H404" s="1859"/>
      <c r="I404" s="1859" t="s">
        <v>2</v>
      </c>
      <c r="J404" s="1859"/>
      <c r="K404" s="1859"/>
      <c r="L404" s="1859"/>
      <c r="M404" s="1859"/>
      <c r="N404" s="1859"/>
      <c r="O404" s="1859"/>
      <c r="P404" s="1859"/>
      <c r="Q404" s="1859"/>
      <c r="R404" s="1859"/>
      <c r="S404" s="1859"/>
      <c r="T404" s="1859"/>
      <c r="U404" s="1859"/>
      <c r="V404" s="1859"/>
      <c r="W404" s="1859"/>
      <c r="X404" s="1859"/>
      <c r="Y404" s="1859"/>
      <c r="Z404" s="1859"/>
      <c r="AA404" s="1859"/>
      <c r="AB404" s="1859"/>
      <c r="AC404" s="1859"/>
      <c r="AD404" s="1859"/>
      <c r="AE404" s="1859"/>
      <c r="AF404" s="1859"/>
      <c r="AG404" s="1859"/>
      <c r="AI404" s="18"/>
      <c r="AJ404" s="18"/>
      <c r="AK404" s="18"/>
      <c r="AL404" s="18"/>
      <c r="AM404" s="18"/>
      <c r="AN404" s="18"/>
      <c r="AO404" s="18"/>
      <c r="AP404" s="18"/>
      <c r="AQ404" s="18"/>
    </row>
    <row r="405" spans="1:43" s="584" customFormat="1" ht="48" customHeight="1" thickTop="1" thickBot="1">
      <c r="A405" s="597"/>
      <c r="D405" s="1859"/>
      <c r="E405" s="1859"/>
      <c r="F405" s="1859"/>
      <c r="G405" s="1859"/>
      <c r="H405" s="1859"/>
      <c r="I405" s="1838" t="s">
        <v>87</v>
      </c>
      <c r="J405" s="1838"/>
      <c r="K405" s="1838"/>
      <c r="L405" s="1838"/>
      <c r="M405" s="1838"/>
      <c r="N405" s="1838" t="s">
        <v>455</v>
      </c>
      <c r="O405" s="1838"/>
      <c r="P405" s="1838"/>
      <c r="Q405" s="1838"/>
      <c r="R405" s="1838"/>
      <c r="S405" s="1838" t="s">
        <v>459</v>
      </c>
      <c r="T405" s="1838"/>
      <c r="U405" s="1838"/>
      <c r="V405" s="1838"/>
      <c r="W405" s="1838"/>
      <c r="X405" s="1838" t="s">
        <v>457</v>
      </c>
      <c r="Y405" s="1838"/>
      <c r="Z405" s="1838"/>
      <c r="AA405" s="1838"/>
      <c r="AB405" s="1838"/>
      <c r="AC405" s="1838" t="s">
        <v>89</v>
      </c>
      <c r="AD405" s="1838"/>
      <c r="AE405" s="1838"/>
      <c r="AF405" s="1838"/>
      <c r="AG405" s="1838"/>
      <c r="AI405" s="591" t="s">
        <v>123</v>
      </c>
      <c r="AJ405" s="594" t="s">
        <v>455</v>
      </c>
      <c r="AK405" s="591" t="s">
        <v>459</v>
      </c>
      <c r="AL405" s="594" t="s">
        <v>457</v>
      </c>
      <c r="AM405" s="591" t="s">
        <v>89</v>
      </c>
      <c r="AN405" s="18"/>
      <c r="AO405" s="591" t="s">
        <v>89</v>
      </c>
      <c r="AP405" s="18"/>
      <c r="AQ405" s="18"/>
    </row>
    <row r="406" spans="1:43" s="584" customFormat="1" ht="37.5" customHeight="1">
      <c r="A406" s="597"/>
      <c r="D406" s="1960" t="s">
        <v>125</v>
      </c>
      <c r="E406" s="1961"/>
      <c r="F406" s="1961"/>
      <c r="G406" s="1961"/>
      <c r="H406" s="1962"/>
      <c r="I406" s="2022">
        <v>0</v>
      </c>
      <c r="J406" s="2023"/>
      <c r="K406" s="2023"/>
      <c r="L406" s="2023"/>
      <c r="M406" s="2023"/>
      <c r="N406" s="2023">
        <v>0</v>
      </c>
      <c r="O406" s="2023"/>
      <c r="P406" s="2023"/>
      <c r="Q406" s="2023"/>
      <c r="R406" s="2023"/>
      <c r="S406" s="2023">
        <v>0</v>
      </c>
      <c r="T406" s="2023"/>
      <c r="U406" s="2023"/>
      <c r="V406" s="2023"/>
      <c r="W406" s="2023"/>
      <c r="X406" s="2023">
        <v>0</v>
      </c>
      <c r="Y406" s="2023"/>
      <c r="Z406" s="2023"/>
      <c r="AA406" s="2023"/>
      <c r="AB406" s="2023"/>
      <c r="AC406" s="2025">
        <f>SUM(I406:AB406)</f>
        <v>0</v>
      </c>
      <c r="AD406" s="2025"/>
      <c r="AE406" s="2025"/>
      <c r="AF406" s="2025"/>
      <c r="AG406" s="2026"/>
      <c r="AI406" s="612"/>
      <c r="AJ406" s="613"/>
      <c r="AK406" s="613"/>
      <c r="AL406" s="613"/>
      <c r="AM406" s="614">
        <f t="shared" ref="AM406:AM411" si="131">SUM(I406:AB406)-AC406</f>
        <v>0</v>
      </c>
      <c r="AN406" s="18"/>
      <c r="AO406" s="620">
        <f>AC406-BS!$E$63-BS!$E$51</f>
        <v>0</v>
      </c>
      <c r="AP406" s="18"/>
      <c r="AQ406" s="18"/>
    </row>
    <row r="407" spans="1:43" s="584" customFormat="1" ht="45.75" customHeight="1">
      <c r="A407" s="597"/>
      <c r="D407" s="1761" t="s">
        <v>1723</v>
      </c>
      <c r="E407" s="1762"/>
      <c r="F407" s="1762"/>
      <c r="G407" s="1762"/>
      <c r="H407" s="1763"/>
      <c r="I407" s="2097">
        <v>0</v>
      </c>
      <c r="J407" s="2033"/>
      <c r="K407" s="2033"/>
      <c r="L407" s="2033"/>
      <c r="M407" s="2033"/>
      <c r="N407" s="1778">
        <v>0</v>
      </c>
      <c r="O407" s="1778"/>
      <c r="P407" s="1778"/>
      <c r="Q407" s="1778"/>
      <c r="R407" s="1778"/>
      <c r="S407" s="1778">
        <v>0</v>
      </c>
      <c r="T407" s="1778"/>
      <c r="U407" s="1778"/>
      <c r="V407" s="1778"/>
      <c r="W407" s="1778"/>
      <c r="X407" s="1778">
        <v>0</v>
      </c>
      <c r="Y407" s="1778"/>
      <c r="Z407" s="1778"/>
      <c r="AA407" s="1778"/>
      <c r="AB407" s="1778"/>
      <c r="AC407" s="1816">
        <f t="shared" ref="AC407:AC410" si="132">SUM(I407:AB407)</f>
        <v>0</v>
      </c>
      <c r="AD407" s="1816"/>
      <c r="AE407" s="1816"/>
      <c r="AF407" s="1816"/>
      <c r="AG407" s="1817"/>
      <c r="AI407" s="606"/>
      <c r="AJ407" s="607"/>
      <c r="AK407" s="607"/>
      <c r="AL407" s="607"/>
      <c r="AM407" s="608">
        <f t="shared" si="131"/>
        <v>0</v>
      </c>
      <c r="AN407" s="18"/>
      <c r="AO407" s="615">
        <f>AC407-BS!$E$64-BS!$E$65-BS!$E$52-BS!$E$53</f>
        <v>0</v>
      </c>
      <c r="AP407" s="18"/>
      <c r="AQ407" s="18"/>
    </row>
    <row r="408" spans="1:43" s="584" customFormat="1" ht="37.5" customHeight="1">
      <c r="A408" s="597"/>
      <c r="D408" s="1761" t="s">
        <v>1724</v>
      </c>
      <c r="E408" s="1762"/>
      <c r="F408" s="1762"/>
      <c r="G408" s="1762"/>
      <c r="H408" s="1763"/>
      <c r="I408" s="2097">
        <v>0</v>
      </c>
      <c r="J408" s="2033"/>
      <c r="K408" s="2033"/>
      <c r="L408" s="2033"/>
      <c r="M408" s="2033"/>
      <c r="N408" s="1778">
        <v>0</v>
      </c>
      <c r="O408" s="1778"/>
      <c r="P408" s="1778"/>
      <c r="Q408" s="1778"/>
      <c r="R408" s="1778"/>
      <c r="S408" s="1778">
        <v>0</v>
      </c>
      <c r="T408" s="1778"/>
      <c r="U408" s="1778"/>
      <c r="V408" s="1778"/>
      <c r="W408" s="1778"/>
      <c r="X408" s="1778">
        <v>0</v>
      </c>
      <c r="Y408" s="1778"/>
      <c r="Z408" s="1778"/>
      <c r="AA408" s="1778"/>
      <c r="AB408" s="1778"/>
      <c r="AC408" s="1816">
        <f t="shared" si="132"/>
        <v>0</v>
      </c>
      <c r="AD408" s="1816"/>
      <c r="AE408" s="1816"/>
      <c r="AF408" s="1816"/>
      <c r="AG408" s="1817"/>
      <c r="AI408" s="606"/>
      <c r="AJ408" s="607"/>
      <c r="AK408" s="607"/>
      <c r="AL408" s="607"/>
      <c r="AM408" s="608">
        <f t="shared" si="131"/>
        <v>0</v>
      </c>
      <c r="AN408" s="18"/>
      <c r="AO408" s="615">
        <f>AC408-BS!$E$68-BS!$E$69-BS!$E$57-BS!$E$56</f>
        <v>0</v>
      </c>
      <c r="AP408" s="18"/>
      <c r="AQ408" s="18"/>
    </row>
    <row r="409" spans="1:43" s="584" customFormat="1" ht="37.5" customHeight="1">
      <c r="A409" s="597"/>
      <c r="D409" s="1761" t="s">
        <v>127</v>
      </c>
      <c r="E409" s="1762"/>
      <c r="F409" s="1762"/>
      <c r="G409" s="1762"/>
      <c r="H409" s="1763"/>
      <c r="I409" s="2097">
        <v>0</v>
      </c>
      <c r="J409" s="2033"/>
      <c r="K409" s="2033"/>
      <c r="L409" s="2033"/>
      <c r="M409" s="2033"/>
      <c r="N409" s="1778">
        <v>0</v>
      </c>
      <c r="O409" s="1778"/>
      <c r="P409" s="1778"/>
      <c r="Q409" s="1778"/>
      <c r="R409" s="1778"/>
      <c r="S409" s="1778">
        <v>0</v>
      </c>
      <c r="T409" s="1778"/>
      <c r="U409" s="1778"/>
      <c r="V409" s="1778"/>
      <c r="W409" s="1778"/>
      <c r="X409" s="1778">
        <v>0</v>
      </c>
      <c r="Y409" s="1778"/>
      <c r="Z409" s="1778"/>
      <c r="AA409" s="1778"/>
      <c r="AB409" s="1778"/>
      <c r="AC409" s="1816">
        <f t="shared" si="132"/>
        <v>0</v>
      </c>
      <c r="AD409" s="1816"/>
      <c r="AE409" s="1816"/>
      <c r="AF409" s="1816"/>
      <c r="AG409" s="1817"/>
      <c r="AI409" s="606"/>
      <c r="AJ409" s="607"/>
      <c r="AK409" s="607"/>
      <c r="AL409" s="607"/>
      <c r="AM409" s="608">
        <f t="shared" si="131"/>
        <v>0</v>
      </c>
      <c r="AN409" s="18"/>
      <c r="AO409" s="615">
        <f>AC409-BS!$E$70-BS!$E$58</f>
        <v>0</v>
      </c>
      <c r="AP409" s="18"/>
      <c r="AQ409" s="18"/>
    </row>
    <row r="410" spans="1:43" s="584" customFormat="1" ht="37.5" customHeight="1">
      <c r="A410" s="597"/>
      <c r="D410" s="1761" t="s">
        <v>128</v>
      </c>
      <c r="E410" s="1762"/>
      <c r="F410" s="1762"/>
      <c r="G410" s="1762"/>
      <c r="H410" s="1763"/>
      <c r="I410" s="2097">
        <v>0</v>
      </c>
      <c r="J410" s="2033"/>
      <c r="K410" s="2033"/>
      <c r="L410" s="2033"/>
      <c r="M410" s="2033"/>
      <c r="N410" s="1778">
        <v>9730</v>
      </c>
      <c r="O410" s="1778"/>
      <c r="P410" s="1778"/>
      <c r="Q410" s="1778"/>
      <c r="R410" s="1778"/>
      <c r="S410" s="1778">
        <v>0</v>
      </c>
      <c r="T410" s="1778"/>
      <c r="U410" s="1778"/>
      <c r="V410" s="1778"/>
      <c r="W410" s="1778"/>
      <c r="X410" s="1778">
        <v>0</v>
      </c>
      <c r="Y410" s="1778"/>
      <c r="Z410" s="1778"/>
      <c r="AA410" s="1778"/>
      <c r="AB410" s="1778"/>
      <c r="AC410" s="1816">
        <f t="shared" si="132"/>
        <v>9730</v>
      </c>
      <c r="AD410" s="1816"/>
      <c r="AE410" s="1816"/>
      <c r="AF410" s="1816"/>
      <c r="AG410" s="1817"/>
      <c r="AI410" s="606"/>
      <c r="AJ410" s="607"/>
      <c r="AK410" s="607"/>
      <c r="AL410" s="607"/>
      <c r="AM410" s="608">
        <f t="shared" si="131"/>
        <v>0</v>
      </c>
      <c r="AN410" s="18"/>
      <c r="AO410" s="615">
        <f>AC410-BS!E54-BS!E55-BS!E58-BS!E59-BS!E61-BS!E67-BS!E71-BS!E72-BS!E73-BS!E74</f>
        <v>0</v>
      </c>
      <c r="AP410" s="18"/>
      <c r="AQ410" s="18"/>
    </row>
    <row r="411" spans="1:43" s="584" customFormat="1" ht="27.75" customHeight="1" thickBot="1">
      <c r="A411" s="597"/>
      <c r="D411" s="1821" t="s">
        <v>129</v>
      </c>
      <c r="E411" s="1821"/>
      <c r="F411" s="1821"/>
      <c r="G411" s="1821"/>
      <c r="H411" s="1821"/>
      <c r="I411" s="2092">
        <f>SUM(I406:M410)</f>
        <v>0</v>
      </c>
      <c r="J411" s="2093"/>
      <c r="K411" s="2093"/>
      <c r="L411" s="2093"/>
      <c r="M411" s="2093"/>
      <c r="N411" s="2093">
        <f>SUM(N406:R410)</f>
        <v>9730</v>
      </c>
      <c r="O411" s="2093"/>
      <c r="P411" s="2093"/>
      <c r="Q411" s="2093"/>
      <c r="R411" s="2093"/>
      <c r="S411" s="2093">
        <f>SUM(S406:W410)</f>
        <v>0</v>
      </c>
      <c r="T411" s="2093"/>
      <c r="U411" s="2093"/>
      <c r="V411" s="2093"/>
      <c r="W411" s="2093"/>
      <c r="X411" s="2093">
        <f>SUM(X406:AB410)</f>
        <v>0</v>
      </c>
      <c r="Y411" s="2093"/>
      <c r="Z411" s="2093"/>
      <c r="AA411" s="2093"/>
      <c r="AB411" s="2093"/>
      <c r="AC411" s="2093">
        <f>SUM(AC406:AG410)</f>
        <v>9730</v>
      </c>
      <c r="AD411" s="2093"/>
      <c r="AE411" s="2093"/>
      <c r="AF411" s="2093"/>
      <c r="AG411" s="2096"/>
      <c r="AI411" s="609">
        <f>SUM(I404:M410)-I411</f>
        <v>0</v>
      </c>
      <c r="AJ411" s="610">
        <f>SUM(N406:R410)-N411</f>
        <v>0</v>
      </c>
      <c r="AK411" s="610">
        <f>SUM(S406:W410)-S411</f>
        <v>0</v>
      </c>
      <c r="AL411" s="610">
        <f>SUM(X406:AB410)-X411</f>
        <v>0</v>
      </c>
      <c r="AM411" s="611">
        <f t="shared" si="131"/>
        <v>0</v>
      </c>
      <c r="AN411" s="18"/>
      <c r="AO411" s="617">
        <f>AC411-BS!$E$50-BS!$E$62</f>
        <v>0</v>
      </c>
      <c r="AP411" s="18"/>
      <c r="AQ411" s="18"/>
    </row>
    <row r="412" spans="1:43" s="773" customFormat="1" ht="15" thickBot="1">
      <c r="A412" s="784"/>
      <c r="AI412" s="786"/>
      <c r="AJ412" s="786"/>
      <c r="AK412" s="786"/>
      <c r="AL412" s="786"/>
      <c r="AM412" s="786"/>
      <c r="AN412" s="786"/>
      <c r="AO412" s="786"/>
      <c r="AP412" s="786"/>
      <c r="AQ412" s="786"/>
    </row>
    <row r="413" spans="1:43" s="584" customFormat="1" ht="15" thickBot="1">
      <c r="A413" s="597"/>
      <c r="D413" s="1859" t="s">
        <v>122</v>
      </c>
      <c r="E413" s="1859"/>
      <c r="F413" s="1859"/>
      <c r="G413" s="1859"/>
      <c r="H413" s="1859"/>
      <c r="I413" s="1859" t="s">
        <v>3</v>
      </c>
      <c r="J413" s="1859"/>
      <c r="K413" s="1859"/>
      <c r="L413" s="1859"/>
      <c r="M413" s="1859"/>
      <c r="N413" s="1859"/>
      <c r="O413" s="1859"/>
      <c r="P413" s="1859"/>
      <c r="Q413" s="1859"/>
      <c r="R413" s="1859"/>
      <c r="S413" s="1859"/>
      <c r="T413" s="1859"/>
      <c r="U413" s="1859"/>
      <c r="V413" s="1859"/>
      <c r="W413" s="1859"/>
      <c r="X413" s="1859"/>
      <c r="Y413" s="1859"/>
      <c r="Z413" s="1859"/>
      <c r="AA413" s="1859"/>
      <c r="AB413" s="1859"/>
      <c r="AC413" s="1859"/>
      <c r="AD413" s="1859"/>
      <c r="AE413" s="1859"/>
      <c r="AF413" s="1859"/>
      <c r="AG413" s="1859"/>
      <c r="AI413" s="18"/>
      <c r="AJ413" s="18"/>
      <c r="AK413" s="18"/>
      <c r="AL413" s="18"/>
      <c r="AM413" s="18"/>
      <c r="AN413" s="18"/>
      <c r="AO413" s="18"/>
      <c r="AP413" s="18"/>
      <c r="AQ413" s="18"/>
    </row>
    <row r="414" spans="1:43" s="584" customFormat="1" ht="47.25" customHeight="1" thickBot="1">
      <c r="A414" s="597"/>
      <c r="D414" s="1859"/>
      <c r="E414" s="1859"/>
      <c r="F414" s="1859"/>
      <c r="G414" s="1859"/>
      <c r="H414" s="1859"/>
      <c r="I414" s="1838" t="s">
        <v>87</v>
      </c>
      <c r="J414" s="1838"/>
      <c r="K414" s="1838"/>
      <c r="L414" s="1838"/>
      <c r="M414" s="1838"/>
      <c r="N414" s="1838" t="s">
        <v>455</v>
      </c>
      <c r="O414" s="1838"/>
      <c r="P414" s="1838"/>
      <c r="Q414" s="1838"/>
      <c r="R414" s="1838"/>
      <c r="S414" s="1838" t="s">
        <v>459</v>
      </c>
      <c r="T414" s="1838"/>
      <c r="U414" s="1838"/>
      <c r="V414" s="1838"/>
      <c r="W414" s="1838"/>
      <c r="X414" s="1838" t="s">
        <v>457</v>
      </c>
      <c r="Y414" s="1838"/>
      <c r="Z414" s="1838"/>
      <c r="AA414" s="1838"/>
      <c r="AB414" s="1838"/>
      <c r="AC414" s="1838" t="s">
        <v>89</v>
      </c>
      <c r="AD414" s="1838"/>
      <c r="AE414" s="1838"/>
      <c r="AF414" s="1838"/>
      <c r="AG414" s="1838"/>
      <c r="AI414" s="18"/>
      <c r="AJ414" s="18"/>
      <c r="AK414" s="18"/>
      <c r="AL414" s="18"/>
      <c r="AM414" s="18"/>
      <c r="AN414" s="18"/>
      <c r="AO414" s="18"/>
      <c r="AP414" s="18"/>
      <c r="AQ414" s="18"/>
    </row>
    <row r="415" spans="1:43" s="584" customFormat="1" ht="34.5" customHeight="1">
      <c r="A415" s="597"/>
      <c r="D415" s="1960" t="s">
        <v>125</v>
      </c>
      <c r="E415" s="1961"/>
      <c r="F415" s="1961"/>
      <c r="G415" s="1961"/>
      <c r="H415" s="1962"/>
      <c r="I415" s="2022">
        <v>16595</v>
      </c>
      <c r="J415" s="2023"/>
      <c r="K415" s="2023"/>
      <c r="L415" s="2023"/>
      <c r="M415" s="2023"/>
      <c r="N415" s="2023">
        <v>0</v>
      </c>
      <c r="O415" s="2023"/>
      <c r="P415" s="2023"/>
      <c r="Q415" s="2023"/>
      <c r="R415" s="2023"/>
      <c r="S415" s="2023">
        <v>0</v>
      </c>
      <c r="T415" s="2023"/>
      <c r="U415" s="2023"/>
      <c r="V415" s="2023"/>
      <c r="W415" s="2023"/>
      <c r="X415" s="2023">
        <v>-16595</v>
      </c>
      <c r="Y415" s="2023"/>
      <c r="Z415" s="2023"/>
      <c r="AA415" s="2023"/>
      <c r="AB415" s="2023"/>
      <c r="AC415" s="2025">
        <v>0</v>
      </c>
      <c r="AD415" s="2025"/>
      <c r="AE415" s="2025"/>
      <c r="AF415" s="2025"/>
      <c r="AG415" s="2026"/>
      <c r="AI415" s="18"/>
      <c r="AJ415" s="18"/>
      <c r="AK415" s="18"/>
      <c r="AL415" s="18"/>
      <c r="AM415" s="18"/>
      <c r="AN415" s="18"/>
      <c r="AO415" s="18"/>
      <c r="AP415" s="18"/>
      <c r="AQ415" s="18"/>
    </row>
    <row r="416" spans="1:43" s="584" customFormat="1" ht="34.5" customHeight="1">
      <c r="A416" s="597"/>
      <c r="D416" s="1761" t="s">
        <v>1723</v>
      </c>
      <c r="E416" s="1762"/>
      <c r="F416" s="1762"/>
      <c r="G416" s="1762"/>
      <c r="H416" s="1763"/>
      <c r="I416" s="2097">
        <v>0</v>
      </c>
      <c r="J416" s="2033"/>
      <c r="K416" s="2033"/>
      <c r="L416" s="2033"/>
      <c r="M416" s="2033"/>
      <c r="N416" s="1778">
        <v>0</v>
      </c>
      <c r="O416" s="1778"/>
      <c r="P416" s="1778"/>
      <c r="Q416" s="1778"/>
      <c r="R416" s="1778"/>
      <c r="S416" s="1778">
        <v>0</v>
      </c>
      <c r="T416" s="1778"/>
      <c r="U416" s="1778"/>
      <c r="V416" s="1778"/>
      <c r="W416" s="1778"/>
      <c r="X416" s="1778">
        <v>0</v>
      </c>
      <c r="Y416" s="1778"/>
      <c r="Z416" s="1778"/>
      <c r="AA416" s="1778"/>
      <c r="AB416" s="1778"/>
      <c r="AC416" s="1816">
        <v>0</v>
      </c>
      <c r="AD416" s="1816"/>
      <c r="AE416" s="1816"/>
      <c r="AF416" s="1816"/>
      <c r="AG416" s="1817"/>
      <c r="AI416" s="18"/>
      <c r="AJ416" s="18"/>
      <c r="AK416" s="18"/>
      <c r="AL416" s="18"/>
      <c r="AM416" s="18"/>
      <c r="AN416" s="18"/>
      <c r="AO416" s="18"/>
      <c r="AP416" s="18"/>
      <c r="AQ416" s="18"/>
    </row>
    <row r="417" spans="1:43" s="584" customFormat="1" ht="34.5" customHeight="1">
      <c r="A417" s="597"/>
      <c r="D417" s="1761" t="s">
        <v>1724</v>
      </c>
      <c r="E417" s="1762"/>
      <c r="F417" s="1762"/>
      <c r="G417" s="1762"/>
      <c r="H417" s="1763"/>
      <c r="I417" s="2097">
        <v>0</v>
      </c>
      <c r="J417" s="2033"/>
      <c r="K417" s="2033"/>
      <c r="L417" s="2033"/>
      <c r="M417" s="2033"/>
      <c r="N417" s="1778">
        <v>0</v>
      </c>
      <c r="O417" s="1778"/>
      <c r="P417" s="1778"/>
      <c r="Q417" s="1778"/>
      <c r="R417" s="1778"/>
      <c r="S417" s="1778">
        <v>0</v>
      </c>
      <c r="T417" s="1778"/>
      <c r="U417" s="1778"/>
      <c r="V417" s="1778"/>
      <c r="W417" s="1778"/>
      <c r="X417" s="1778">
        <v>0</v>
      </c>
      <c r="Y417" s="1778"/>
      <c r="Z417" s="1778"/>
      <c r="AA417" s="1778"/>
      <c r="AB417" s="1778"/>
      <c r="AC417" s="1816">
        <v>0</v>
      </c>
      <c r="AD417" s="1816"/>
      <c r="AE417" s="1816"/>
      <c r="AF417" s="1816"/>
      <c r="AG417" s="1817"/>
      <c r="AI417" s="18"/>
      <c r="AJ417" s="18"/>
      <c r="AK417" s="18"/>
      <c r="AL417" s="18"/>
      <c r="AM417" s="18"/>
      <c r="AN417" s="18"/>
      <c r="AO417" s="18"/>
      <c r="AP417" s="18"/>
      <c r="AQ417" s="18"/>
    </row>
    <row r="418" spans="1:43" s="584" customFormat="1" ht="34.5" customHeight="1">
      <c r="A418" s="597"/>
      <c r="D418" s="1761" t="s">
        <v>127</v>
      </c>
      <c r="E418" s="1762"/>
      <c r="F418" s="1762"/>
      <c r="G418" s="1762"/>
      <c r="H418" s="1763"/>
      <c r="I418" s="2097">
        <v>0</v>
      </c>
      <c r="J418" s="2033"/>
      <c r="K418" s="2033"/>
      <c r="L418" s="2033"/>
      <c r="M418" s="2033"/>
      <c r="N418" s="1778">
        <v>0</v>
      </c>
      <c r="O418" s="1778"/>
      <c r="P418" s="1778"/>
      <c r="Q418" s="1778"/>
      <c r="R418" s="1778"/>
      <c r="S418" s="1778">
        <v>0</v>
      </c>
      <c r="T418" s="1778"/>
      <c r="U418" s="1778"/>
      <c r="V418" s="1778"/>
      <c r="W418" s="1778"/>
      <c r="X418" s="1778">
        <v>0</v>
      </c>
      <c r="Y418" s="1778"/>
      <c r="Z418" s="1778"/>
      <c r="AA418" s="1778"/>
      <c r="AB418" s="1778"/>
      <c r="AC418" s="1816">
        <v>0</v>
      </c>
      <c r="AD418" s="1816"/>
      <c r="AE418" s="1816"/>
      <c r="AF418" s="1816"/>
      <c r="AG418" s="1817"/>
      <c r="AI418" s="18"/>
      <c r="AJ418" s="18"/>
      <c r="AK418" s="18"/>
      <c r="AL418" s="18"/>
      <c r="AM418" s="18"/>
      <c r="AN418" s="18"/>
      <c r="AO418" s="18"/>
      <c r="AP418" s="18"/>
      <c r="AQ418" s="18"/>
    </row>
    <row r="419" spans="1:43" s="584" customFormat="1" ht="34.5" customHeight="1">
      <c r="A419" s="597"/>
      <c r="D419" s="1761" t="s">
        <v>128</v>
      </c>
      <c r="E419" s="1762"/>
      <c r="F419" s="1762"/>
      <c r="G419" s="1762"/>
      <c r="H419" s="1763"/>
      <c r="I419" s="2097">
        <v>0</v>
      </c>
      <c r="J419" s="2033"/>
      <c r="K419" s="2033"/>
      <c r="L419" s="2033"/>
      <c r="M419" s="2033"/>
      <c r="N419" s="1778">
        <v>0</v>
      </c>
      <c r="O419" s="1778"/>
      <c r="P419" s="1778"/>
      <c r="Q419" s="1778"/>
      <c r="R419" s="1778"/>
      <c r="S419" s="1778">
        <v>0</v>
      </c>
      <c r="T419" s="1778"/>
      <c r="U419" s="1778"/>
      <c r="V419" s="1778"/>
      <c r="W419" s="1778"/>
      <c r="X419" s="1778">
        <v>0</v>
      </c>
      <c r="Y419" s="1778"/>
      <c r="Z419" s="1778"/>
      <c r="AA419" s="1778"/>
      <c r="AB419" s="1778"/>
      <c r="AC419" s="1816">
        <v>0</v>
      </c>
      <c r="AD419" s="1816"/>
      <c r="AE419" s="1816"/>
      <c r="AF419" s="1816"/>
      <c r="AG419" s="1817"/>
      <c r="AI419" s="18"/>
      <c r="AJ419" s="18"/>
      <c r="AK419" s="18"/>
      <c r="AL419" s="18"/>
      <c r="AM419" s="18"/>
      <c r="AN419" s="18"/>
      <c r="AO419" s="18"/>
      <c r="AP419" s="18"/>
      <c r="AQ419" s="18"/>
    </row>
    <row r="420" spans="1:43" s="584" customFormat="1" ht="15" thickBot="1">
      <c r="A420" s="597"/>
      <c r="D420" s="1821" t="s">
        <v>129</v>
      </c>
      <c r="E420" s="1821"/>
      <c r="F420" s="1821"/>
      <c r="G420" s="1821"/>
      <c r="H420" s="1821"/>
      <c r="I420" s="2092">
        <v>16595</v>
      </c>
      <c r="J420" s="2093"/>
      <c r="K420" s="2093"/>
      <c r="L420" s="2093"/>
      <c r="M420" s="2093"/>
      <c r="N420" s="2093">
        <v>0</v>
      </c>
      <c r="O420" s="2093"/>
      <c r="P420" s="2093"/>
      <c r="Q420" s="2093"/>
      <c r="R420" s="2093"/>
      <c r="S420" s="2093">
        <v>0</v>
      </c>
      <c r="T420" s="2093"/>
      <c r="U420" s="2093"/>
      <c r="V420" s="2093"/>
      <c r="W420" s="2093"/>
      <c r="X420" s="2093">
        <v>-16595</v>
      </c>
      <c r="Y420" s="2093"/>
      <c r="Z420" s="2093"/>
      <c r="AA420" s="2093"/>
      <c r="AB420" s="2093"/>
      <c r="AC420" s="2093">
        <v>0</v>
      </c>
      <c r="AD420" s="2093"/>
      <c r="AE420" s="2093"/>
      <c r="AF420" s="2093"/>
      <c r="AG420" s="2096"/>
      <c r="AI420" s="18"/>
      <c r="AJ420" s="18"/>
      <c r="AK420" s="18"/>
      <c r="AL420" s="18"/>
      <c r="AM420" s="18"/>
      <c r="AN420" s="18"/>
      <c r="AO420" s="18"/>
      <c r="AP420" s="18"/>
      <c r="AQ420" s="18"/>
    </row>
    <row r="421" spans="1:43" s="773" customFormat="1">
      <c r="A421" s="784"/>
      <c r="AI421" s="786"/>
      <c r="AJ421" s="786"/>
      <c r="AK421" s="786"/>
      <c r="AL421" s="786"/>
      <c r="AM421" s="786"/>
      <c r="AN421" s="786"/>
      <c r="AO421" s="786"/>
      <c r="AP421" s="786"/>
      <c r="AQ421" s="786"/>
    </row>
    <row r="422" spans="1:43" s="584" customFormat="1" ht="25.9" customHeight="1">
      <c r="A422" s="597"/>
      <c r="D422" s="2094" t="s">
        <v>2894</v>
      </c>
      <c r="E422" s="2095"/>
      <c r="F422" s="2095"/>
      <c r="G422" s="2095"/>
      <c r="H422" s="2095"/>
      <c r="I422" s="2095"/>
      <c r="J422" s="2095"/>
      <c r="K422" s="2095"/>
      <c r="L422" s="2095"/>
      <c r="M422" s="2095"/>
      <c r="N422" s="2095"/>
      <c r="O422" s="2095"/>
      <c r="P422" s="2095"/>
      <c r="Q422" s="2095"/>
      <c r="R422" s="2095"/>
      <c r="S422" s="2095"/>
      <c r="T422" s="2095"/>
      <c r="U422" s="2095"/>
      <c r="V422" s="2095"/>
      <c r="W422" s="2095"/>
      <c r="X422" s="2095"/>
      <c r="Y422" s="2095"/>
      <c r="Z422" s="2095"/>
      <c r="AA422" s="2095"/>
      <c r="AB422" s="2095"/>
      <c r="AC422" s="2095"/>
      <c r="AD422" s="2095"/>
      <c r="AE422" s="2095"/>
      <c r="AF422" s="2095"/>
      <c r="AG422" s="2095"/>
      <c r="AI422" s="18"/>
      <c r="AJ422" s="18"/>
      <c r="AK422" s="18"/>
      <c r="AL422" s="18"/>
      <c r="AM422" s="18"/>
      <c r="AN422" s="18"/>
      <c r="AO422" s="18"/>
      <c r="AP422" s="18"/>
      <c r="AQ422" s="18"/>
    </row>
    <row r="423" spans="1:43" s="584" customFormat="1">
      <c r="A423" s="597"/>
      <c r="AI423" s="18"/>
      <c r="AJ423" s="18"/>
      <c r="AK423" s="18"/>
      <c r="AL423" s="18"/>
      <c r="AM423" s="18"/>
      <c r="AN423" s="18"/>
      <c r="AO423" s="18"/>
      <c r="AP423" s="18"/>
      <c r="AQ423" s="18"/>
    </row>
    <row r="424" spans="1:43" s="584" customFormat="1">
      <c r="A424" s="597"/>
      <c r="D424" s="2094" t="s">
        <v>2895</v>
      </c>
      <c r="E424" s="2095"/>
      <c r="F424" s="2095"/>
      <c r="G424" s="2095"/>
      <c r="H424" s="2095"/>
      <c r="I424" s="2095"/>
      <c r="J424" s="2095"/>
      <c r="K424" s="2095"/>
      <c r="L424" s="2095"/>
      <c r="M424" s="2095"/>
      <c r="N424" s="2095"/>
      <c r="O424" s="2095"/>
      <c r="P424" s="2095"/>
      <c r="Q424" s="2095"/>
      <c r="R424" s="2095"/>
      <c r="S424" s="2095"/>
      <c r="T424" s="2095"/>
      <c r="U424" s="2095"/>
      <c r="V424" s="2095"/>
      <c r="W424" s="2095"/>
      <c r="X424" s="2095"/>
      <c r="Y424" s="2095"/>
      <c r="Z424" s="2095"/>
      <c r="AA424" s="2095"/>
      <c r="AB424" s="2095"/>
      <c r="AC424" s="2095"/>
      <c r="AD424" s="2095"/>
      <c r="AE424" s="2095"/>
      <c r="AF424" s="2095"/>
      <c r="AG424" s="2095"/>
      <c r="AI424" s="18"/>
      <c r="AJ424" s="18"/>
      <c r="AK424" s="18"/>
      <c r="AL424" s="18"/>
      <c r="AM424" s="18"/>
      <c r="AN424" s="18"/>
      <c r="AO424" s="18"/>
      <c r="AP424" s="18"/>
      <c r="AQ424" s="18"/>
    </row>
    <row r="425" spans="1:43" s="584" customFormat="1">
      <c r="A425" s="597"/>
      <c r="AI425" s="18"/>
      <c r="AJ425" s="18"/>
      <c r="AK425" s="18"/>
      <c r="AL425" s="18"/>
      <c r="AM425" s="18"/>
      <c r="AN425" s="18"/>
      <c r="AO425" s="18"/>
      <c r="AP425" s="18"/>
      <c r="AQ425" s="18"/>
    </row>
    <row r="426" spans="1:43" s="584" customFormat="1">
      <c r="A426" s="597"/>
      <c r="D426" s="2090" t="s">
        <v>2931</v>
      </c>
      <c r="E426" s="2091"/>
      <c r="F426" s="2091"/>
      <c r="G426" s="2091"/>
      <c r="H426" s="2091"/>
      <c r="I426" s="2091"/>
      <c r="J426" s="2091"/>
      <c r="K426" s="2091"/>
      <c r="L426" s="2091"/>
      <c r="M426" s="2091"/>
      <c r="N426" s="2091"/>
      <c r="O426" s="2091"/>
      <c r="P426" s="2091"/>
      <c r="Q426" s="2091"/>
      <c r="R426" s="2091"/>
      <c r="S426" s="2091"/>
      <c r="T426" s="2091"/>
      <c r="U426" s="2091"/>
      <c r="V426" s="2091"/>
      <c r="W426" s="2091"/>
      <c r="X426" s="2091"/>
      <c r="Y426" s="2091"/>
      <c r="Z426" s="2091"/>
      <c r="AA426" s="2091"/>
      <c r="AB426" s="2091"/>
      <c r="AC426" s="2091"/>
      <c r="AD426" s="2091"/>
      <c r="AE426" s="2091"/>
      <c r="AF426" s="2091"/>
      <c r="AG426" s="2091"/>
      <c r="AI426" s="18"/>
      <c r="AJ426" s="18"/>
      <c r="AK426" s="18"/>
      <c r="AL426" s="18"/>
      <c r="AM426" s="18"/>
      <c r="AN426" s="18"/>
      <c r="AO426" s="18"/>
      <c r="AP426" s="18"/>
      <c r="AQ426" s="18"/>
    </row>
    <row r="427" spans="1:43" s="584" customFormat="1" ht="15" thickBot="1">
      <c r="A427" s="597"/>
      <c r="AI427" s="18"/>
      <c r="AJ427" s="18"/>
      <c r="AK427" s="18"/>
      <c r="AL427" s="18"/>
      <c r="AM427" s="18"/>
      <c r="AN427" s="18"/>
      <c r="AO427" s="18"/>
      <c r="AP427" s="18"/>
      <c r="AQ427" s="18"/>
    </row>
    <row r="428" spans="1:43" s="584" customFormat="1" ht="27.75" customHeight="1" thickTop="1" thickBot="1">
      <c r="A428" s="597"/>
      <c r="D428" s="1859" t="s">
        <v>131</v>
      </c>
      <c r="E428" s="1859"/>
      <c r="F428" s="1859"/>
      <c r="G428" s="1859"/>
      <c r="H428" s="1859"/>
      <c r="I428" s="1859"/>
      <c r="J428" s="1859"/>
      <c r="K428" s="1859"/>
      <c r="L428" s="1859"/>
      <c r="M428" s="1859" t="s">
        <v>132</v>
      </c>
      <c r="N428" s="1859"/>
      <c r="O428" s="1859"/>
      <c r="P428" s="1859"/>
      <c r="Q428" s="1859"/>
      <c r="R428" s="1859"/>
      <c r="S428" s="1859"/>
      <c r="T428" s="1859" t="s">
        <v>133</v>
      </c>
      <c r="U428" s="1859"/>
      <c r="V428" s="1859"/>
      <c r="W428" s="1859"/>
      <c r="X428" s="1859"/>
      <c r="Y428" s="1859"/>
      <c r="Z428" s="1859"/>
      <c r="AA428" s="1859" t="s">
        <v>129</v>
      </c>
      <c r="AB428" s="1859"/>
      <c r="AC428" s="1859"/>
      <c r="AD428" s="1859"/>
      <c r="AE428" s="1859"/>
      <c r="AF428" s="1859"/>
      <c r="AG428" s="1859"/>
      <c r="AI428" s="18"/>
      <c r="AJ428" s="18"/>
      <c r="AK428" s="591" t="s">
        <v>132</v>
      </c>
      <c r="AL428" s="594" t="s">
        <v>133</v>
      </c>
      <c r="AM428" s="594" t="s">
        <v>129</v>
      </c>
      <c r="AN428" s="18"/>
      <c r="AO428" s="591" t="s">
        <v>129</v>
      </c>
      <c r="AP428" s="18"/>
      <c r="AQ428" s="18"/>
    </row>
    <row r="429" spans="1:43" s="584" customFormat="1" ht="27.75" customHeight="1" thickBot="1">
      <c r="A429" s="597"/>
      <c r="D429" s="1972" t="s">
        <v>134</v>
      </c>
      <c r="E429" s="1972"/>
      <c r="F429" s="1972"/>
      <c r="G429" s="1972"/>
      <c r="H429" s="1972"/>
      <c r="I429" s="1972"/>
      <c r="J429" s="1972"/>
      <c r="K429" s="1972"/>
      <c r="L429" s="1972"/>
      <c r="M429" s="1972"/>
      <c r="N429" s="1972"/>
      <c r="O429" s="1972"/>
      <c r="P429" s="1972"/>
      <c r="Q429" s="1972"/>
      <c r="R429" s="1972"/>
      <c r="S429" s="1972"/>
      <c r="T429" s="1972"/>
      <c r="U429" s="1972"/>
      <c r="V429" s="1972"/>
      <c r="W429" s="1972"/>
      <c r="X429" s="1972"/>
      <c r="Y429" s="1972"/>
      <c r="Z429" s="1972"/>
      <c r="AA429" s="1972"/>
      <c r="AB429" s="1972"/>
      <c r="AC429" s="1972"/>
      <c r="AD429" s="1972"/>
      <c r="AE429" s="1972"/>
      <c r="AF429" s="1972"/>
      <c r="AG429" s="1972"/>
      <c r="AI429" s="18"/>
      <c r="AJ429" s="18"/>
      <c r="AK429" s="612"/>
      <c r="AL429" s="613"/>
      <c r="AM429" s="618"/>
      <c r="AN429" s="18"/>
      <c r="AO429" s="620"/>
      <c r="AP429" s="18"/>
      <c r="AQ429" s="18"/>
    </row>
    <row r="430" spans="1:43" s="584" customFormat="1" ht="22.5" customHeight="1">
      <c r="A430" s="597"/>
      <c r="D430" s="1791" t="s">
        <v>135</v>
      </c>
      <c r="E430" s="1791"/>
      <c r="F430" s="1791"/>
      <c r="G430" s="1791"/>
      <c r="H430" s="1791"/>
      <c r="I430" s="1791"/>
      <c r="J430" s="1791"/>
      <c r="K430" s="1791"/>
      <c r="L430" s="1791"/>
      <c r="M430" s="1775">
        <v>0</v>
      </c>
      <c r="N430" s="1775"/>
      <c r="O430" s="1775"/>
      <c r="P430" s="1775"/>
      <c r="Q430" s="1775"/>
      <c r="R430" s="1775"/>
      <c r="S430" s="1775"/>
      <c r="T430" s="1921">
        <v>0</v>
      </c>
      <c r="U430" s="1922"/>
      <c r="V430" s="1922"/>
      <c r="W430" s="1922"/>
      <c r="X430" s="1922"/>
      <c r="Y430" s="1922"/>
      <c r="Z430" s="1923"/>
      <c r="AA430" s="1867">
        <f>M430+T430</f>
        <v>0</v>
      </c>
      <c r="AB430" s="1867"/>
      <c r="AC430" s="1867"/>
      <c r="AD430" s="1867"/>
      <c r="AE430" s="1867"/>
      <c r="AF430" s="1867"/>
      <c r="AG430" s="1867"/>
      <c r="AI430" s="18"/>
      <c r="AJ430" s="18"/>
      <c r="AK430" s="606"/>
      <c r="AL430" s="607"/>
      <c r="AM430" s="608">
        <f>SUM(M430:Z430)-AA430</f>
        <v>0</v>
      </c>
      <c r="AN430" s="18"/>
      <c r="AO430" s="615">
        <f>AA430-BS!$D$54</f>
        <v>0</v>
      </c>
      <c r="AP430" s="18"/>
      <c r="AQ430" s="18"/>
    </row>
    <row r="431" spans="1:43" s="584" customFormat="1" ht="22.5" customHeight="1">
      <c r="A431" s="597"/>
      <c r="D431" s="1787" t="s">
        <v>1725</v>
      </c>
      <c r="E431" s="1787"/>
      <c r="F431" s="1787"/>
      <c r="G431" s="1787"/>
      <c r="H431" s="1787"/>
      <c r="I431" s="1787"/>
      <c r="J431" s="1787"/>
      <c r="K431" s="1787"/>
      <c r="L431" s="1787"/>
      <c r="M431" s="1860">
        <v>0</v>
      </c>
      <c r="N431" s="1860"/>
      <c r="O431" s="1860"/>
      <c r="P431" s="1860"/>
      <c r="Q431" s="1860"/>
      <c r="R431" s="1860"/>
      <c r="S431" s="1860"/>
      <c r="T431" s="1860">
        <v>0</v>
      </c>
      <c r="U431" s="1860"/>
      <c r="V431" s="1860"/>
      <c r="W431" s="1860"/>
      <c r="X431" s="1860"/>
      <c r="Y431" s="1860"/>
      <c r="Z431" s="1860"/>
      <c r="AA431" s="1825">
        <f t="shared" ref="AA431:AA433" si="133">M431+T431</f>
        <v>0</v>
      </c>
      <c r="AB431" s="1825"/>
      <c r="AC431" s="1825"/>
      <c r="AD431" s="1825"/>
      <c r="AE431" s="1825"/>
      <c r="AF431" s="1825"/>
      <c r="AG431" s="1825"/>
      <c r="AI431" s="18"/>
      <c r="AJ431" s="18"/>
      <c r="AK431" s="606"/>
      <c r="AL431" s="607"/>
      <c r="AM431" s="608">
        <f t="shared" ref="AM431:AM434" si="134">SUM(M431:Z431)-AA431</f>
        <v>0</v>
      </c>
      <c r="AN431" s="18"/>
      <c r="AO431" s="615">
        <f>AA431-BS!$D$52-BS!$D$53</f>
        <v>0</v>
      </c>
      <c r="AP431" s="18"/>
      <c r="AQ431" s="18"/>
    </row>
    <row r="432" spans="1:43" s="584" customFormat="1" ht="22.5" customHeight="1">
      <c r="A432" s="597"/>
      <c r="D432" s="1787" t="s">
        <v>136</v>
      </c>
      <c r="E432" s="1787"/>
      <c r="F432" s="1787"/>
      <c r="G432" s="1787"/>
      <c r="H432" s="1787"/>
      <c r="I432" s="1787"/>
      <c r="J432" s="1787"/>
      <c r="K432" s="1787"/>
      <c r="L432" s="1787"/>
      <c r="M432" s="1860">
        <v>0</v>
      </c>
      <c r="N432" s="1860"/>
      <c r="O432" s="1860"/>
      <c r="P432" s="1860"/>
      <c r="Q432" s="1860"/>
      <c r="R432" s="1860"/>
      <c r="S432" s="1860"/>
      <c r="T432" s="1860">
        <v>0</v>
      </c>
      <c r="U432" s="1860"/>
      <c r="V432" s="1860"/>
      <c r="W432" s="1860"/>
      <c r="X432" s="1860"/>
      <c r="Y432" s="1860"/>
      <c r="Z432" s="1860"/>
      <c r="AA432" s="1825">
        <f t="shared" si="133"/>
        <v>0</v>
      </c>
      <c r="AB432" s="1825"/>
      <c r="AC432" s="1825"/>
      <c r="AD432" s="1825"/>
      <c r="AE432" s="1825"/>
      <c r="AF432" s="1825"/>
      <c r="AG432" s="1825"/>
      <c r="AI432" s="18"/>
      <c r="AJ432" s="18"/>
      <c r="AK432" s="606"/>
      <c r="AL432" s="607"/>
      <c r="AM432" s="608">
        <f t="shared" si="134"/>
        <v>0</v>
      </c>
      <c r="AN432" s="18"/>
      <c r="AO432" s="615">
        <f>AA432-BS!$D$56-BS!$D$57</f>
        <v>0</v>
      </c>
      <c r="AP432" s="18"/>
      <c r="AQ432" s="18"/>
    </row>
    <row r="433" spans="1:43" s="584" customFormat="1" ht="22.5" customHeight="1">
      <c r="A433" s="597"/>
      <c r="D433" s="1787" t="s">
        <v>127</v>
      </c>
      <c r="E433" s="1787"/>
      <c r="F433" s="1787"/>
      <c r="G433" s="1787"/>
      <c r="H433" s="1787"/>
      <c r="I433" s="1787"/>
      <c r="J433" s="1787"/>
      <c r="K433" s="1787"/>
      <c r="L433" s="1787"/>
      <c r="M433" s="1860">
        <v>0</v>
      </c>
      <c r="N433" s="1860"/>
      <c r="O433" s="1860"/>
      <c r="P433" s="1860"/>
      <c r="Q433" s="1860"/>
      <c r="R433" s="1860"/>
      <c r="S433" s="1860"/>
      <c r="T433" s="1860">
        <v>0</v>
      </c>
      <c r="U433" s="1860"/>
      <c r="V433" s="1860"/>
      <c r="W433" s="1860"/>
      <c r="X433" s="1860"/>
      <c r="Y433" s="1860"/>
      <c r="Z433" s="1860"/>
      <c r="AA433" s="1825">
        <f t="shared" si="133"/>
        <v>0</v>
      </c>
      <c r="AB433" s="1825"/>
      <c r="AC433" s="1825"/>
      <c r="AD433" s="1825"/>
      <c r="AE433" s="1825"/>
      <c r="AF433" s="1825"/>
      <c r="AG433" s="1825"/>
      <c r="AI433" s="18"/>
      <c r="AJ433" s="18"/>
      <c r="AK433" s="606"/>
      <c r="AL433" s="607"/>
      <c r="AM433" s="608">
        <f t="shared" si="134"/>
        <v>0</v>
      </c>
      <c r="AN433" s="18"/>
      <c r="AO433" s="615">
        <f>AA433-BS!$D$58</f>
        <v>0</v>
      </c>
      <c r="AP433" s="18"/>
      <c r="AQ433" s="18"/>
    </row>
    <row r="434" spans="1:43" s="584" customFormat="1" ht="22.5" customHeight="1" thickBot="1">
      <c r="A434" s="597"/>
      <c r="D434" s="1942" t="s">
        <v>128</v>
      </c>
      <c r="E434" s="1942"/>
      <c r="F434" s="1942"/>
      <c r="G434" s="1942"/>
      <c r="H434" s="1942"/>
      <c r="I434" s="1942"/>
      <c r="J434" s="1942"/>
      <c r="K434" s="1942"/>
      <c r="L434" s="1942"/>
      <c r="M434" s="1912">
        <v>0</v>
      </c>
      <c r="N434" s="1913"/>
      <c r="O434" s="1913"/>
      <c r="P434" s="1913"/>
      <c r="Q434" s="1913"/>
      <c r="R434" s="1913"/>
      <c r="S434" s="1914"/>
      <c r="T434" s="1860">
        <v>0</v>
      </c>
      <c r="U434" s="1860"/>
      <c r="V434" s="1860"/>
      <c r="W434" s="1860"/>
      <c r="X434" s="1860"/>
      <c r="Y434" s="1860"/>
      <c r="Z434" s="1860"/>
      <c r="AA434" s="1825">
        <f>M434+T434</f>
        <v>0</v>
      </c>
      <c r="AB434" s="1825"/>
      <c r="AC434" s="1825"/>
      <c r="AD434" s="1825"/>
      <c r="AE434" s="1825"/>
      <c r="AF434" s="1825"/>
      <c r="AG434" s="1825"/>
      <c r="AI434" s="18"/>
      <c r="AJ434" s="18"/>
      <c r="AK434" s="606"/>
      <c r="AL434" s="607"/>
      <c r="AM434" s="608">
        <f t="shared" si="134"/>
        <v>0</v>
      </c>
      <c r="AN434" s="18"/>
      <c r="AO434" s="615">
        <f>AA434-BS!D61</f>
        <v>0</v>
      </c>
      <c r="AP434" s="18"/>
      <c r="AQ434" s="18"/>
    </row>
    <row r="435" spans="1:43" s="584" customFormat="1" ht="27.75" customHeight="1" thickBot="1">
      <c r="A435" s="597"/>
      <c r="D435" s="1972" t="s">
        <v>137</v>
      </c>
      <c r="E435" s="1972"/>
      <c r="F435" s="1972"/>
      <c r="G435" s="1972"/>
      <c r="H435" s="1972"/>
      <c r="I435" s="1972"/>
      <c r="J435" s="1972"/>
      <c r="K435" s="1972"/>
      <c r="L435" s="1972"/>
      <c r="M435" s="1971">
        <f t="shared" ref="M435" si="135">SUM(M430:S434)</f>
        <v>0</v>
      </c>
      <c r="N435" s="1971"/>
      <c r="O435" s="1971"/>
      <c r="P435" s="1971"/>
      <c r="Q435" s="1971"/>
      <c r="R435" s="1971"/>
      <c r="S435" s="1971"/>
      <c r="T435" s="1971">
        <f>SUM(T430:Z434)</f>
        <v>0</v>
      </c>
      <c r="U435" s="1971"/>
      <c r="V435" s="1971"/>
      <c r="W435" s="1971"/>
      <c r="X435" s="1971"/>
      <c r="Y435" s="1971"/>
      <c r="Z435" s="1971"/>
      <c r="AA435" s="1971">
        <f>SUM(AA430:AG434)</f>
        <v>0</v>
      </c>
      <c r="AB435" s="1971"/>
      <c r="AC435" s="1971"/>
      <c r="AD435" s="1971"/>
      <c r="AE435" s="1971"/>
      <c r="AF435" s="1971"/>
      <c r="AG435" s="1971"/>
      <c r="AI435" s="18"/>
      <c r="AJ435" s="607"/>
      <c r="AK435" s="609">
        <f>SUM(M430:S434)-M435</f>
        <v>0</v>
      </c>
      <c r="AL435" s="610">
        <f>SUM(T430:Z434)-T435</f>
        <v>0</v>
      </c>
      <c r="AM435" s="611">
        <f>SUM(AA430:AG434)-AA435</f>
        <v>0</v>
      </c>
      <c r="AN435" s="18"/>
      <c r="AO435" s="617">
        <f>AA435-BS!$D$50</f>
        <v>0</v>
      </c>
      <c r="AP435" s="18"/>
      <c r="AQ435" s="18"/>
    </row>
    <row r="436" spans="1:43" s="584" customFormat="1" ht="27.75" customHeight="1" thickBot="1">
      <c r="A436" s="597"/>
      <c r="D436" s="1972" t="s">
        <v>138</v>
      </c>
      <c r="E436" s="1972"/>
      <c r="F436" s="1972"/>
      <c r="G436" s="1972"/>
      <c r="H436" s="1972"/>
      <c r="I436" s="1972"/>
      <c r="J436" s="1972"/>
      <c r="K436" s="1972"/>
      <c r="L436" s="1972"/>
      <c r="M436" s="1972"/>
      <c r="N436" s="1972"/>
      <c r="O436" s="1972"/>
      <c r="P436" s="1972"/>
      <c r="Q436" s="1972"/>
      <c r="R436" s="1972"/>
      <c r="S436" s="1972"/>
      <c r="T436" s="1972"/>
      <c r="U436" s="1972"/>
      <c r="V436" s="1972"/>
      <c r="W436" s="1972"/>
      <c r="X436" s="1972"/>
      <c r="Y436" s="1972"/>
      <c r="Z436" s="1972"/>
      <c r="AA436" s="1972"/>
      <c r="AB436" s="1972"/>
      <c r="AC436" s="1972"/>
      <c r="AD436" s="1972"/>
      <c r="AE436" s="1972"/>
      <c r="AF436" s="1972"/>
      <c r="AG436" s="1972"/>
      <c r="AI436" s="18"/>
      <c r="AJ436" s="18"/>
      <c r="AK436" s="18"/>
      <c r="AL436" s="18"/>
      <c r="AM436" s="18"/>
      <c r="AN436" s="18"/>
      <c r="AO436" s="18"/>
      <c r="AP436" s="18"/>
      <c r="AQ436" s="18"/>
    </row>
    <row r="437" spans="1:43" s="584" customFormat="1" ht="20.25" customHeight="1">
      <c r="A437" s="597"/>
      <c r="D437" s="1791" t="s">
        <v>139</v>
      </c>
      <c r="E437" s="1791"/>
      <c r="F437" s="1791"/>
      <c r="G437" s="1791"/>
      <c r="H437" s="1791"/>
      <c r="I437" s="1791"/>
      <c r="J437" s="1791"/>
      <c r="K437" s="1791"/>
      <c r="L437" s="1791"/>
      <c r="M437" s="1837">
        <f>BS!D66-258368</f>
        <v>1002788</v>
      </c>
      <c r="N437" s="1837"/>
      <c r="O437" s="1837"/>
      <c r="P437" s="1837"/>
      <c r="Q437" s="1837"/>
      <c r="R437" s="1837"/>
      <c r="S437" s="1837"/>
      <c r="T437" s="1837">
        <v>258368</v>
      </c>
      <c r="U437" s="1837"/>
      <c r="V437" s="1837"/>
      <c r="W437" s="1837"/>
      <c r="X437" s="1837"/>
      <c r="Y437" s="1837"/>
      <c r="Z437" s="1837"/>
      <c r="AA437" s="1867">
        <f>M437+T437</f>
        <v>1261156</v>
      </c>
      <c r="AB437" s="1867"/>
      <c r="AC437" s="1867"/>
      <c r="AD437" s="1867"/>
      <c r="AE437" s="1867"/>
      <c r="AF437" s="1867"/>
      <c r="AG437" s="1867"/>
      <c r="AI437" s="18"/>
      <c r="AJ437" s="18"/>
      <c r="AK437" s="612"/>
      <c r="AL437" s="613"/>
      <c r="AM437" s="614">
        <f t="shared" ref="AM437:AM438" si="136">SUM(M437:Z437)-AA437</f>
        <v>0</v>
      </c>
      <c r="AN437" s="18"/>
      <c r="AO437" s="620">
        <f>AA437-BS!$D$66</f>
        <v>0</v>
      </c>
      <c r="AP437" s="18"/>
      <c r="AQ437" s="18"/>
    </row>
    <row r="438" spans="1:43" s="584" customFormat="1" ht="20.25" customHeight="1">
      <c r="A438" s="597"/>
      <c r="D438" s="1787" t="s">
        <v>1726</v>
      </c>
      <c r="E438" s="1787"/>
      <c r="F438" s="1787"/>
      <c r="G438" s="1787"/>
      <c r="H438" s="1787"/>
      <c r="I438" s="1787"/>
      <c r="J438" s="1787"/>
      <c r="K438" s="1787"/>
      <c r="L438" s="1787"/>
      <c r="M438" s="2283">
        <f>BS!F64-39162</f>
        <v>95180</v>
      </c>
      <c r="N438" s="2283"/>
      <c r="O438" s="2283"/>
      <c r="P438" s="2283"/>
      <c r="Q438" s="2283"/>
      <c r="R438" s="2283"/>
      <c r="S438" s="2283"/>
      <c r="T438" s="2283">
        <v>39162</v>
      </c>
      <c r="U438" s="2283"/>
      <c r="V438" s="2283"/>
      <c r="W438" s="2283"/>
      <c r="X438" s="2283"/>
      <c r="Y438" s="2283"/>
      <c r="Z438" s="2283"/>
      <c r="AA438" s="1825">
        <f t="shared" ref="AA438:AA440" si="137">M438+T438</f>
        <v>134342</v>
      </c>
      <c r="AB438" s="1825"/>
      <c r="AC438" s="1825"/>
      <c r="AD438" s="1825"/>
      <c r="AE438" s="1825"/>
      <c r="AF438" s="1825"/>
      <c r="AG438" s="1825"/>
      <c r="AI438" s="18"/>
      <c r="AJ438" s="18"/>
      <c r="AK438" s="606"/>
      <c r="AL438" s="607"/>
      <c r="AM438" s="608">
        <f t="shared" si="136"/>
        <v>0</v>
      </c>
      <c r="AN438" s="18"/>
      <c r="AO438" s="615">
        <f>AA438-BS!$D$64-BS!$D$65</f>
        <v>0</v>
      </c>
      <c r="AP438" s="18"/>
      <c r="AQ438" s="18"/>
    </row>
    <row r="439" spans="1:43" s="584" customFormat="1" ht="20.25" customHeight="1">
      <c r="A439" s="597"/>
      <c r="D439" s="1787" t="s">
        <v>136</v>
      </c>
      <c r="E439" s="1787"/>
      <c r="F439" s="1787"/>
      <c r="G439" s="1787"/>
      <c r="H439" s="1787"/>
      <c r="I439" s="1787"/>
      <c r="J439" s="1787"/>
      <c r="K439" s="1787"/>
      <c r="L439" s="1787"/>
      <c r="M439" s="1860">
        <v>0</v>
      </c>
      <c r="N439" s="1860"/>
      <c r="O439" s="1860"/>
      <c r="P439" s="1860"/>
      <c r="Q439" s="1860"/>
      <c r="R439" s="1860"/>
      <c r="S439" s="1860"/>
      <c r="T439" s="1860">
        <v>0</v>
      </c>
      <c r="U439" s="1860"/>
      <c r="V439" s="1860"/>
      <c r="W439" s="1860"/>
      <c r="X439" s="1860"/>
      <c r="Y439" s="1860"/>
      <c r="Z439" s="1860"/>
      <c r="AA439" s="1825">
        <f t="shared" si="137"/>
        <v>0</v>
      </c>
      <c r="AB439" s="1825"/>
      <c r="AC439" s="1825"/>
      <c r="AD439" s="1825"/>
      <c r="AE439" s="1825"/>
      <c r="AF439" s="1825"/>
      <c r="AG439" s="1825"/>
      <c r="AI439" s="18"/>
      <c r="AJ439" s="18"/>
      <c r="AK439" s="606"/>
      <c r="AL439" s="607"/>
      <c r="AM439" s="608">
        <f>SUM(M439:Z439)-AA439</f>
        <v>0</v>
      </c>
      <c r="AN439" s="18"/>
      <c r="AO439" s="615">
        <f>AA439-BS!$D$68-BS!$D$69</f>
        <v>0</v>
      </c>
      <c r="AP439" s="18"/>
      <c r="AQ439" s="18"/>
    </row>
    <row r="440" spans="1:43" s="584" customFormat="1" ht="20.25" customHeight="1">
      <c r="A440" s="597"/>
      <c r="D440" s="1787" t="s">
        <v>127</v>
      </c>
      <c r="E440" s="1787"/>
      <c r="F440" s="1787"/>
      <c r="G440" s="1787"/>
      <c r="H440" s="1787"/>
      <c r="I440" s="1787"/>
      <c r="J440" s="1787"/>
      <c r="K440" s="1787"/>
      <c r="L440" s="1787"/>
      <c r="M440" s="1860">
        <v>0</v>
      </c>
      <c r="N440" s="1860"/>
      <c r="O440" s="1860"/>
      <c r="P440" s="1860"/>
      <c r="Q440" s="1860"/>
      <c r="R440" s="1860"/>
      <c r="S440" s="1860"/>
      <c r="T440" s="1860">
        <v>0</v>
      </c>
      <c r="U440" s="1860"/>
      <c r="V440" s="1860"/>
      <c r="W440" s="1860"/>
      <c r="X440" s="1860"/>
      <c r="Y440" s="1860"/>
      <c r="Z440" s="1860"/>
      <c r="AA440" s="1825">
        <f t="shared" si="137"/>
        <v>0</v>
      </c>
      <c r="AB440" s="1825"/>
      <c r="AC440" s="1825"/>
      <c r="AD440" s="1825"/>
      <c r="AE440" s="1825"/>
      <c r="AF440" s="1825"/>
      <c r="AG440" s="1825"/>
      <c r="AI440" s="18"/>
      <c r="AJ440" s="18"/>
      <c r="AK440" s="606"/>
      <c r="AL440" s="607"/>
      <c r="AM440" s="608">
        <f t="shared" ref="AM440:AM442" si="138">SUM(M440:Z440)-AA440</f>
        <v>0</v>
      </c>
      <c r="AN440" s="18"/>
      <c r="AO440" s="615">
        <f>AA440-BS!$D$70</f>
        <v>0</v>
      </c>
      <c r="AP440" s="18"/>
      <c r="AQ440" s="18"/>
    </row>
    <row r="441" spans="1:43" s="584" customFormat="1" ht="20.25" customHeight="1">
      <c r="A441" s="597"/>
      <c r="D441" s="1787" t="s">
        <v>140</v>
      </c>
      <c r="E441" s="1787"/>
      <c r="F441" s="1787"/>
      <c r="G441" s="1787"/>
      <c r="H441" s="1787"/>
      <c r="I441" s="1787"/>
      <c r="J441" s="1787"/>
      <c r="K441" s="1787"/>
      <c r="L441" s="1787"/>
      <c r="M441" s="1773">
        <v>0</v>
      </c>
      <c r="N441" s="1773"/>
      <c r="O441" s="1773"/>
      <c r="P441" s="1773"/>
      <c r="Q441" s="1773"/>
      <c r="R441" s="1773"/>
      <c r="S441" s="1773"/>
      <c r="T441" s="1860">
        <v>0</v>
      </c>
      <c r="U441" s="1860"/>
      <c r="V441" s="1860"/>
      <c r="W441" s="1860"/>
      <c r="X441" s="1860"/>
      <c r="Y441" s="1860"/>
      <c r="Z441" s="1860"/>
      <c r="AA441" s="1825">
        <f>M441+T441</f>
        <v>0</v>
      </c>
      <c r="AB441" s="1825"/>
      <c r="AC441" s="1825"/>
      <c r="AD441" s="1825"/>
      <c r="AE441" s="1825"/>
      <c r="AF441" s="1825"/>
      <c r="AG441" s="1825"/>
      <c r="AI441" s="18"/>
      <c r="AJ441" s="18"/>
      <c r="AK441" s="606"/>
      <c r="AL441" s="607"/>
      <c r="AM441" s="608">
        <f t="shared" si="138"/>
        <v>0</v>
      </c>
      <c r="AN441" s="18"/>
      <c r="AO441" s="616">
        <f>AA440-BS!$D$71</f>
        <v>0</v>
      </c>
      <c r="AP441" s="18"/>
      <c r="AQ441" s="18"/>
    </row>
    <row r="442" spans="1:43" s="584" customFormat="1" ht="20.25" customHeight="1">
      <c r="A442" s="597"/>
      <c r="D442" s="1787" t="s">
        <v>141</v>
      </c>
      <c r="E442" s="1787"/>
      <c r="F442" s="1787"/>
      <c r="G442" s="1787"/>
      <c r="H442" s="1787"/>
      <c r="I442" s="1787"/>
      <c r="J442" s="1787"/>
      <c r="K442" s="1787"/>
      <c r="L442" s="1787"/>
      <c r="M442" s="1773">
        <v>41600</v>
      </c>
      <c r="N442" s="1773"/>
      <c r="O442" s="1773"/>
      <c r="P442" s="1773"/>
      <c r="Q442" s="1773"/>
      <c r="R442" s="1773"/>
      <c r="S442" s="1773"/>
      <c r="T442" s="1860">
        <v>0</v>
      </c>
      <c r="U442" s="1860"/>
      <c r="V442" s="1860"/>
      <c r="W442" s="1860"/>
      <c r="X442" s="1860"/>
      <c r="Y442" s="1860"/>
      <c r="Z442" s="1860"/>
      <c r="AA442" s="1825">
        <f t="shared" ref="AA442:AA443" si="139">M442+T442</f>
        <v>41600</v>
      </c>
      <c r="AB442" s="1825"/>
      <c r="AC442" s="1825"/>
      <c r="AD442" s="1825"/>
      <c r="AE442" s="1825"/>
      <c r="AF442" s="1825"/>
      <c r="AG442" s="1825"/>
      <c r="AI442" s="18"/>
      <c r="AJ442" s="18"/>
      <c r="AK442" s="606"/>
      <c r="AL442" s="607"/>
      <c r="AM442" s="608">
        <f t="shared" si="138"/>
        <v>0</v>
      </c>
      <c r="AN442" s="18"/>
      <c r="AO442" s="615">
        <f>AA442-BS!$D$72</f>
        <v>0</v>
      </c>
      <c r="AP442" s="18"/>
      <c r="AQ442" s="18"/>
    </row>
    <row r="443" spans="1:43" s="584" customFormat="1" ht="20.25" customHeight="1" thickBot="1">
      <c r="A443" s="597"/>
      <c r="D443" s="1942" t="s">
        <v>128</v>
      </c>
      <c r="E443" s="1942"/>
      <c r="F443" s="1942"/>
      <c r="G443" s="1942"/>
      <c r="H443" s="1942"/>
      <c r="I443" s="1942"/>
      <c r="J443" s="1942"/>
      <c r="K443" s="1942"/>
      <c r="L443" s="1942"/>
      <c r="M443" s="1881">
        <v>13355</v>
      </c>
      <c r="N443" s="1882"/>
      <c r="O443" s="1882"/>
      <c r="P443" s="1882"/>
      <c r="Q443" s="1882"/>
      <c r="R443" s="1882"/>
      <c r="S443" s="1883"/>
      <c r="T443" s="1860">
        <v>0</v>
      </c>
      <c r="U443" s="1860"/>
      <c r="V443" s="1860"/>
      <c r="W443" s="1860"/>
      <c r="X443" s="1860"/>
      <c r="Y443" s="1860"/>
      <c r="Z443" s="1860"/>
      <c r="AA443" s="1825">
        <f t="shared" si="139"/>
        <v>13355</v>
      </c>
      <c r="AB443" s="1825"/>
      <c r="AC443" s="1825"/>
      <c r="AD443" s="1825"/>
      <c r="AE443" s="1825"/>
      <c r="AF443" s="1825"/>
      <c r="AG443" s="1825"/>
      <c r="AI443" s="18"/>
      <c r="AJ443" s="18"/>
      <c r="AK443" s="606"/>
      <c r="AL443" s="607"/>
      <c r="AM443" s="608">
        <f>SUM(M443:Z443)-AA443</f>
        <v>0</v>
      </c>
      <c r="AN443" s="18"/>
      <c r="AO443" s="615">
        <f>AA443-BS!$D$67-BS!$D$71-BS!$D$73-BS!$D$74</f>
        <v>0</v>
      </c>
      <c r="AP443" s="18"/>
      <c r="AQ443" s="18"/>
    </row>
    <row r="444" spans="1:43" s="584" customFormat="1" ht="27.75" customHeight="1" thickBot="1">
      <c r="A444" s="597"/>
      <c r="D444" s="1941" t="s">
        <v>142</v>
      </c>
      <c r="E444" s="1941"/>
      <c r="F444" s="1941"/>
      <c r="G444" s="1941"/>
      <c r="H444" s="1941"/>
      <c r="I444" s="1941"/>
      <c r="J444" s="1941"/>
      <c r="K444" s="1941"/>
      <c r="L444" s="1941"/>
      <c r="M444" s="1971">
        <f>SUM(M437:S443)</f>
        <v>1152923</v>
      </c>
      <c r="N444" s="1971"/>
      <c r="O444" s="1971"/>
      <c r="P444" s="1971"/>
      <c r="Q444" s="1971"/>
      <c r="R444" s="1971"/>
      <c r="S444" s="1971"/>
      <c r="T444" s="1971">
        <f t="shared" ref="T444" si="140">SUM(T437:Z443)</f>
        <v>297530</v>
      </c>
      <c r="U444" s="1971"/>
      <c r="V444" s="1971"/>
      <c r="W444" s="1971"/>
      <c r="X444" s="1971"/>
      <c r="Y444" s="1971"/>
      <c r="Z444" s="1971"/>
      <c r="AA444" s="1971">
        <f>SUM(AA437:AG443)</f>
        <v>1450453</v>
      </c>
      <c r="AB444" s="1971"/>
      <c r="AC444" s="1971"/>
      <c r="AD444" s="1971"/>
      <c r="AE444" s="1971"/>
      <c r="AF444" s="1971"/>
      <c r="AG444" s="1971"/>
      <c r="AI444" s="18"/>
      <c r="AJ444" s="18"/>
      <c r="AK444" s="609">
        <f>SUM(M437:S443)-M444</f>
        <v>0</v>
      </c>
      <c r="AL444" s="610">
        <f>SUM(T437:Z443)-T444</f>
        <v>0</v>
      </c>
      <c r="AM444" s="611">
        <f>SUM(AA437:AG443)-AA444</f>
        <v>0</v>
      </c>
      <c r="AN444" s="18"/>
      <c r="AO444" s="617">
        <f>AA444-BS!$D$62</f>
        <v>0</v>
      </c>
      <c r="AP444" s="18"/>
      <c r="AQ444" s="18"/>
    </row>
    <row r="445" spans="1:43" s="584" customFormat="1">
      <c r="A445" s="597"/>
      <c r="D445" s="773"/>
      <c r="E445" s="773"/>
      <c r="F445" s="773"/>
      <c r="G445" s="773"/>
      <c r="H445" s="773"/>
      <c r="I445" s="773"/>
      <c r="J445" s="773"/>
      <c r="K445" s="773"/>
      <c r="L445" s="773"/>
      <c r="M445" s="773"/>
      <c r="N445" s="773"/>
      <c r="O445" s="773"/>
      <c r="P445" s="773"/>
      <c r="Q445" s="773"/>
      <c r="R445" s="773"/>
      <c r="S445" s="773"/>
      <c r="T445" s="773"/>
      <c r="U445" s="773"/>
      <c r="V445" s="773"/>
      <c r="W445" s="773"/>
      <c r="X445" s="773"/>
      <c r="Y445" s="773"/>
      <c r="Z445" s="773"/>
      <c r="AA445" s="773"/>
      <c r="AB445" s="773"/>
      <c r="AC445" s="773"/>
      <c r="AD445" s="773"/>
      <c r="AE445" s="773"/>
      <c r="AF445" s="773"/>
      <c r="AG445" s="773"/>
      <c r="AH445" s="773"/>
      <c r="AI445" s="18"/>
      <c r="AJ445" s="18"/>
      <c r="AK445" s="18"/>
      <c r="AL445" s="18"/>
      <c r="AM445" s="18"/>
      <c r="AN445" s="18"/>
      <c r="AO445" s="18"/>
      <c r="AP445" s="18"/>
      <c r="AQ445" s="18"/>
    </row>
    <row r="446" spans="1:43" s="584" customFormat="1">
      <c r="A446" s="597"/>
      <c r="D446" s="2090" t="s">
        <v>2932</v>
      </c>
      <c r="E446" s="2091"/>
      <c r="F446" s="2091"/>
      <c r="G446" s="2091"/>
      <c r="H446" s="2091"/>
      <c r="I446" s="2091"/>
      <c r="J446" s="2091"/>
      <c r="K446" s="2091"/>
      <c r="L446" s="2091"/>
      <c r="M446" s="2091"/>
      <c r="N446" s="2091"/>
      <c r="O446" s="2091"/>
      <c r="P446" s="2091"/>
      <c r="Q446" s="2091"/>
      <c r="R446" s="2091"/>
      <c r="S446" s="2091"/>
      <c r="T446" s="2091"/>
      <c r="U446" s="2091"/>
      <c r="V446" s="2091"/>
      <c r="W446" s="2091"/>
      <c r="X446" s="2091"/>
      <c r="Y446" s="2091"/>
      <c r="Z446" s="2091"/>
      <c r="AA446" s="2091"/>
      <c r="AB446" s="2091"/>
      <c r="AC446" s="2091"/>
      <c r="AD446" s="2091"/>
      <c r="AE446" s="2091"/>
      <c r="AF446" s="2091"/>
      <c r="AG446" s="2091"/>
      <c r="AI446" s="18"/>
      <c r="AJ446" s="18"/>
      <c r="AK446" s="18"/>
      <c r="AL446" s="18"/>
      <c r="AM446" s="18"/>
      <c r="AN446" s="18"/>
      <c r="AO446" s="18"/>
      <c r="AP446" s="18"/>
      <c r="AQ446" s="18"/>
    </row>
    <row r="447" spans="1:43" s="773" customFormat="1" ht="15" thickBot="1">
      <c r="A447" s="784"/>
      <c r="AI447" s="786"/>
      <c r="AJ447" s="786"/>
      <c r="AK447" s="786"/>
      <c r="AL447" s="786"/>
      <c r="AM447" s="786"/>
      <c r="AN447" s="786"/>
      <c r="AO447" s="786"/>
      <c r="AP447" s="786"/>
      <c r="AQ447" s="786"/>
    </row>
    <row r="448" spans="1:43" s="584" customFormat="1" ht="15" thickBot="1">
      <c r="A448" s="597"/>
      <c r="D448" s="1859" t="s">
        <v>131</v>
      </c>
      <c r="E448" s="1859"/>
      <c r="F448" s="1859"/>
      <c r="G448" s="1859"/>
      <c r="H448" s="1859"/>
      <c r="I448" s="1859"/>
      <c r="J448" s="1859"/>
      <c r="K448" s="1859"/>
      <c r="L448" s="1859"/>
      <c r="M448" s="1859" t="s">
        <v>132</v>
      </c>
      <c r="N448" s="1859"/>
      <c r="O448" s="1859"/>
      <c r="P448" s="1859"/>
      <c r="Q448" s="1859"/>
      <c r="R448" s="1859"/>
      <c r="S448" s="1859"/>
      <c r="T448" s="1859" t="s">
        <v>133</v>
      </c>
      <c r="U448" s="1859"/>
      <c r="V448" s="1859"/>
      <c r="W448" s="1859"/>
      <c r="X448" s="1859"/>
      <c r="Y448" s="1859"/>
      <c r="Z448" s="1859"/>
      <c r="AA448" s="1859" t="s">
        <v>129</v>
      </c>
      <c r="AB448" s="1859"/>
      <c r="AC448" s="1859"/>
      <c r="AD448" s="1859"/>
      <c r="AE448" s="1859"/>
      <c r="AF448" s="1859"/>
      <c r="AG448" s="1859"/>
      <c r="AI448" s="18"/>
      <c r="AJ448" s="18"/>
      <c r="AK448" s="18"/>
      <c r="AL448" s="18"/>
      <c r="AM448" s="18"/>
      <c r="AN448" s="18"/>
      <c r="AO448" s="18"/>
      <c r="AP448" s="18"/>
      <c r="AQ448" s="18"/>
    </row>
    <row r="449" spans="1:43" s="584" customFormat="1" ht="15" thickBot="1">
      <c r="A449" s="597"/>
      <c r="D449" s="1972" t="s">
        <v>134</v>
      </c>
      <c r="E449" s="1972"/>
      <c r="F449" s="1972"/>
      <c r="G449" s="1972"/>
      <c r="H449" s="1972"/>
      <c r="I449" s="1972"/>
      <c r="J449" s="1972"/>
      <c r="K449" s="1972"/>
      <c r="L449" s="1972"/>
      <c r="M449" s="1972"/>
      <c r="N449" s="1972"/>
      <c r="O449" s="1972"/>
      <c r="P449" s="1972"/>
      <c r="Q449" s="1972"/>
      <c r="R449" s="1972"/>
      <c r="S449" s="1972"/>
      <c r="T449" s="1972"/>
      <c r="U449" s="1972"/>
      <c r="V449" s="1972"/>
      <c r="W449" s="1972"/>
      <c r="X449" s="1972"/>
      <c r="Y449" s="1972"/>
      <c r="Z449" s="1972"/>
      <c r="AA449" s="1972"/>
      <c r="AB449" s="1972"/>
      <c r="AC449" s="1972"/>
      <c r="AD449" s="1972"/>
      <c r="AE449" s="1972"/>
      <c r="AF449" s="1972"/>
      <c r="AG449" s="1972"/>
      <c r="AI449" s="18"/>
      <c r="AJ449" s="18"/>
      <c r="AK449" s="18"/>
      <c r="AL449" s="18"/>
      <c r="AM449" s="18"/>
      <c r="AN449" s="18"/>
      <c r="AO449" s="18"/>
      <c r="AP449" s="18"/>
      <c r="AQ449" s="18"/>
    </row>
    <row r="450" spans="1:43" s="584" customFormat="1">
      <c r="A450" s="597"/>
      <c r="D450" s="1791" t="s">
        <v>135</v>
      </c>
      <c r="E450" s="1791"/>
      <c r="F450" s="1791"/>
      <c r="G450" s="1791"/>
      <c r="H450" s="1791"/>
      <c r="I450" s="1791"/>
      <c r="J450" s="1791"/>
      <c r="K450" s="1791"/>
      <c r="L450" s="1791"/>
      <c r="M450" s="1775">
        <v>0</v>
      </c>
      <c r="N450" s="1775"/>
      <c r="O450" s="1775"/>
      <c r="P450" s="1775"/>
      <c r="Q450" s="1775"/>
      <c r="R450" s="1775"/>
      <c r="S450" s="1775"/>
      <c r="T450" s="1921">
        <v>0</v>
      </c>
      <c r="U450" s="1922"/>
      <c r="V450" s="1922"/>
      <c r="W450" s="1922"/>
      <c r="X450" s="1922"/>
      <c r="Y450" s="1922"/>
      <c r="Z450" s="1923"/>
      <c r="AA450" s="1867">
        <v>0</v>
      </c>
      <c r="AB450" s="1867"/>
      <c r="AC450" s="1867"/>
      <c r="AD450" s="1867"/>
      <c r="AE450" s="1867"/>
      <c r="AF450" s="1867"/>
      <c r="AG450" s="1867"/>
      <c r="AI450" s="18"/>
      <c r="AJ450" s="18"/>
      <c r="AK450" s="18"/>
      <c r="AL450" s="18"/>
      <c r="AM450" s="18"/>
      <c r="AN450" s="18"/>
      <c r="AO450" s="18"/>
      <c r="AP450" s="18"/>
      <c r="AQ450" s="18"/>
    </row>
    <row r="451" spans="1:43" s="584" customFormat="1">
      <c r="A451" s="597"/>
      <c r="D451" s="1787" t="s">
        <v>1725</v>
      </c>
      <c r="E451" s="1787"/>
      <c r="F451" s="1787"/>
      <c r="G451" s="1787"/>
      <c r="H451" s="1787"/>
      <c r="I451" s="1787"/>
      <c r="J451" s="1787"/>
      <c r="K451" s="1787"/>
      <c r="L451" s="1787"/>
      <c r="M451" s="1860">
        <v>0</v>
      </c>
      <c r="N451" s="1860"/>
      <c r="O451" s="1860"/>
      <c r="P451" s="1860"/>
      <c r="Q451" s="1860"/>
      <c r="R451" s="1860"/>
      <c r="S451" s="1860"/>
      <c r="T451" s="1860">
        <v>0</v>
      </c>
      <c r="U451" s="1860"/>
      <c r="V451" s="1860"/>
      <c r="W451" s="1860"/>
      <c r="X451" s="1860"/>
      <c r="Y451" s="1860"/>
      <c r="Z451" s="1860"/>
      <c r="AA451" s="1825">
        <v>0</v>
      </c>
      <c r="AB451" s="1825"/>
      <c r="AC451" s="1825"/>
      <c r="AD451" s="1825"/>
      <c r="AE451" s="1825"/>
      <c r="AF451" s="1825"/>
      <c r="AG451" s="1825"/>
      <c r="AI451" s="18"/>
      <c r="AJ451" s="18"/>
      <c r="AK451" s="18"/>
      <c r="AL451" s="18"/>
      <c r="AM451" s="18"/>
      <c r="AN451" s="18"/>
      <c r="AO451" s="18"/>
      <c r="AP451" s="18"/>
      <c r="AQ451" s="18"/>
    </row>
    <row r="452" spans="1:43" s="584" customFormat="1" ht="24.75" customHeight="1">
      <c r="A452" s="597"/>
      <c r="D452" s="1787" t="s">
        <v>136</v>
      </c>
      <c r="E452" s="1787"/>
      <c r="F452" s="1787"/>
      <c r="G452" s="1787"/>
      <c r="H452" s="1787"/>
      <c r="I452" s="1787"/>
      <c r="J452" s="1787"/>
      <c r="K452" s="1787"/>
      <c r="L452" s="1787"/>
      <c r="M452" s="1860">
        <v>0</v>
      </c>
      <c r="N452" s="1860"/>
      <c r="O452" s="1860"/>
      <c r="P452" s="1860"/>
      <c r="Q452" s="1860"/>
      <c r="R452" s="1860"/>
      <c r="S452" s="1860"/>
      <c r="T452" s="1860">
        <v>0</v>
      </c>
      <c r="U452" s="1860"/>
      <c r="V452" s="1860"/>
      <c r="W452" s="1860"/>
      <c r="X452" s="1860"/>
      <c r="Y452" s="1860"/>
      <c r="Z452" s="1860"/>
      <c r="AA452" s="1825">
        <v>0</v>
      </c>
      <c r="AB452" s="1825"/>
      <c r="AC452" s="1825"/>
      <c r="AD452" s="1825"/>
      <c r="AE452" s="1825"/>
      <c r="AF452" s="1825"/>
      <c r="AG452" s="1825"/>
      <c r="AI452" s="18"/>
      <c r="AJ452" s="18"/>
      <c r="AK452" s="18"/>
      <c r="AL452" s="18"/>
      <c r="AM452" s="18"/>
      <c r="AN452" s="18"/>
      <c r="AO452" s="18"/>
      <c r="AP452" s="18"/>
      <c r="AQ452" s="18"/>
    </row>
    <row r="453" spans="1:43" s="584" customFormat="1" ht="24.75" customHeight="1">
      <c r="A453" s="597"/>
      <c r="D453" s="1787" t="s">
        <v>127</v>
      </c>
      <c r="E453" s="1787"/>
      <c r="F453" s="1787"/>
      <c r="G453" s="1787"/>
      <c r="H453" s="1787"/>
      <c r="I453" s="1787"/>
      <c r="J453" s="1787"/>
      <c r="K453" s="1787"/>
      <c r="L453" s="1787"/>
      <c r="M453" s="1860">
        <v>0</v>
      </c>
      <c r="N453" s="1860"/>
      <c r="O453" s="1860"/>
      <c r="P453" s="1860"/>
      <c r="Q453" s="1860"/>
      <c r="R453" s="1860"/>
      <c r="S453" s="1860"/>
      <c r="T453" s="1860">
        <v>0</v>
      </c>
      <c r="U453" s="1860"/>
      <c r="V453" s="1860"/>
      <c r="W453" s="1860"/>
      <c r="X453" s="1860"/>
      <c r="Y453" s="1860"/>
      <c r="Z453" s="1860"/>
      <c r="AA453" s="1825">
        <v>0</v>
      </c>
      <c r="AB453" s="1825"/>
      <c r="AC453" s="1825"/>
      <c r="AD453" s="1825"/>
      <c r="AE453" s="1825"/>
      <c r="AF453" s="1825"/>
      <c r="AG453" s="1825"/>
      <c r="AI453" s="18"/>
      <c r="AJ453" s="18"/>
      <c r="AK453" s="18"/>
      <c r="AL453" s="18"/>
      <c r="AM453" s="18"/>
      <c r="AN453" s="18"/>
      <c r="AO453" s="18"/>
      <c r="AP453" s="18"/>
      <c r="AQ453" s="18"/>
    </row>
    <row r="454" spans="1:43" s="584" customFormat="1" ht="15" thickBot="1">
      <c r="A454" s="597"/>
      <c r="D454" s="1942" t="s">
        <v>128</v>
      </c>
      <c r="E454" s="1942"/>
      <c r="F454" s="1942"/>
      <c r="G454" s="1942"/>
      <c r="H454" s="1942"/>
      <c r="I454" s="1942"/>
      <c r="J454" s="1942"/>
      <c r="K454" s="1942"/>
      <c r="L454" s="1942"/>
      <c r="M454" s="1912">
        <v>0</v>
      </c>
      <c r="N454" s="1913"/>
      <c r="O454" s="1913"/>
      <c r="P454" s="1913"/>
      <c r="Q454" s="1913"/>
      <c r="R454" s="1913"/>
      <c r="S454" s="1914"/>
      <c r="T454" s="1860">
        <v>0</v>
      </c>
      <c r="U454" s="1860"/>
      <c r="V454" s="1860"/>
      <c r="W454" s="1860"/>
      <c r="X454" s="1860"/>
      <c r="Y454" s="1860"/>
      <c r="Z454" s="1860"/>
      <c r="AA454" s="1825">
        <v>0</v>
      </c>
      <c r="AB454" s="1825"/>
      <c r="AC454" s="1825"/>
      <c r="AD454" s="1825"/>
      <c r="AE454" s="1825"/>
      <c r="AF454" s="1825"/>
      <c r="AG454" s="1825"/>
      <c r="AI454" s="18"/>
      <c r="AJ454" s="18"/>
      <c r="AK454" s="18"/>
      <c r="AL454" s="18"/>
      <c r="AM454" s="18"/>
      <c r="AN454" s="18"/>
      <c r="AO454" s="18"/>
      <c r="AP454" s="18"/>
      <c r="AQ454" s="18"/>
    </row>
    <row r="455" spans="1:43" s="584" customFormat="1" ht="15" thickBot="1">
      <c r="A455" s="597"/>
      <c r="D455" s="1972" t="s">
        <v>137</v>
      </c>
      <c r="E455" s="1972"/>
      <c r="F455" s="1972"/>
      <c r="G455" s="1972"/>
      <c r="H455" s="1972"/>
      <c r="I455" s="1972"/>
      <c r="J455" s="1972"/>
      <c r="K455" s="1972"/>
      <c r="L455" s="1972"/>
      <c r="M455" s="1971">
        <v>0</v>
      </c>
      <c r="N455" s="1971"/>
      <c r="O455" s="1971"/>
      <c r="P455" s="1971"/>
      <c r="Q455" s="1971"/>
      <c r="R455" s="1971"/>
      <c r="S455" s="1971"/>
      <c r="T455" s="1971">
        <v>0</v>
      </c>
      <c r="U455" s="1971"/>
      <c r="V455" s="1971"/>
      <c r="W455" s="1971"/>
      <c r="X455" s="1971"/>
      <c r="Y455" s="1971"/>
      <c r="Z455" s="1971"/>
      <c r="AA455" s="1971">
        <v>0</v>
      </c>
      <c r="AB455" s="1971"/>
      <c r="AC455" s="1971"/>
      <c r="AD455" s="1971"/>
      <c r="AE455" s="1971"/>
      <c r="AF455" s="1971"/>
      <c r="AG455" s="1971"/>
      <c r="AI455" s="18"/>
      <c r="AJ455" s="18"/>
      <c r="AK455" s="18"/>
      <c r="AL455" s="18"/>
      <c r="AM455" s="18"/>
      <c r="AN455" s="18"/>
      <c r="AO455" s="18"/>
      <c r="AP455" s="18"/>
      <c r="AQ455" s="18"/>
    </row>
    <row r="456" spans="1:43" s="584" customFormat="1" ht="15" thickBot="1">
      <c r="A456" s="597"/>
      <c r="D456" s="1972" t="s">
        <v>138</v>
      </c>
      <c r="E456" s="1972"/>
      <c r="F456" s="1972"/>
      <c r="G456" s="1972"/>
      <c r="H456" s="1972"/>
      <c r="I456" s="1972"/>
      <c r="J456" s="1972"/>
      <c r="K456" s="1972"/>
      <c r="L456" s="1972"/>
      <c r="M456" s="1972"/>
      <c r="N456" s="1972"/>
      <c r="O456" s="1972"/>
      <c r="P456" s="1972"/>
      <c r="Q456" s="1972"/>
      <c r="R456" s="1972"/>
      <c r="S456" s="1972"/>
      <c r="T456" s="1972"/>
      <c r="U456" s="1972"/>
      <c r="V456" s="1972"/>
      <c r="W456" s="1972"/>
      <c r="X456" s="1972"/>
      <c r="Y456" s="1972"/>
      <c r="Z456" s="1972"/>
      <c r="AA456" s="1972"/>
      <c r="AB456" s="1972"/>
      <c r="AC456" s="1972"/>
      <c r="AD456" s="1972"/>
      <c r="AE456" s="1972"/>
      <c r="AF456" s="1972"/>
      <c r="AG456" s="1972"/>
      <c r="AI456" s="18"/>
      <c r="AJ456" s="18"/>
      <c r="AK456" s="18"/>
      <c r="AL456" s="18"/>
      <c r="AM456" s="18"/>
      <c r="AN456" s="18"/>
      <c r="AO456" s="18"/>
      <c r="AP456" s="18"/>
      <c r="AQ456" s="18"/>
    </row>
    <row r="457" spans="1:43" s="584" customFormat="1">
      <c r="A457" s="597"/>
      <c r="D457" s="1791" t="s">
        <v>139</v>
      </c>
      <c r="E457" s="1791"/>
      <c r="F457" s="1791"/>
      <c r="G457" s="1791"/>
      <c r="H457" s="1791"/>
      <c r="I457" s="1791"/>
      <c r="J457" s="1791"/>
      <c r="K457" s="1791"/>
      <c r="L457" s="1791"/>
      <c r="M457" s="1837">
        <v>795999</v>
      </c>
      <c r="N457" s="1837"/>
      <c r="O457" s="1837"/>
      <c r="P457" s="1837"/>
      <c r="Q457" s="1837"/>
      <c r="R457" s="1837"/>
      <c r="S457" s="1837"/>
      <c r="T457" s="1837">
        <v>146856</v>
      </c>
      <c r="U457" s="1837"/>
      <c r="V457" s="1837"/>
      <c r="W457" s="1837"/>
      <c r="X457" s="1837"/>
      <c r="Y457" s="1837"/>
      <c r="Z457" s="1837"/>
      <c r="AA457" s="1867">
        <v>942855</v>
      </c>
      <c r="AB457" s="1867"/>
      <c r="AC457" s="1867"/>
      <c r="AD457" s="1867"/>
      <c r="AE457" s="1867"/>
      <c r="AF457" s="1867"/>
      <c r="AG457" s="1867"/>
      <c r="AI457" s="18"/>
      <c r="AJ457" s="18"/>
      <c r="AK457" s="18"/>
      <c r="AL457" s="18"/>
      <c r="AM457" s="18"/>
      <c r="AN457" s="18"/>
      <c r="AO457" s="18"/>
      <c r="AP457" s="18"/>
      <c r="AQ457" s="18"/>
    </row>
    <row r="458" spans="1:43" s="584" customFormat="1">
      <c r="A458" s="597"/>
      <c r="D458" s="1787" t="s">
        <v>1726</v>
      </c>
      <c r="E458" s="1787"/>
      <c r="F458" s="1787"/>
      <c r="G458" s="1787"/>
      <c r="H458" s="1787"/>
      <c r="I458" s="1787"/>
      <c r="J458" s="1787"/>
      <c r="K458" s="1787"/>
      <c r="L458" s="1787"/>
      <c r="M458" s="2283">
        <v>83568</v>
      </c>
      <c r="N458" s="2283"/>
      <c r="O458" s="2283"/>
      <c r="P458" s="2283"/>
      <c r="Q458" s="2283"/>
      <c r="R458" s="2283"/>
      <c r="S458" s="2283"/>
      <c r="T458" s="2283">
        <v>0</v>
      </c>
      <c r="U458" s="2283"/>
      <c r="V458" s="2283"/>
      <c r="W458" s="2283"/>
      <c r="X458" s="2283"/>
      <c r="Y458" s="2283"/>
      <c r="Z458" s="2283"/>
      <c r="AA458" s="1825">
        <v>83568</v>
      </c>
      <c r="AB458" s="1825"/>
      <c r="AC458" s="1825"/>
      <c r="AD458" s="1825"/>
      <c r="AE458" s="1825"/>
      <c r="AF458" s="1825"/>
      <c r="AG458" s="1825"/>
      <c r="AI458" s="18"/>
      <c r="AJ458" s="18"/>
      <c r="AK458" s="18"/>
      <c r="AL458" s="18"/>
      <c r="AM458" s="18"/>
      <c r="AN458" s="18"/>
      <c r="AO458" s="18"/>
      <c r="AP458" s="18"/>
      <c r="AQ458" s="18"/>
    </row>
    <row r="459" spans="1:43" s="584" customFormat="1" ht="31.5" customHeight="1">
      <c r="A459" s="597"/>
      <c r="D459" s="1787" t="s">
        <v>136</v>
      </c>
      <c r="E459" s="1787"/>
      <c r="F459" s="1787"/>
      <c r="G459" s="1787"/>
      <c r="H459" s="1787"/>
      <c r="I459" s="1787"/>
      <c r="J459" s="1787"/>
      <c r="K459" s="1787"/>
      <c r="L459" s="1787"/>
      <c r="M459" s="1860">
        <v>0</v>
      </c>
      <c r="N459" s="1860"/>
      <c r="O459" s="1860"/>
      <c r="P459" s="1860"/>
      <c r="Q459" s="1860"/>
      <c r="R459" s="1860"/>
      <c r="S459" s="1860"/>
      <c r="T459" s="1860">
        <v>0</v>
      </c>
      <c r="U459" s="1860"/>
      <c r="V459" s="1860"/>
      <c r="W459" s="1860"/>
      <c r="X459" s="1860"/>
      <c r="Y459" s="1860"/>
      <c r="Z459" s="1860"/>
      <c r="AA459" s="1825">
        <v>0</v>
      </c>
      <c r="AB459" s="1825"/>
      <c r="AC459" s="1825"/>
      <c r="AD459" s="1825"/>
      <c r="AE459" s="1825"/>
      <c r="AF459" s="1825"/>
      <c r="AG459" s="1825"/>
      <c r="AI459" s="18"/>
      <c r="AJ459" s="18"/>
      <c r="AK459" s="18"/>
      <c r="AL459" s="18"/>
      <c r="AM459" s="18"/>
      <c r="AN459" s="18"/>
      <c r="AO459" s="18"/>
      <c r="AP459" s="18"/>
      <c r="AQ459" s="18"/>
    </row>
    <row r="460" spans="1:43" s="584" customFormat="1" ht="32.25" customHeight="1">
      <c r="A460" s="597"/>
      <c r="D460" s="1787" t="s">
        <v>127</v>
      </c>
      <c r="E460" s="1787"/>
      <c r="F460" s="1787"/>
      <c r="G460" s="1787"/>
      <c r="H460" s="1787"/>
      <c r="I460" s="1787"/>
      <c r="J460" s="1787"/>
      <c r="K460" s="1787"/>
      <c r="L460" s="1787"/>
      <c r="M460" s="1860">
        <v>0</v>
      </c>
      <c r="N460" s="1860"/>
      <c r="O460" s="1860"/>
      <c r="P460" s="1860"/>
      <c r="Q460" s="1860"/>
      <c r="R460" s="1860"/>
      <c r="S460" s="1860"/>
      <c r="T460" s="1860">
        <v>0</v>
      </c>
      <c r="U460" s="1860"/>
      <c r="V460" s="1860"/>
      <c r="W460" s="1860"/>
      <c r="X460" s="1860"/>
      <c r="Y460" s="1860"/>
      <c r="Z460" s="1860"/>
      <c r="AA460" s="1825">
        <v>0</v>
      </c>
      <c r="AB460" s="1825"/>
      <c r="AC460" s="1825"/>
      <c r="AD460" s="1825"/>
      <c r="AE460" s="1825"/>
      <c r="AF460" s="1825"/>
      <c r="AG460" s="1825"/>
      <c r="AI460" s="18"/>
      <c r="AJ460" s="18"/>
      <c r="AK460" s="18"/>
      <c r="AL460" s="18"/>
      <c r="AM460" s="18"/>
      <c r="AN460" s="18"/>
      <c r="AO460" s="18"/>
      <c r="AP460" s="18"/>
      <c r="AQ460" s="18"/>
    </row>
    <row r="461" spans="1:43" s="584" customFormat="1">
      <c r="A461" s="597"/>
      <c r="D461" s="1787" t="s">
        <v>140</v>
      </c>
      <c r="E461" s="1787"/>
      <c r="F461" s="1787"/>
      <c r="G461" s="1787"/>
      <c r="H461" s="1787"/>
      <c r="I461" s="1787"/>
      <c r="J461" s="1787"/>
      <c r="K461" s="1787"/>
      <c r="L461" s="1787"/>
      <c r="M461" s="1773">
        <v>0</v>
      </c>
      <c r="N461" s="1773"/>
      <c r="O461" s="1773"/>
      <c r="P461" s="1773"/>
      <c r="Q461" s="1773"/>
      <c r="R461" s="1773"/>
      <c r="S461" s="1773"/>
      <c r="T461" s="1860">
        <v>0</v>
      </c>
      <c r="U461" s="1860"/>
      <c r="V461" s="1860"/>
      <c r="W461" s="1860"/>
      <c r="X461" s="1860"/>
      <c r="Y461" s="1860"/>
      <c r="Z461" s="1860"/>
      <c r="AA461" s="1825">
        <v>0</v>
      </c>
      <c r="AB461" s="1825"/>
      <c r="AC461" s="1825"/>
      <c r="AD461" s="1825"/>
      <c r="AE461" s="1825"/>
      <c r="AF461" s="1825"/>
      <c r="AG461" s="1825"/>
      <c r="AI461" s="18"/>
      <c r="AJ461" s="18"/>
      <c r="AK461" s="18"/>
      <c r="AL461" s="18"/>
      <c r="AM461" s="18"/>
      <c r="AN461" s="18"/>
      <c r="AO461" s="18"/>
      <c r="AP461" s="18"/>
      <c r="AQ461" s="18"/>
    </row>
    <row r="462" spans="1:43" s="584" customFormat="1">
      <c r="A462" s="597"/>
      <c r="D462" s="1787" t="s">
        <v>141</v>
      </c>
      <c r="E462" s="1787"/>
      <c r="F462" s="1787"/>
      <c r="G462" s="1787"/>
      <c r="H462" s="1787"/>
      <c r="I462" s="1787"/>
      <c r="J462" s="1787"/>
      <c r="K462" s="1787"/>
      <c r="L462" s="1787"/>
      <c r="M462" s="1773">
        <v>34426</v>
      </c>
      <c r="N462" s="1773"/>
      <c r="O462" s="1773"/>
      <c r="P462" s="1773"/>
      <c r="Q462" s="1773"/>
      <c r="R462" s="1773"/>
      <c r="S462" s="1773"/>
      <c r="T462" s="1860">
        <v>0</v>
      </c>
      <c r="U462" s="1860"/>
      <c r="V462" s="1860"/>
      <c r="W462" s="1860"/>
      <c r="X462" s="1860"/>
      <c r="Y462" s="1860"/>
      <c r="Z462" s="1860"/>
      <c r="AA462" s="1825">
        <v>34426</v>
      </c>
      <c r="AB462" s="1825"/>
      <c r="AC462" s="1825"/>
      <c r="AD462" s="1825"/>
      <c r="AE462" s="1825"/>
      <c r="AF462" s="1825"/>
      <c r="AG462" s="1825"/>
      <c r="AI462" s="18"/>
      <c r="AJ462" s="18"/>
      <c r="AK462" s="18"/>
      <c r="AL462" s="18"/>
      <c r="AM462" s="18"/>
      <c r="AN462" s="18"/>
      <c r="AO462" s="18"/>
      <c r="AP462" s="18"/>
      <c r="AQ462" s="18"/>
    </row>
    <row r="463" spans="1:43" s="584" customFormat="1" ht="15" thickBot="1">
      <c r="A463" s="597"/>
      <c r="D463" s="1942" t="s">
        <v>128</v>
      </c>
      <c r="E463" s="1942"/>
      <c r="F463" s="1942"/>
      <c r="G463" s="1942"/>
      <c r="H463" s="1942"/>
      <c r="I463" s="1942"/>
      <c r="J463" s="1942"/>
      <c r="K463" s="1942"/>
      <c r="L463" s="1942"/>
      <c r="M463" s="1881">
        <v>11370</v>
      </c>
      <c r="N463" s="1882"/>
      <c r="O463" s="1882"/>
      <c r="P463" s="1882"/>
      <c r="Q463" s="1882"/>
      <c r="R463" s="1882"/>
      <c r="S463" s="1883"/>
      <c r="T463" s="1860">
        <v>0</v>
      </c>
      <c r="U463" s="1860"/>
      <c r="V463" s="1860"/>
      <c r="W463" s="1860"/>
      <c r="X463" s="1860"/>
      <c r="Y463" s="1860"/>
      <c r="Z463" s="1860"/>
      <c r="AA463" s="1825">
        <v>11370</v>
      </c>
      <c r="AB463" s="1825"/>
      <c r="AC463" s="1825"/>
      <c r="AD463" s="1825"/>
      <c r="AE463" s="1825"/>
      <c r="AF463" s="1825"/>
      <c r="AG463" s="1825"/>
      <c r="AI463" s="18"/>
      <c r="AJ463" s="18"/>
      <c r="AK463" s="18"/>
      <c r="AL463" s="18"/>
      <c r="AM463" s="18"/>
      <c r="AN463" s="18"/>
      <c r="AO463" s="18"/>
      <c r="AP463" s="18"/>
      <c r="AQ463" s="18"/>
    </row>
    <row r="464" spans="1:43" s="584" customFormat="1" ht="15" thickBot="1">
      <c r="A464" s="597"/>
      <c r="D464" s="1941" t="s">
        <v>142</v>
      </c>
      <c r="E464" s="1941"/>
      <c r="F464" s="1941"/>
      <c r="G464" s="1941"/>
      <c r="H464" s="1941"/>
      <c r="I464" s="1941"/>
      <c r="J464" s="1941"/>
      <c r="K464" s="1941"/>
      <c r="L464" s="1941"/>
      <c r="M464" s="1971">
        <v>925363</v>
      </c>
      <c r="N464" s="1971"/>
      <c r="O464" s="1971"/>
      <c r="P464" s="1971"/>
      <c r="Q464" s="1971"/>
      <c r="R464" s="1971"/>
      <c r="S464" s="1971"/>
      <c r="T464" s="1971">
        <v>146856</v>
      </c>
      <c r="U464" s="1971"/>
      <c r="V464" s="1971"/>
      <c r="W464" s="1971"/>
      <c r="X464" s="1971"/>
      <c r="Y464" s="1971"/>
      <c r="Z464" s="1971"/>
      <c r="AA464" s="1971">
        <v>1072219</v>
      </c>
      <c r="AB464" s="1971"/>
      <c r="AC464" s="1971"/>
      <c r="AD464" s="1971"/>
      <c r="AE464" s="1971"/>
      <c r="AF464" s="1971"/>
      <c r="AG464" s="1971"/>
      <c r="AI464" s="18"/>
      <c r="AJ464" s="18"/>
      <c r="AK464" s="18"/>
      <c r="AL464" s="18"/>
      <c r="AM464" s="18"/>
      <c r="AN464" s="18"/>
      <c r="AO464" s="18"/>
      <c r="AP464" s="18"/>
      <c r="AQ464" s="18"/>
    </row>
    <row r="465" spans="1:43" s="773" customFormat="1">
      <c r="A465" s="784"/>
      <c r="AI465" s="786"/>
      <c r="AJ465" s="786"/>
      <c r="AK465" s="786"/>
      <c r="AL465" s="786"/>
      <c r="AM465" s="786"/>
      <c r="AN465" s="786"/>
      <c r="AO465" s="786"/>
      <c r="AP465" s="786"/>
      <c r="AQ465" s="786"/>
    </row>
    <row r="466" spans="1:43" s="584" customFormat="1">
      <c r="A466" s="597"/>
      <c r="D466" s="1809" t="s">
        <v>2896</v>
      </c>
      <c r="E466" s="1963"/>
      <c r="F466" s="1963"/>
      <c r="G466" s="1963"/>
      <c r="H466" s="1963"/>
      <c r="I466" s="1963"/>
      <c r="J466" s="1963"/>
      <c r="K466" s="1963"/>
      <c r="L466" s="1963"/>
      <c r="M466" s="1963"/>
      <c r="N466" s="1963"/>
      <c r="O466" s="1963"/>
      <c r="P466" s="1963"/>
      <c r="Q466" s="1963"/>
      <c r="R466" s="1963"/>
      <c r="S466" s="1963"/>
      <c r="T466" s="1963"/>
      <c r="U466" s="1963"/>
      <c r="V466" s="1963"/>
      <c r="W466" s="1963"/>
      <c r="X466" s="1963"/>
      <c r="Y466" s="1963"/>
      <c r="Z466" s="1963"/>
      <c r="AA466" s="1963"/>
      <c r="AB466" s="1963"/>
      <c r="AC466" s="1963"/>
      <c r="AD466" s="1963"/>
      <c r="AE466" s="1963"/>
      <c r="AF466" s="1963"/>
      <c r="AG466" s="1963"/>
      <c r="AI466" s="18"/>
      <c r="AJ466" s="18"/>
      <c r="AK466" s="18"/>
      <c r="AL466" s="18"/>
      <c r="AM466" s="18"/>
      <c r="AN466" s="18"/>
      <c r="AO466" s="18"/>
      <c r="AP466" s="18"/>
      <c r="AQ466" s="18"/>
    </row>
    <row r="467" spans="1:43" s="584" customFormat="1" ht="15" thickBot="1">
      <c r="A467" s="597"/>
      <c r="D467" s="628"/>
      <c r="E467" s="628"/>
      <c r="F467" s="628"/>
      <c r="G467" s="628"/>
      <c r="H467" s="628"/>
      <c r="I467" s="628"/>
      <c r="J467" s="628"/>
      <c r="K467" s="628"/>
      <c r="L467" s="628"/>
      <c r="M467" s="628"/>
      <c r="N467" s="628"/>
      <c r="O467" s="628"/>
      <c r="P467" s="628"/>
      <c r="Q467" s="628"/>
      <c r="R467" s="628"/>
      <c r="S467" s="628"/>
      <c r="T467" s="628"/>
      <c r="U467" s="628"/>
      <c r="V467" s="628"/>
      <c r="W467" s="628"/>
      <c r="X467" s="628"/>
      <c r="Y467" s="628"/>
      <c r="Z467" s="628"/>
      <c r="AA467" s="628"/>
      <c r="AB467" s="628"/>
      <c r="AC467" s="628"/>
      <c r="AD467" s="628"/>
      <c r="AE467" s="628"/>
      <c r="AF467" s="628"/>
      <c r="AG467" s="628"/>
      <c r="AI467" s="18"/>
      <c r="AJ467" s="18"/>
      <c r="AK467" s="18"/>
      <c r="AL467" s="18"/>
      <c r="AM467" s="18"/>
      <c r="AN467" s="18"/>
      <c r="AO467" s="18"/>
      <c r="AP467" s="18"/>
      <c r="AQ467" s="18"/>
    </row>
    <row r="468" spans="1:43" s="584" customFormat="1" ht="15.75" customHeight="1" thickBot="1">
      <c r="A468" s="597"/>
      <c r="D468" s="1799" t="s">
        <v>122</v>
      </c>
      <c r="E468" s="1800"/>
      <c r="F468" s="1800"/>
      <c r="G468" s="1800"/>
      <c r="H468" s="1800"/>
      <c r="I468" s="1800"/>
      <c r="J468" s="1800"/>
      <c r="K468" s="1800"/>
      <c r="L468" s="1800"/>
      <c r="M468" s="1800"/>
      <c r="N468" s="1995" t="s">
        <v>2</v>
      </c>
      <c r="O468" s="1996"/>
      <c r="P468" s="1996"/>
      <c r="Q468" s="1996"/>
      <c r="R468" s="1996"/>
      <c r="S468" s="1996"/>
      <c r="T468" s="1996"/>
      <c r="U468" s="1996"/>
      <c r="V468" s="1996"/>
      <c r="W468" s="1996"/>
      <c r="X468" s="1995" t="s">
        <v>3</v>
      </c>
      <c r="Y468" s="1996"/>
      <c r="Z468" s="1996"/>
      <c r="AA468" s="1996"/>
      <c r="AB468" s="1996"/>
      <c r="AC468" s="1996"/>
      <c r="AD468" s="1996"/>
      <c r="AE468" s="1996"/>
      <c r="AF468" s="1996"/>
      <c r="AG468" s="1997"/>
      <c r="AI468" s="18"/>
      <c r="AJ468" s="18"/>
      <c r="AK468" s="18"/>
      <c r="AL468" s="18"/>
      <c r="AM468" s="18"/>
      <c r="AN468" s="18"/>
      <c r="AO468" s="18"/>
      <c r="AP468" s="18"/>
      <c r="AQ468" s="18"/>
    </row>
    <row r="469" spans="1:43" s="584" customFormat="1" ht="27" customHeight="1">
      <c r="A469" s="597"/>
      <c r="D469" s="2086" t="s">
        <v>150</v>
      </c>
      <c r="E469" s="2086"/>
      <c r="F469" s="2086"/>
      <c r="G469" s="2086"/>
      <c r="H469" s="2086"/>
      <c r="I469" s="2086"/>
      <c r="J469" s="2086"/>
      <c r="K469" s="2086"/>
      <c r="L469" s="2086"/>
      <c r="M469" s="2086"/>
      <c r="N469" s="2087" t="s">
        <v>1339</v>
      </c>
      <c r="O469" s="2088"/>
      <c r="P469" s="2088"/>
      <c r="Q469" s="2088"/>
      <c r="R469" s="2088"/>
      <c r="S469" s="2088"/>
      <c r="T469" s="2088"/>
      <c r="U469" s="2088"/>
      <c r="V469" s="2088"/>
      <c r="W469" s="2088"/>
      <c r="X469" s="2089" t="s">
        <v>1339</v>
      </c>
      <c r="Y469" s="2088"/>
      <c r="Z469" s="2088"/>
      <c r="AA469" s="2088"/>
      <c r="AB469" s="2088"/>
      <c r="AC469" s="2088"/>
      <c r="AD469" s="2088"/>
      <c r="AE469" s="2088"/>
      <c r="AF469" s="2088"/>
      <c r="AG469" s="2088"/>
      <c r="AI469" s="18"/>
      <c r="AJ469" s="18"/>
      <c r="AK469" s="18"/>
      <c r="AL469" s="18"/>
      <c r="AM469" s="18"/>
      <c r="AN469" s="18"/>
      <c r="AO469" s="18"/>
      <c r="AP469" s="18"/>
      <c r="AQ469" s="18"/>
    </row>
    <row r="470" spans="1:43" s="584" customFormat="1" ht="27" customHeight="1">
      <c r="A470" s="597"/>
      <c r="D470" s="1761" t="s">
        <v>151</v>
      </c>
      <c r="E470" s="1762"/>
      <c r="F470" s="1762"/>
      <c r="G470" s="1762"/>
      <c r="H470" s="1762"/>
      <c r="I470" s="1762"/>
      <c r="J470" s="1762"/>
      <c r="K470" s="1762"/>
      <c r="L470" s="1762"/>
      <c r="M470" s="1763"/>
      <c r="N470" s="1895" t="s">
        <v>1339</v>
      </c>
      <c r="O470" s="1860"/>
      <c r="P470" s="1860"/>
      <c r="Q470" s="1860"/>
      <c r="R470" s="1860"/>
      <c r="S470" s="1860"/>
      <c r="T470" s="1860"/>
      <c r="U470" s="1860"/>
      <c r="V470" s="1860"/>
      <c r="W470" s="1860"/>
      <c r="X470" s="1835" t="s">
        <v>1339</v>
      </c>
      <c r="Y470" s="1773"/>
      <c r="Z470" s="1773"/>
      <c r="AA470" s="1773"/>
      <c r="AB470" s="1773"/>
      <c r="AC470" s="1773"/>
      <c r="AD470" s="1773"/>
      <c r="AE470" s="1773"/>
      <c r="AF470" s="1773"/>
      <c r="AG470" s="1773"/>
      <c r="AI470" s="18"/>
      <c r="AJ470" s="18"/>
      <c r="AK470" s="18"/>
      <c r="AL470" s="18"/>
      <c r="AM470" s="18"/>
      <c r="AN470" s="18"/>
      <c r="AO470" s="18"/>
      <c r="AP470" s="18"/>
      <c r="AQ470" s="18"/>
    </row>
    <row r="471" spans="1:43" s="584" customFormat="1" ht="27" customHeight="1" thickBot="1">
      <c r="A471" s="597"/>
      <c r="D471" s="2072" t="s">
        <v>152</v>
      </c>
      <c r="E471" s="2027"/>
      <c r="F471" s="2027"/>
      <c r="G471" s="2027"/>
      <c r="H471" s="2027"/>
      <c r="I471" s="2027"/>
      <c r="J471" s="2027"/>
      <c r="K471" s="2027"/>
      <c r="L471" s="2027"/>
      <c r="M471" s="2028"/>
      <c r="N471" s="2084" t="s">
        <v>1339</v>
      </c>
      <c r="O471" s="1931"/>
      <c r="P471" s="1931"/>
      <c r="Q471" s="1931"/>
      <c r="R471" s="1931"/>
      <c r="S471" s="1931"/>
      <c r="T471" s="1931"/>
      <c r="U471" s="1931"/>
      <c r="V471" s="1931"/>
      <c r="W471" s="1931"/>
      <c r="X471" s="2085" t="s">
        <v>1339</v>
      </c>
      <c r="Y471" s="1931"/>
      <c r="Z471" s="1931"/>
      <c r="AA471" s="1931"/>
      <c r="AB471" s="1931"/>
      <c r="AC471" s="1931"/>
      <c r="AD471" s="1931"/>
      <c r="AE471" s="1931"/>
      <c r="AF471" s="1931"/>
      <c r="AG471" s="1931"/>
      <c r="AI471" s="18"/>
      <c r="AJ471" s="18"/>
      <c r="AK471" s="18"/>
      <c r="AL471" s="18"/>
      <c r="AM471" s="18"/>
      <c r="AN471" s="18"/>
      <c r="AO471" s="18"/>
      <c r="AP471" s="18"/>
      <c r="AQ471" s="18"/>
    </row>
    <row r="472" spans="1:43" s="773" customFormat="1">
      <c r="A472" s="784"/>
      <c r="AI472" s="786"/>
      <c r="AJ472" s="786"/>
      <c r="AK472" s="786"/>
      <c r="AL472" s="786"/>
      <c r="AM472" s="786"/>
      <c r="AN472" s="786"/>
      <c r="AO472" s="786"/>
      <c r="AP472" s="786"/>
      <c r="AQ472" s="786"/>
    </row>
    <row r="473" spans="1:43" s="584" customFormat="1">
      <c r="A473" s="597"/>
      <c r="D473" s="2083"/>
      <c r="E473" s="2083"/>
      <c r="F473" s="2083"/>
      <c r="G473" s="2083"/>
      <c r="H473" s="2083"/>
      <c r="I473" s="2083"/>
      <c r="J473" s="2083"/>
      <c r="K473" s="2083"/>
      <c r="L473" s="2083"/>
      <c r="M473" s="2083"/>
      <c r="N473" s="2083"/>
      <c r="O473" s="2083"/>
      <c r="P473" s="2083"/>
      <c r="Q473" s="2083"/>
      <c r="R473" s="2083"/>
      <c r="S473" s="2083"/>
      <c r="T473" s="2083"/>
      <c r="U473" s="2083"/>
      <c r="V473" s="2083"/>
      <c r="W473" s="2083"/>
      <c r="X473" s="2083"/>
      <c r="Y473" s="2083"/>
      <c r="Z473" s="2083"/>
      <c r="AA473" s="2083"/>
      <c r="AB473" s="2083"/>
      <c r="AC473" s="2083"/>
      <c r="AD473" s="2083"/>
      <c r="AE473" s="2083"/>
      <c r="AF473" s="2083"/>
      <c r="AG473" s="2083"/>
      <c r="AI473" s="18"/>
      <c r="AJ473" s="18"/>
      <c r="AK473" s="18"/>
      <c r="AL473" s="18"/>
      <c r="AM473" s="18"/>
      <c r="AN473" s="18"/>
      <c r="AO473" s="18"/>
      <c r="AP473" s="18"/>
      <c r="AQ473" s="18"/>
    </row>
    <row r="474" spans="1:43" s="584" customFormat="1">
      <c r="A474" s="597"/>
      <c r="AI474" s="18"/>
      <c r="AJ474" s="18"/>
      <c r="AK474" s="18"/>
      <c r="AL474" s="18"/>
      <c r="AM474" s="18"/>
      <c r="AN474" s="18"/>
      <c r="AO474" s="18"/>
      <c r="AP474" s="18"/>
      <c r="AQ474" s="18"/>
    </row>
    <row r="475" spans="1:43" s="584" customFormat="1">
      <c r="A475" s="597"/>
      <c r="D475" s="582" t="s">
        <v>3000</v>
      </c>
      <c r="AI475" s="18"/>
      <c r="AJ475" s="18"/>
      <c r="AK475" s="18"/>
      <c r="AL475" s="18"/>
      <c r="AM475" s="18"/>
      <c r="AN475" s="18"/>
      <c r="AO475" s="18"/>
      <c r="AP475" s="18"/>
      <c r="AQ475" s="18"/>
    </row>
    <row r="476" spans="1:43" s="584" customFormat="1">
      <c r="A476" s="597"/>
      <c r="AI476" s="18"/>
      <c r="AJ476" s="18"/>
      <c r="AK476" s="18"/>
      <c r="AL476" s="18"/>
      <c r="AM476" s="18"/>
      <c r="AN476" s="18"/>
      <c r="AO476" s="18"/>
      <c r="AP476" s="18"/>
      <c r="AQ476" s="18"/>
    </row>
    <row r="477" spans="1:43" s="584" customFormat="1">
      <c r="A477" s="18"/>
      <c r="D477" s="1963" t="s">
        <v>1369</v>
      </c>
      <c r="E477" s="1963"/>
      <c r="F477" s="1963"/>
      <c r="G477" s="1963"/>
      <c r="H477" s="1963"/>
      <c r="I477" s="1963"/>
      <c r="J477" s="1963"/>
      <c r="K477" s="1963"/>
      <c r="L477" s="1963"/>
      <c r="M477" s="1963"/>
      <c r="N477" s="1963"/>
      <c r="O477" s="1963"/>
      <c r="P477" s="1963"/>
      <c r="Q477" s="1963"/>
      <c r="R477" s="1963"/>
      <c r="S477" s="1963"/>
      <c r="T477" s="1963"/>
      <c r="U477" s="1963"/>
      <c r="V477" s="1963"/>
      <c r="W477" s="1963"/>
      <c r="X477" s="1963"/>
      <c r="Y477" s="1963"/>
      <c r="Z477" s="1963"/>
      <c r="AA477" s="1963"/>
      <c r="AB477" s="1963"/>
      <c r="AC477" s="1963"/>
      <c r="AD477" s="1963"/>
      <c r="AE477" s="1963"/>
      <c r="AF477" s="1963"/>
      <c r="AG477" s="1963"/>
      <c r="AI477" s="18"/>
      <c r="AJ477" s="18"/>
      <c r="AK477" s="18"/>
      <c r="AL477" s="18"/>
      <c r="AM477" s="18"/>
      <c r="AN477" s="18"/>
      <c r="AO477" s="18"/>
      <c r="AP477" s="18"/>
      <c r="AQ477" s="18"/>
    </row>
    <row r="478" spans="1:43" s="584" customFormat="1" ht="15" thickBot="1">
      <c r="A478" s="597"/>
      <c r="AI478" s="18"/>
      <c r="AJ478" s="18"/>
      <c r="AK478" s="18"/>
      <c r="AL478" s="18"/>
      <c r="AM478" s="18"/>
      <c r="AN478" s="18"/>
      <c r="AO478" s="18"/>
      <c r="AP478" s="18"/>
      <c r="AQ478" s="18"/>
    </row>
    <row r="479" spans="1:43" s="584" customFormat="1" ht="31.5" customHeight="1" thickTop="1" thickBot="1">
      <c r="A479" s="597"/>
      <c r="D479" s="1995" t="s">
        <v>131</v>
      </c>
      <c r="E479" s="1996"/>
      <c r="F479" s="1996"/>
      <c r="G479" s="1996"/>
      <c r="H479" s="1996"/>
      <c r="I479" s="1996"/>
      <c r="J479" s="1996"/>
      <c r="K479" s="1996"/>
      <c r="L479" s="1996"/>
      <c r="M479" s="1997"/>
      <c r="N479" s="1995" t="s">
        <v>2</v>
      </c>
      <c r="O479" s="1996"/>
      <c r="P479" s="1996"/>
      <c r="Q479" s="1996"/>
      <c r="R479" s="1996"/>
      <c r="S479" s="1996"/>
      <c r="T479" s="1996"/>
      <c r="U479" s="1996"/>
      <c r="V479" s="1996"/>
      <c r="W479" s="1997"/>
      <c r="X479" s="1995" t="s">
        <v>3</v>
      </c>
      <c r="Y479" s="1996"/>
      <c r="Z479" s="1996"/>
      <c r="AA479" s="1996"/>
      <c r="AB479" s="1996"/>
      <c r="AC479" s="1996"/>
      <c r="AD479" s="1996"/>
      <c r="AE479" s="1996"/>
      <c r="AF479" s="1996"/>
      <c r="AG479" s="1997"/>
      <c r="AI479" s="18"/>
      <c r="AJ479" s="18"/>
      <c r="AK479" s="18"/>
      <c r="AL479" s="591" t="s">
        <v>2</v>
      </c>
      <c r="AM479" s="591" t="s">
        <v>3</v>
      </c>
      <c r="AN479" s="18"/>
      <c r="AO479" s="591" t="s">
        <v>2</v>
      </c>
      <c r="AP479" s="591" t="s">
        <v>3</v>
      </c>
      <c r="AQ479" s="18"/>
    </row>
    <row r="480" spans="1:43" s="584" customFormat="1" ht="23.25" customHeight="1">
      <c r="A480" s="597"/>
      <c r="D480" s="1986" t="s">
        <v>155</v>
      </c>
      <c r="E480" s="1987"/>
      <c r="F480" s="1987"/>
      <c r="G480" s="1987"/>
      <c r="H480" s="1987"/>
      <c r="I480" s="1987"/>
      <c r="J480" s="1987"/>
      <c r="K480" s="1987"/>
      <c r="L480" s="1987"/>
      <c r="M480" s="1988"/>
      <c r="N480" s="2005">
        <v>1088</v>
      </c>
      <c r="O480" s="2006"/>
      <c r="P480" s="2006"/>
      <c r="Q480" s="2006"/>
      <c r="R480" s="2006"/>
      <c r="S480" s="2006"/>
      <c r="T480" s="2006"/>
      <c r="U480" s="2006"/>
      <c r="V480" s="2006"/>
      <c r="W480" s="2006"/>
      <c r="X480" s="2005">
        <v>961</v>
      </c>
      <c r="Y480" s="2006"/>
      <c r="Z480" s="2006"/>
      <c r="AA480" s="2006"/>
      <c r="AB480" s="2006"/>
      <c r="AC480" s="2006"/>
      <c r="AD480" s="2006"/>
      <c r="AE480" s="2006"/>
      <c r="AF480" s="2006"/>
      <c r="AG480" s="2006"/>
      <c r="AI480" s="18"/>
      <c r="AJ480" s="18"/>
      <c r="AK480" s="18"/>
      <c r="AL480" s="612"/>
      <c r="AM480" s="618"/>
      <c r="AN480" s="18"/>
      <c r="AO480" s="630">
        <f>N480+N483-BS!$D$81</f>
        <v>0</v>
      </c>
      <c r="AP480" s="614">
        <f>X480+X483-BS!$G$81</f>
        <v>0</v>
      </c>
      <c r="AQ480" s="18"/>
    </row>
    <row r="481" spans="1:43" s="584" customFormat="1" ht="23.25" customHeight="1">
      <c r="A481" s="597"/>
      <c r="D481" s="1761" t="s">
        <v>1727</v>
      </c>
      <c r="E481" s="1762"/>
      <c r="F481" s="1762"/>
      <c r="G481" s="1762"/>
      <c r="H481" s="1762"/>
      <c r="I481" s="1762"/>
      <c r="J481" s="1762"/>
      <c r="K481" s="1762"/>
      <c r="L481" s="1762"/>
      <c r="M481" s="1763"/>
      <c r="N481" s="1914">
        <v>298825</v>
      </c>
      <c r="O481" s="1860"/>
      <c r="P481" s="1860"/>
      <c r="Q481" s="1860"/>
      <c r="R481" s="1860"/>
      <c r="S481" s="1860"/>
      <c r="T481" s="1860"/>
      <c r="U481" s="1860"/>
      <c r="V481" s="1860"/>
      <c r="W481" s="1860"/>
      <c r="X481" s="1914">
        <v>767349</v>
      </c>
      <c r="Y481" s="1860"/>
      <c r="Z481" s="1860"/>
      <c r="AA481" s="1860"/>
      <c r="AB481" s="1860"/>
      <c r="AC481" s="1860"/>
      <c r="AD481" s="1860"/>
      <c r="AE481" s="1860"/>
      <c r="AF481" s="1860"/>
      <c r="AG481" s="1860"/>
      <c r="AI481" s="18"/>
      <c r="AJ481" s="18"/>
      <c r="AK481" s="18"/>
      <c r="AL481" s="606"/>
      <c r="AM481" s="619"/>
      <c r="AN481" s="18"/>
      <c r="AO481" s="621">
        <f>N481-BS!$D$82</f>
        <v>0</v>
      </c>
      <c r="AP481" s="608">
        <f>X481-BS!$G$82</f>
        <v>0</v>
      </c>
      <c r="AQ481" s="18"/>
    </row>
    <row r="482" spans="1:43" s="584" customFormat="1" ht="23.25" customHeight="1">
      <c r="A482" s="597"/>
      <c r="D482" s="2082" t="s">
        <v>1728</v>
      </c>
      <c r="E482" s="1762"/>
      <c r="F482" s="1762"/>
      <c r="G482" s="1762"/>
      <c r="H482" s="1762"/>
      <c r="I482" s="1762"/>
      <c r="J482" s="1762"/>
      <c r="K482" s="1762"/>
      <c r="L482" s="1762"/>
      <c r="M482" s="1763"/>
      <c r="N482" s="1914">
        <v>0</v>
      </c>
      <c r="O482" s="1860"/>
      <c r="P482" s="1860"/>
      <c r="Q482" s="1860"/>
      <c r="R482" s="1860"/>
      <c r="S482" s="1860"/>
      <c r="T482" s="1860"/>
      <c r="U482" s="1860"/>
      <c r="V482" s="1860"/>
      <c r="W482" s="1860"/>
      <c r="X482" s="1914">
        <v>0</v>
      </c>
      <c r="Y482" s="1860"/>
      <c r="Z482" s="1860"/>
      <c r="AA482" s="1860"/>
      <c r="AB482" s="1860"/>
      <c r="AC482" s="1860"/>
      <c r="AD482" s="1860"/>
      <c r="AE482" s="1860"/>
      <c r="AF482" s="1860"/>
      <c r="AG482" s="1860"/>
      <c r="AI482" s="18"/>
      <c r="AJ482" s="18"/>
      <c r="AK482" s="18"/>
      <c r="AL482" s="621"/>
      <c r="AM482" s="608"/>
      <c r="AN482" s="18"/>
      <c r="AO482" s="621">
        <f>N482-BS!$D$67</f>
        <v>0</v>
      </c>
      <c r="AP482" s="608">
        <f>X482-BS!$G$67</f>
        <v>0</v>
      </c>
      <c r="AQ482" s="18"/>
    </row>
    <row r="483" spans="1:43" s="584" customFormat="1" ht="23.25" customHeight="1">
      <c r="A483" s="597"/>
      <c r="D483" s="1761" t="s">
        <v>158</v>
      </c>
      <c r="E483" s="1762"/>
      <c r="F483" s="1762"/>
      <c r="G483" s="1762"/>
      <c r="H483" s="1762"/>
      <c r="I483" s="1762"/>
      <c r="J483" s="1762"/>
      <c r="K483" s="1762"/>
      <c r="L483" s="1762"/>
      <c r="M483" s="1763"/>
      <c r="N483" s="1914">
        <v>0</v>
      </c>
      <c r="O483" s="1860"/>
      <c r="P483" s="1860"/>
      <c r="Q483" s="1860"/>
      <c r="R483" s="1860"/>
      <c r="S483" s="1860"/>
      <c r="T483" s="1860"/>
      <c r="U483" s="1860"/>
      <c r="V483" s="1860"/>
      <c r="W483" s="1860"/>
      <c r="X483" s="1914">
        <v>0</v>
      </c>
      <c r="Y483" s="1860"/>
      <c r="Z483" s="1860"/>
      <c r="AA483" s="1860"/>
      <c r="AB483" s="1860"/>
      <c r="AC483" s="1860"/>
      <c r="AD483" s="1860"/>
      <c r="AE483" s="1860"/>
      <c r="AF483" s="1860"/>
      <c r="AG483" s="1860"/>
      <c r="AI483" s="18"/>
      <c r="AJ483" s="18"/>
      <c r="AK483" s="18"/>
      <c r="AL483" s="606"/>
      <c r="AM483" s="619"/>
      <c r="AN483" s="18"/>
      <c r="AO483" s="621">
        <f>AO480</f>
        <v>0</v>
      </c>
      <c r="AP483" s="608">
        <f>AP480</f>
        <v>0</v>
      </c>
      <c r="AQ483" s="18"/>
    </row>
    <row r="484" spans="1:43" s="584" customFormat="1" ht="23.25" customHeight="1" thickBot="1">
      <c r="A484" s="597"/>
      <c r="D484" s="1899" t="s">
        <v>14</v>
      </c>
      <c r="E484" s="1900"/>
      <c r="F484" s="1900"/>
      <c r="G484" s="1900"/>
      <c r="H484" s="1900"/>
      <c r="I484" s="1900"/>
      <c r="J484" s="1900"/>
      <c r="K484" s="1900"/>
      <c r="L484" s="1900"/>
      <c r="M484" s="1901"/>
      <c r="N484" s="1970">
        <f>SUM(N480:W483)</f>
        <v>299913</v>
      </c>
      <c r="O484" s="1971"/>
      <c r="P484" s="1971"/>
      <c r="Q484" s="1971"/>
      <c r="R484" s="1971"/>
      <c r="S484" s="1971"/>
      <c r="T484" s="1971"/>
      <c r="U484" s="1971"/>
      <c r="V484" s="1971"/>
      <c r="W484" s="1971"/>
      <c r="X484" s="1970">
        <f>SUM(X480:AG483)</f>
        <v>768310</v>
      </c>
      <c r="Y484" s="1971"/>
      <c r="Z484" s="1971"/>
      <c r="AA484" s="1971"/>
      <c r="AB484" s="1971"/>
      <c r="AC484" s="1971"/>
      <c r="AD484" s="1971"/>
      <c r="AE484" s="1971"/>
      <c r="AF484" s="1971"/>
      <c r="AG484" s="1971"/>
      <c r="AI484" s="18"/>
      <c r="AJ484" s="18"/>
      <c r="AK484" s="18"/>
      <c r="AL484" s="609">
        <f>SUM(N480:W483)-N484</f>
        <v>0</v>
      </c>
      <c r="AM484" s="611">
        <f>SUM(X480:AG483)-X484</f>
        <v>0</v>
      </c>
      <c r="AN484" s="18"/>
      <c r="AO484" s="609">
        <f>N484-SUM(BS!$D$81:$D$82)</f>
        <v>0</v>
      </c>
      <c r="AP484" s="611">
        <f>X484-SUM(BS!$G$81:$G$82)</f>
        <v>0</v>
      </c>
      <c r="AQ484" s="18"/>
    </row>
    <row r="485" spans="1:43" s="584" customFormat="1">
      <c r="A485" s="597"/>
      <c r="AI485" s="18"/>
      <c r="AJ485" s="18"/>
      <c r="AK485" s="18"/>
      <c r="AL485" s="18"/>
      <c r="AM485" s="18"/>
      <c r="AN485" s="18"/>
      <c r="AO485" s="18"/>
      <c r="AP485" s="18"/>
      <c r="AQ485" s="18"/>
    </row>
    <row r="486" spans="1:43" s="584" customFormat="1" ht="39.75" customHeight="1">
      <c r="A486" s="597"/>
      <c r="D486" s="2083"/>
      <c r="E486" s="2083"/>
      <c r="F486" s="2083"/>
      <c r="G486" s="2083"/>
      <c r="H486" s="2083"/>
      <c r="I486" s="2083"/>
      <c r="J486" s="2083"/>
      <c r="K486" s="2083"/>
      <c r="L486" s="2083"/>
      <c r="M486" s="2083"/>
      <c r="N486" s="2083"/>
      <c r="O486" s="2083"/>
      <c r="P486" s="2083"/>
      <c r="Q486" s="2083"/>
      <c r="R486" s="2083"/>
      <c r="S486" s="2083"/>
      <c r="T486" s="2083"/>
      <c r="U486" s="2083"/>
      <c r="V486" s="2083"/>
      <c r="W486" s="2083"/>
      <c r="X486" s="2083"/>
      <c r="Y486" s="2083"/>
      <c r="Z486" s="2083"/>
      <c r="AA486" s="2083"/>
      <c r="AB486" s="2083"/>
      <c r="AC486" s="2083"/>
      <c r="AD486" s="2083"/>
      <c r="AE486" s="2083"/>
      <c r="AF486" s="2083"/>
      <c r="AG486" s="2083"/>
      <c r="AI486" s="18"/>
      <c r="AJ486" s="18"/>
      <c r="AK486" s="18"/>
      <c r="AL486" s="18"/>
      <c r="AM486" s="18"/>
      <c r="AN486" s="18"/>
      <c r="AO486" s="18"/>
      <c r="AP486" s="18"/>
      <c r="AQ486" s="18"/>
    </row>
    <row r="487" spans="1:43" s="584" customFormat="1">
      <c r="A487" s="597"/>
      <c r="AI487" s="18"/>
      <c r="AJ487" s="18"/>
      <c r="AK487" s="18"/>
      <c r="AL487" s="18"/>
      <c r="AM487" s="18"/>
      <c r="AN487" s="18"/>
      <c r="AO487" s="18"/>
      <c r="AP487" s="18"/>
      <c r="AQ487" s="18"/>
    </row>
    <row r="488" spans="1:43" ht="14.25" customHeight="1">
      <c r="D488" s="582" t="s">
        <v>3001</v>
      </c>
    </row>
    <row r="490" spans="1:43" ht="14.25" customHeight="1">
      <c r="D490" s="1963" t="s">
        <v>1370</v>
      </c>
      <c r="E490" s="1963"/>
      <c r="F490" s="1963"/>
      <c r="G490" s="1963"/>
      <c r="H490" s="1963"/>
      <c r="I490" s="1963"/>
      <c r="J490" s="1963"/>
      <c r="K490" s="1963"/>
      <c r="L490" s="1963"/>
      <c r="M490" s="1963"/>
      <c r="N490" s="1963"/>
      <c r="O490" s="1963"/>
      <c r="P490" s="1963"/>
      <c r="Q490" s="1963"/>
      <c r="R490" s="1963"/>
      <c r="S490" s="1963"/>
      <c r="T490" s="1963"/>
      <c r="U490" s="1963"/>
      <c r="V490" s="1963"/>
      <c r="W490" s="1963"/>
      <c r="X490" s="1963"/>
      <c r="Y490" s="1963"/>
      <c r="Z490" s="1963"/>
      <c r="AA490" s="1963"/>
      <c r="AB490" s="1963"/>
      <c r="AC490" s="1963"/>
      <c r="AD490" s="1963"/>
      <c r="AE490" s="1963"/>
      <c r="AF490" s="1963"/>
      <c r="AG490" s="1963"/>
    </row>
    <row r="491" spans="1:43" ht="14.25" customHeight="1" thickBot="1"/>
    <row r="492" spans="1:43" ht="28.5" customHeight="1" thickTop="1" thickBot="1">
      <c r="D492" s="1995" t="s">
        <v>178</v>
      </c>
      <c r="E492" s="1996"/>
      <c r="F492" s="1996"/>
      <c r="G492" s="1996"/>
      <c r="H492" s="1996"/>
      <c r="I492" s="1996"/>
      <c r="J492" s="1996"/>
      <c r="K492" s="1996"/>
      <c r="L492" s="1996"/>
      <c r="M492" s="1996"/>
      <c r="N492" s="1996"/>
      <c r="O492" s="1997"/>
      <c r="P492" s="1995" t="s">
        <v>2</v>
      </c>
      <c r="Q492" s="1996"/>
      <c r="R492" s="1996"/>
      <c r="S492" s="1996"/>
      <c r="T492" s="1996"/>
      <c r="U492" s="1996"/>
      <c r="V492" s="1996"/>
      <c r="W492" s="1996"/>
      <c r="X492" s="1997"/>
      <c r="Y492" s="1995" t="s">
        <v>3</v>
      </c>
      <c r="Z492" s="1996"/>
      <c r="AA492" s="1996"/>
      <c r="AB492" s="1996"/>
      <c r="AC492" s="1996"/>
      <c r="AD492" s="1996"/>
      <c r="AE492" s="1996"/>
      <c r="AF492" s="1996"/>
      <c r="AG492" s="1997"/>
      <c r="AL492" s="591" t="s">
        <v>2</v>
      </c>
      <c r="AM492" s="591" t="s">
        <v>3</v>
      </c>
      <c r="AO492" s="591" t="s">
        <v>2</v>
      </c>
      <c r="AP492" s="591" t="s">
        <v>3</v>
      </c>
    </row>
    <row r="493" spans="1:43" ht="16.5" customHeight="1" thickBot="1">
      <c r="D493" s="2014" t="s">
        <v>179</v>
      </c>
      <c r="E493" s="2015"/>
      <c r="F493" s="2015"/>
      <c r="G493" s="2015"/>
      <c r="H493" s="2015"/>
      <c r="I493" s="2015"/>
      <c r="J493" s="2015"/>
      <c r="K493" s="2015"/>
      <c r="L493" s="2015"/>
      <c r="M493" s="2015"/>
      <c r="N493" s="2015"/>
      <c r="O493" s="2016"/>
      <c r="P493" s="2069">
        <f>SUM(P494:X495)</f>
        <v>0</v>
      </c>
      <c r="Q493" s="2070"/>
      <c r="R493" s="2070"/>
      <c r="S493" s="2070"/>
      <c r="T493" s="2070"/>
      <c r="U493" s="2070"/>
      <c r="V493" s="2070"/>
      <c r="W493" s="2070"/>
      <c r="X493" s="2071"/>
      <c r="Y493" s="2069">
        <f>SUM(Y494:AG495)</f>
        <v>0</v>
      </c>
      <c r="Z493" s="2070"/>
      <c r="AA493" s="2070"/>
      <c r="AB493" s="2070"/>
      <c r="AC493" s="2070"/>
      <c r="AD493" s="2070"/>
      <c r="AE493" s="2070"/>
      <c r="AF493" s="2070"/>
      <c r="AG493" s="2071"/>
      <c r="AL493" s="630">
        <f>SUM(P494:X495)-P493</f>
        <v>0</v>
      </c>
      <c r="AM493" s="614">
        <f>SUM(Y494:AG495)-Y493</f>
        <v>0</v>
      </c>
      <c r="AO493" s="630">
        <f>P493-BS!$D$84</f>
        <v>0</v>
      </c>
      <c r="AP493" s="614">
        <f>Y493-BS!$G$84</f>
        <v>0</v>
      </c>
    </row>
    <row r="494" spans="1:43" ht="16.5" customHeight="1">
      <c r="D494" s="1960"/>
      <c r="E494" s="1961"/>
      <c r="F494" s="1961"/>
      <c r="G494" s="1961"/>
      <c r="H494" s="1961"/>
      <c r="I494" s="1961"/>
      <c r="J494" s="1961"/>
      <c r="K494" s="1961"/>
      <c r="L494" s="1961"/>
      <c r="M494" s="1961"/>
      <c r="N494" s="1961"/>
      <c r="O494" s="1962"/>
      <c r="P494" s="2051"/>
      <c r="Q494" s="2052"/>
      <c r="R494" s="2052"/>
      <c r="S494" s="2052"/>
      <c r="T494" s="2052"/>
      <c r="U494" s="2052"/>
      <c r="V494" s="2052"/>
      <c r="W494" s="2052"/>
      <c r="X494" s="2053"/>
      <c r="Y494" s="2051"/>
      <c r="Z494" s="2052"/>
      <c r="AA494" s="2052"/>
      <c r="AB494" s="2052"/>
      <c r="AC494" s="2052"/>
      <c r="AD494" s="2052"/>
      <c r="AE494" s="2052"/>
      <c r="AF494" s="2052"/>
      <c r="AG494" s="2053"/>
      <c r="AL494" s="606"/>
      <c r="AM494" s="619"/>
      <c r="AO494" s="606"/>
      <c r="AP494" s="619"/>
    </row>
    <row r="495" spans="1:43" ht="16.5" customHeight="1" thickBot="1">
      <c r="D495" s="2072"/>
      <c r="E495" s="2027"/>
      <c r="F495" s="2027"/>
      <c r="G495" s="2027"/>
      <c r="H495" s="2027"/>
      <c r="I495" s="2027"/>
      <c r="J495" s="2027"/>
      <c r="K495" s="2027"/>
      <c r="L495" s="2027"/>
      <c r="M495" s="2027"/>
      <c r="N495" s="2027"/>
      <c r="O495" s="2028"/>
      <c r="P495" s="2073"/>
      <c r="Q495" s="2074"/>
      <c r="R495" s="2074"/>
      <c r="S495" s="2074"/>
      <c r="T495" s="2074"/>
      <c r="U495" s="2074"/>
      <c r="V495" s="2074"/>
      <c r="W495" s="2074"/>
      <c r="X495" s="2075"/>
      <c r="Y495" s="2073"/>
      <c r="Z495" s="2074"/>
      <c r="AA495" s="2074"/>
      <c r="AB495" s="2074"/>
      <c r="AC495" s="2074"/>
      <c r="AD495" s="2074"/>
      <c r="AE495" s="2074"/>
      <c r="AF495" s="2074"/>
      <c r="AG495" s="2075"/>
      <c r="AL495" s="606"/>
      <c r="AM495" s="619"/>
      <c r="AO495" s="606"/>
      <c r="AP495" s="619"/>
    </row>
    <row r="496" spans="1:43" ht="16.5" customHeight="1" thickBot="1">
      <c r="D496" s="2014" t="s">
        <v>180</v>
      </c>
      <c r="E496" s="2015"/>
      <c r="F496" s="2015"/>
      <c r="G496" s="2015"/>
      <c r="H496" s="2015"/>
      <c r="I496" s="2015"/>
      <c r="J496" s="2015"/>
      <c r="K496" s="2015"/>
      <c r="L496" s="2015"/>
      <c r="M496" s="2015"/>
      <c r="N496" s="2015"/>
      <c r="O496" s="2016"/>
      <c r="P496" s="2069">
        <f>SUM(P497:X498)</f>
        <v>6058</v>
      </c>
      <c r="Q496" s="2070"/>
      <c r="R496" s="2070"/>
      <c r="S496" s="2070"/>
      <c r="T496" s="2070"/>
      <c r="U496" s="2070"/>
      <c r="V496" s="2070"/>
      <c r="W496" s="2070"/>
      <c r="X496" s="2071"/>
      <c r="Y496" s="2069">
        <f>SUM(Y497:AG498)</f>
        <v>4637</v>
      </c>
      <c r="Z496" s="2070"/>
      <c r="AA496" s="2070"/>
      <c r="AB496" s="2070"/>
      <c r="AC496" s="2070"/>
      <c r="AD496" s="2070"/>
      <c r="AE496" s="2070"/>
      <c r="AF496" s="2070"/>
      <c r="AG496" s="2071"/>
      <c r="AL496" s="621">
        <f>SUM(P497:X498)-P496</f>
        <v>0</v>
      </c>
      <c r="AM496" s="608">
        <f>SUM(Y497:AG498)-Y496</f>
        <v>0</v>
      </c>
      <c r="AO496" s="621">
        <f>P496-BS!$D$85</f>
        <v>0</v>
      </c>
      <c r="AP496" s="608">
        <f>Y496-BS!$G$85</f>
        <v>0</v>
      </c>
    </row>
    <row r="497" spans="1:42" ht="16.5" customHeight="1">
      <c r="D497" s="2021" t="s">
        <v>2867</v>
      </c>
      <c r="E497" s="1961"/>
      <c r="F497" s="1961"/>
      <c r="G497" s="1961"/>
      <c r="H497" s="1961"/>
      <c r="I497" s="1961"/>
      <c r="J497" s="1961"/>
      <c r="K497" s="1961"/>
      <c r="L497" s="1961"/>
      <c r="M497" s="1961"/>
      <c r="N497" s="1961"/>
      <c r="O497" s="1962"/>
      <c r="P497" s="2076">
        <v>3860</v>
      </c>
      <c r="Q497" s="2077"/>
      <c r="R497" s="2077"/>
      <c r="S497" s="2077"/>
      <c r="T497" s="2077"/>
      <c r="U497" s="2077"/>
      <c r="V497" s="2077"/>
      <c r="W497" s="2077"/>
      <c r="X497" s="2078"/>
      <c r="Y497" s="2076">
        <v>3526</v>
      </c>
      <c r="Z497" s="2077"/>
      <c r="AA497" s="2077"/>
      <c r="AB497" s="2077"/>
      <c r="AC497" s="2077"/>
      <c r="AD497" s="2077"/>
      <c r="AE497" s="2077"/>
      <c r="AF497" s="2077"/>
      <c r="AG497" s="2078"/>
      <c r="AL497" s="606"/>
      <c r="AM497" s="619"/>
      <c r="AO497" s="606"/>
      <c r="AP497" s="619"/>
    </row>
    <row r="498" spans="1:42" ht="16.5" customHeight="1" thickBot="1">
      <c r="D498" s="2011" t="s">
        <v>2897</v>
      </c>
      <c r="E498" s="2027"/>
      <c r="F498" s="2027"/>
      <c r="G498" s="2027"/>
      <c r="H498" s="2027"/>
      <c r="I498" s="2027"/>
      <c r="J498" s="2027"/>
      <c r="K498" s="2027"/>
      <c r="L498" s="2027"/>
      <c r="M498" s="2027"/>
      <c r="N498" s="2027"/>
      <c r="O498" s="2028"/>
      <c r="P498" s="2079">
        <f>694+1504</f>
        <v>2198</v>
      </c>
      <c r="Q498" s="2080"/>
      <c r="R498" s="2080"/>
      <c r="S498" s="2080"/>
      <c r="T498" s="2080"/>
      <c r="U498" s="2080"/>
      <c r="V498" s="2080"/>
      <c r="W498" s="2080"/>
      <c r="X498" s="2081"/>
      <c r="Y498" s="2079">
        <v>1111</v>
      </c>
      <c r="Z498" s="2080"/>
      <c r="AA498" s="2080"/>
      <c r="AB498" s="2080"/>
      <c r="AC498" s="2080"/>
      <c r="AD498" s="2080"/>
      <c r="AE498" s="2080"/>
      <c r="AF498" s="2080"/>
      <c r="AG498" s="2081"/>
      <c r="AL498" s="606"/>
      <c r="AM498" s="619"/>
      <c r="AO498" s="606"/>
      <c r="AP498" s="619"/>
    </row>
    <row r="499" spans="1:42" ht="16.5" customHeight="1" thickBot="1">
      <c r="D499" s="2014" t="s">
        <v>181</v>
      </c>
      <c r="E499" s="2015"/>
      <c r="F499" s="2015"/>
      <c r="G499" s="2015"/>
      <c r="H499" s="2015"/>
      <c r="I499" s="2015"/>
      <c r="J499" s="2015"/>
      <c r="K499" s="2015"/>
      <c r="L499" s="2015"/>
      <c r="M499" s="2015"/>
      <c r="N499" s="2015"/>
      <c r="O499" s="2016"/>
      <c r="P499" s="2069">
        <f>SUM(P500:X501)</f>
        <v>0</v>
      </c>
      <c r="Q499" s="2070"/>
      <c r="R499" s="2070"/>
      <c r="S499" s="2070"/>
      <c r="T499" s="2070"/>
      <c r="U499" s="2070"/>
      <c r="V499" s="2070"/>
      <c r="W499" s="2070"/>
      <c r="X499" s="2071"/>
      <c r="Y499" s="2069">
        <f>SUM(Y500:AG501)</f>
        <v>0</v>
      </c>
      <c r="Z499" s="2070"/>
      <c r="AA499" s="2070"/>
      <c r="AB499" s="2070"/>
      <c r="AC499" s="2070"/>
      <c r="AD499" s="2070"/>
      <c r="AE499" s="2070"/>
      <c r="AF499" s="2070"/>
      <c r="AG499" s="2071"/>
      <c r="AL499" s="621">
        <f>SUM(P500:X501)-P499</f>
        <v>0</v>
      </c>
      <c r="AM499" s="608">
        <f>SUM(Y500:AG501)-Y499</f>
        <v>0</v>
      </c>
      <c r="AO499" s="621">
        <f>P499-BS!$D$86</f>
        <v>0</v>
      </c>
      <c r="AP499" s="608">
        <f>Y499-BS!$G$86</f>
        <v>0</v>
      </c>
    </row>
    <row r="500" spans="1:42" ht="16.5" customHeight="1">
      <c r="D500" s="1960"/>
      <c r="E500" s="1961"/>
      <c r="F500" s="1961"/>
      <c r="G500" s="1961"/>
      <c r="H500" s="1961"/>
      <c r="I500" s="1961"/>
      <c r="J500" s="1961"/>
      <c r="K500" s="1961"/>
      <c r="L500" s="1961"/>
      <c r="M500" s="1961"/>
      <c r="N500" s="1961"/>
      <c r="O500" s="1962"/>
      <c r="P500" s="2051"/>
      <c r="Q500" s="2052"/>
      <c r="R500" s="2052"/>
      <c r="S500" s="2052"/>
      <c r="T500" s="2052"/>
      <c r="U500" s="2052"/>
      <c r="V500" s="2052"/>
      <c r="W500" s="2052"/>
      <c r="X500" s="2053"/>
      <c r="Y500" s="2051"/>
      <c r="Z500" s="2052"/>
      <c r="AA500" s="2052"/>
      <c r="AB500" s="2052"/>
      <c r="AC500" s="2052"/>
      <c r="AD500" s="2052"/>
      <c r="AE500" s="2052"/>
      <c r="AF500" s="2052"/>
      <c r="AG500" s="2053"/>
      <c r="AL500" s="606"/>
      <c r="AM500" s="619"/>
      <c r="AO500" s="606"/>
      <c r="AP500" s="619"/>
    </row>
    <row r="501" spans="1:42" ht="16.5" customHeight="1" thickBot="1">
      <c r="D501" s="2072"/>
      <c r="E501" s="2027"/>
      <c r="F501" s="2027"/>
      <c r="G501" s="2027"/>
      <c r="H501" s="2027"/>
      <c r="I501" s="2027"/>
      <c r="J501" s="2027"/>
      <c r="K501" s="2027"/>
      <c r="L501" s="2027"/>
      <c r="M501" s="2027"/>
      <c r="N501" s="2027"/>
      <c r="O501" s="2028"/>
      <c r="P501" s="2073"/>
      <c r="Q501" s="2074"/>
      <c r="R501" s="2074"/>
      <c r="S501" s="2074"/>
      <c r="T501" s="2074"/>
      <c r="U501" s="2074"/>
      <c r="V501" s="2074"/>
      <c r="W501" s="2074"/>
      <c r="X501" s="2075"/>
      <c r="Y501" s="2073"/>
      <c r="Z501" s="2074"/>
      <c r="AA501" s="2074"/>
      <c r="AB501" s="2074"/>
      <c r="AC501" s="2074"/>
      <c r="AD501" s="2074"/>
      <c r="AE501" s="2074"/>
      <c r="AF501" s="2074"/>
      <c r="AG501" s="2075"/>
      <c r="AL501" s="606"/>
      <c r="AM501" s="619"/>
      <c r="AO501" s="606"/>
      <c r="AP501" s="619"/>
    </row>
    <row r="502" spans="1:42" ht="16.5" customHeight="1" thickBot="1">
      <c r="D502" s="2014" t="s">
        <v>182</v>
      </c>
      <c r="E502" s="2015"/>
      <c r="F502" s="2015"/>
      <c r="G502" s="2015"/>
      <c r="H502" s="2015"/>
      <c r="I502" s="2015"/>
      <c r="J502" s="2015"/>
      <c r="K502" s="2015"/>
      <c r="L502" s="2015"/>
      <c r="M502" s="2015"/>
      <c r="N502" s="2015"/>
      <c r="O502" s="2016"/>
      <c r="P502" s="2069">
        <f>SUM(P503:X504)</f>
        <v>0</v>
      </c>
      <c r="Q502" s="2070"/>
      <c r="R502" s="2070"/>
      <c r="S502" s="2070"/>
      <c r="T502" s="2070"/>
      <c r="U502" s="2070"/>
      <c r="V502" s="2070"/>
      <c r="W502" s="2070"/>
      <c r="X502" s="2071"/>
      <c r="Y502" s="2069">
        <f>SUM(Y503:AG504)</f>
        <v>0</v>
      </c>
      <c r="Z502" s="2070"/>
      <c r="AA502" s="2070"/>
      <c r="AB502" s="2070"/>
      <c r="AC502" s="2070"/>
      <c r="AD502" s="2070"/>
      <c r="AE502" s="2070"/>
      <c r="AF502" s="2070"/>
      <c r="AG502" s="2071"/>
      <c r="AL502" s="621">
        <f>SUM(P503:X504)-P502</f>
        <v>0</v>
      </c>
      <c r="AM502" s="608">
        <f>SUM(Y503:AG504)-Y502</f>
        <v>0</v>
      </c>
      <c r="AO502" s="621">
        <f>P502-BS!$D$87</f>
        <v>0</v>
      </c>
      <c r="AP502" s="608">
        <f>Y502-BS!$G$87</f>
        <v>0</v>
      </c>
    </row>
    <row r="503" spans="1:42" ht="16.5" customHeight="1">
      <c r="D503" s="1960"/>
      <c r="E503" s="1961"/>
      <c r="F503" s="1961"/>
      <c r="G503" s="1961"/>
      <c r="H503" s="1961"/>
      <c r="I503" s="1961"/>
      <c r="J503" s="1961"/>
      <c r="K503" s="1961"/>
      <c r="L503" s="1961"/>
      <c r="M503" s="1961"/>
      <c r="N503" s="1961"/>
      <c r="O503" s="1962"/>
      <c r="P503" s="2051"/>
      <c r="Q503" s="2052"/>
      <c r="R503" s="2052"/>
      <c r="S503" s="2052"/>
      <c r="T503" s="2052"/>
      <c r="U503" s="2052"/>
      <c r="V503" s="2052"/>
      <c r="W503" s="2052"/>
      <c r="X503" s="2053"/>
      <c r="Y503" s="2051"/>
      <c r="Z503" s="2052"/>
      <c r="AA503" s="2052"/>
      <c r="AB503" s="2052"/>
      <c r="AC503" s="2052"/>
      <c r="AD503" s="2052"/>
      <c r="AE503" s="2052"/>
      <c r="AF503" s="2052"/>
      <c r="AG503" s="2053"/>
      <c r="AL503" s="606"/>
      <c r="AM503" s="619"/>
      <c r="AO503" s="606"/>
      <c r="AP503" s="619"/>
    </row>
    <row r="504" spans="1:42" ht="16.5" customHeight="1" thickBot="1">
      <c r="D504" s="2054"/>
      <c r="E504" s="2054"/>
      <c r="F504" s="2054"/>
      <c r="G504" s="2054"/>
      <c r="H504" s="2054"/>
      <c r="I504" s="2054"/>
      <c r="J504" s="2054"/>
      <c r="K504" s="2054"/>
      <c r="L504" s="2054"/>
      <c r="M504" s="2054"/>
      <c r="N504" s="2054"/>
      <c r="O504" s="2054"/>
      <c r="P504" s="2055"/>
      <c r="Q504" s="2055"/>
      <c r="R504" s="2055"/>
      <c r="S504" s="2055"/>
      <c r="T504" s="2055"/>
      <c r="U504" s="2055"/>
      <c r="V504" s="2055"/>
      <c r="W504" s="2055"/>
      <c r="X504" s="2056"/>
      <c r="Y504" s="2055"/>
      <c r="Z504" s="2055"/>
      <c r="AA504" s="2055"/>
      <c r="AB504" s="2055"/>
      <c r="AC504" s="2055"/>
      <c r="AD504" s="2055"/>
      <c r="AE504" s="2055"/>
      <c r="AF504" s="2055"/>
      <c r="AG504" s="2056"/>
      <c r="AL504" s="633"/>
      <c r="AM504" s="634"/>
      <c r="AO504" s="633"/>
      <c r="AP504" s="634"/>
    </row>
    <row r="506" spans="1:42" ht="14.25" customHeight="1">
      <c r="D506" s="582" t="s">
        <v>3002</v>
      </c>
    </row>
    <row r="508" spans="1:42" ht="14.25" customHeight="1">
      <c r="D508" s="2057" t="s">
        <v>2752</v>
      </c>
      <c r="E508" s="2058"/>
      <c r="F508" s="2058"/>
      <c r="G508" s="2058"/>
      <c r="H508" s="2058"/>
      <c r="I508" s="2058"/>
      <c r="J508" s="2058"/>
      <c r="K508" s="2058"/>
      <c r="L508" s="2058"/>
      <c r="M508" s="2058"/>
      <c r="N508" s="2058"/>
      <c r="O508" s="2058"/>
      <c r="P508" s="2058"/>
      <c r="Q508" s="2058"/>
      <c r="R508" s="2058"/>
      <c r="S508" s="2058"/>
      <c r="T508" s="2058"/>
      <c r="U508" s="2058"/>
      <c r="V508" s="2058"/>
      <c r="W508" s="2058"/>
      <c r="X508" s="2058"/>
      <c r="Y508" s="2058"/>
      <c r="Z508" s="2058"/>
      <c r="AA508" s="2058"/>
      <c r="AB508" s="2058"/>
      <c r="AC508" s="2058"/>
      <c r="AD508" s="2058"/>
      <c r="AE508" s="2058"/>
      <c r="AF508" s="2058"/>
      <c r="AG508" s="2058"/>
    </row>
    <row r="509" spans="1:42" ht="14.25" customHeight="1">
      <c r="D509" s="2058"/>
      <c r="E509" s="2058"/>
      <c r="F509" s="2058"/>
      <c r="G509" s="2058"/>
      <c r="H509" s="2058"/>
      <c r="I509" s="2058"/>
      <c r="J509" s="2058"/>
      <c r="K509" s="2058"/>
      <c r="L509" s="2058"/>
      <c r="M509" s="2058"/>
      <c r="N509" s="2058"/>
      <c r="O509" s="2058"/>
      <c r="P509" s="2058"/>
      <c r="Q509" s="2058"/>
      <c r="R509" s="2058"/>
      <c r="S509" s="2058"/>
      <c r="T509" s="2058"/>
      <c r="U509" s="2058"/>
      <c r="V509" s="2058"/>
      <c r="W509" s="2058"/>
      <c r="X509" s="2058"/>
      <c r="Y509" s="2058"/>
      <c r="Z509" s="2058"/>
      <c r="AA509" s="2058"/>
      <c r="AB509" s="2058"/>
      <c r="AC509" s="2058"/>
      <c r="AD509" s="2058"/>
      <c r="AE509" s="2058"/>
      <c r="AF509" s="2058"/>
      <c r="AG509" s="2058"/>
    </row>
    <row r="511" spans="1:42" s="786" customFormat="1" ht="14.25" customHeight="1">
      <c r="A511" s="784"/>
      <c r="D511" s="1823" t="s">
        <v>2933</v>
      </c>
      <c r="E511" s="1824"/>
      <c r="F511" s="1824"/>
      <c r="G511" s="1824"/>
      <c r="H511" s="1824"/>
      <c r="I511" s="1824"/>
      <c r="J511" s="1824"/>
      <c r="K511" s="1824"/>
      <c r="L511" s="1824"/>
      <c r="M511" s="1824"/>
      <c r="N511" s="1824"/>
      <c r="O511" s="1824"/>
      <c r="P511" s="1824"/>
      <c r="Q511" s="1824"/>
      <c r="R511" s="1824"/>
      <c r="S511" s="1824"/>
      <c r="T511" s="1824"/>
      <c r="U511" s="1824"/>
      <c r="V511" s="1824"/>
      <c r="W511" s="1824"/>
      <c r="X511" s="1824"/>
      <c r="Y511" s="1824"/>
      <c r="Z511" s="1824"/>
      <c r="AA511" s="1824"/>
      <c r="AB511" s="1824"/>
      <c r="AC511" s="1824"/>
      <c r="AD511" s="1824"/>
      <c r="AE511" s="1824"/>
      <c r="AF511" s="1824"/>
      <c r="AG511" s="1824"/>
    </row>
    <row r="512" spans="1:42" ht="6" customHeight="1" thickBot="1"/>
    <row r="513" spans="1:39" ht="15.75" customHeight="1" thickTop="1" thickBot="1">
      <c r="D513" s="1859" t="s">
        <v>131</v>
      </c>
      <c r="E513" s="1859"/>
      <c r="F513" s="1859"/>
      <c r="G513" s="1859"/>
      <c r="H513" s="1859"/>
      <c r="I513" s="1859"/>
      <c r="J513" s="1859"/>
      <c r="K513" s="1859"/>
      <c r="L513" s="1859"/>
      <c r="M513" s="1859"/>
      <c r="N513" s="1859"/>
      <c r="O513" s="1859"/>
      <c r="P513" s="1859"/>
      <c r="Q513" s="1859"/>
      <c r="R513" s="1859" t="s">
        <v>3</v>
      </c>
      <c r="S513" s="1859"/>
      <c r="T513" s="1859"/>
      <c r="U513" s="1859"/>
      <c r="V513" s="1859"/>
      <c r="W513" s="1859"/>
      <c r="X513" s="1859"/>
      <c r="Y513" s="1859"/>
      <c r="Z513" s="1859"/>
      <c r="AA513" s="1859"/>
      <c r="AB513" s="1859"/>
      <c r="AC513" s="1859"/>
      <c r="AD513" s="1859"/>
      <c r="AE513" s="1859"/>
      <c r="AF513" s="1859"/>
      <c r="AG513" s="1859"/>
      <c r="AM513" s="595" t="s">
        <v>3</v>
      </c>
    </row>
    <row r="514" spans="1:39" ht="15.75" customHeight="1" thickBot="1">
      <c r="D514" s="1972" t="s">
        <v>191</v>
      </c>
      <c r="E514" s="1972"/>
      <c r="F514" s="1972"/>
      <c r="G514" s="1972"/>
      <c r="H514" s="1972"/>
      <c r="I514" s="1972"/>
      <c r="J514" s="1972"/>
      <c r="K514" s="1972"/>
      <c r="L514" s="1972"/>
      <c r="M514" s="1972"/>
      <c r="N514" s="1972"/>
      <c r="O514" s="1972"/>
      <c r="P514" s="1972"/>
      <c r="Q514" s="1972"/>
      <c r="R514" s="2063">
        <v>273436</v>
      </c>
      <c r="S514" s="2064"/>
      <c r="T514" s="2064"/>
      <c r="U514" s="2064"/>
      <c r="V514" s="2064"/>
      <c r="W514" s="2064"/>
      <c r="X514" s="2064"/>
      <c r="Y514" s="2064"/>
      <c r="Z514" s="2064"/>
      <c r="AA514" s="2064"/>
      <c r="AB514" s="2064"/>
      <c r="AC514" s="2064"/>
      <c r="AD514" s="2064"/>
      <c r="AE514" s="2064"/>
      <c r="AF514" s="2064"/>
      <c r="AG514" s="2065"/>
      <c r="AM514" s="632"/>
    </row>
    <row r="515" spans="1:39" ht="15.75" customHeight="1" thickBot="1">
      <c r="D515" s="1972" t="s">
        <v>192</v>
      </c>
      <c r="E515" s="1972"/>
      <c r="F515" s="1972"/>
      <c r="G515" s="1972"/>
      <c r="H515" s="1972"/>
      <c r="I515" s="1972"/>
      <c r="J515" s="1972"/>
      <c r="K515" s="1972"/>
      <c r="L515" s="1972"/>
      <c r="M515" s="1972"/>
      <c r="N515" s="1972"/>
      <c r="O515" s="1972"/>
      <c r="P515" s="1972"/>
      <c r="Q515" s="1972"/>
      <c r="R515" s="2062" t="s">
        <v>2</v>
      </c>
      <c r="S515" s="2062"/>
      <c r="T515" s="2062"/>
      <c r="U515" s="2062"/>
      <c r="V515" s="2062"/>
      <c r="W515" s="2062"/>
      <c r="X515" s="2062"/>
      <c r="Y515" s="2062"/>
      <c r="Z515" s="2062"/>
      <c r="AA515" s="2062"/>
      <c r="AB515" s="2062"/>
      <c r="AC515" s="2062"/>
      <c r="AD515" s="2062"/>
      <c r="AE515" s="2062"/>
      <c r="AF515" s="2062"/>
      <c r="AG515" s="2062"/>
      <c r="AM515" s="342"/>
    </row>
    <row r="516" spans="1:39" ht="15.75" customHeight="1">
      <c r="D516" s="2060" t="s">
        <v>193</v>
      </c>
      <c r="E516" s="2060"/>
      <c r="F516" s="2060"/>
      <c r="G516" s="2060"/>
      <c r="H516" s="2060"/>
      <c r="I516" s="2060"/>
      <c r="J516" s="2060"/>
      <c r="K516" s="2060"/>
      <c r="L516" s="2060"/>
      <c r="M516" s="2060"/>
      <c r="N516" s="2060"/>
      <c r="O516" s="2060"/>
      <c r="P516" s="2060"/>
      <c r="Q516" s="2060"/>
      <c r="R516" s="2061">
        <v>19705</v>
      </c>
      <c r="S516" s="2061"/>
      <c r="T516" s="2061"/>
      <c r="U516" s="2061"/>
      <c r="V516" s="2061"/>
      <c r="W516" s="2061"/>
      <c r="X516" s="2061"/>
      <c r="Y516" s="2061"/>
      <c r="Z516" s="2061"/>
      <c r="AA516" s="2061"/>
      <c r="AB516" s="2061"/>
      <c r="AC516" s="2061"/>
      <c r="AD516" s="2061"/>
      <c r="AE516" s="2061"/>
      <c r="AF516" s="2061"/>
      <c r="AG516" s="2061"/>
      <c r="AM516" s="342"/>
    </row>
    <row r="517" spans="1:39" ht="15.75" customHeight="1">
      <c r="D517" s="1771" t="s">
        <v>194</v>
      </c>
      <c r="E517" s="1771"/>
      <c r="F517" s="1771"/>
      <c r="G517" s="1771"/>
      <c r="H517" s="1771"/>
      <c r="I517" s="1771"/>
      <c r="J517" s="1771"/>
      <c r="K517" s="1771"/>
      <c r="L517" s="1771"/>
      <c r="M517" s="1771"/>
      <c r="N517" s="1771"/>
      <c r="O517" s="1771"/>
      <c r="P517" s="1771"/>
      <c r="Q517" s="1771"/>
      <c r="R517" s="1773"/>
      <c r="S517" s="1773"/>
      <c r="T517" s="1773"/>
      <c r="U517" s="1773"/>
      <c r="V517" s="1773"/>
      <c r="W517" s="1773"/>
      <c r="X517" s="1773"/>
      <c r="Y517" s="1773"/>
      <c r="Z517" s="1773"/>
      <c r="AA517" s="1773"/>
      <c r="AB517" s="1773"/>
      <c r="AC517" s="1773"/>
      <c r="AD517" s="1773"/>
      <c r="AE517" s="1773"/>
      <c r="AF517" s="1773"/>
      <c r="AG517" s="1773"/>
      <c r="AM517" s="342"/>
    </row>
    <row r="518" spans="1:39" ht="15.75" customHeight="1">
      <c r="D518" s="1771" t="s">
        <v>195</v>
      </c>
      <c r="E518" s="1771"/>
      <c r="F518" s="1771"/>
      <c r="G518" s="1771"/>
      <c r="H518" s="1771"/>
      <c r="I518" s="1771"/>
      <c r="J518" s="1771"/>
      <c r="K518" s="1771"/>
      <c r="L518" s="1771"/>
      <c r="M518" s="1771"/>
      <c r="N518" s="1771"/>
      <c r="O518" s="1771"/>
      <c r="P518" s="1771"/>
      <c r="Q518" s="1771"/>
      <c r="R518" s="1773"/>
      <c r="S518" s="1773"/>
      <c r="T518" s="1773"/>
      <c r="U518" s="1773"/>
      <c r="V518" s="1773"/>
      <c r="W518" s="1773"/>
      <c r="X518" s="1773"/>
      <c r="Y518" s="1773"/>
      <c r="Z518" s="1773"/>
      <c r="AA518" s="1773"/>
      <c r="AB518" s="1773"/>
      <c r="AC518" s="1773"/>
      <c r="AD518" s="1773"/>
      <c r="AE518" s="1773"/>
      <c r="AF518" s="1773"/>
      <c r="AG518" s="1773"/>
      <c r="AM518" s="342"/>
    </row>
    <row r="519" spans="1:39" ht="15.75" customHeight="1">
      <c r="D519" s="1771" t="s">
        <v>196</v>
      </c>
      <c r="E519" s="1771"/>
      <c r="F519" s="1771"/>
      <c r="G519" s="1771"/>
      <c r="H519" s="1771"/>
      <c r="I519" s="1771"/>
      <c r="J519" s="1771"/>
      <c r="K519" s="1771"/>
      <c r="L519" s="1771"/>
      <c r="M519" s="1771"/>
      <c r="N519" s="1771"/>
      <c r="O519" s="1771"/>
      <c r="P519" s="1771"/>
      <c r="Q519" s="1771"/>
      <c r="R519" s="1773"/>
      <c r="S519" s="1773"/>
      <c r="T519" s="1773"/>
      <c r="U519" s="1773"/>
      <c r="V519" s="1773"/>
      <c r="W519" s="1773"/>
      <c r="X519" s="1773"/>
      <c r="Y519" s="1773"/>
      <c r="Z519" s="1773"/>
      <c r="AA519" s="1773"/>
      <c r="AB519" s="1773"/>
      <c r="AC519" s="1773"/>
      <c r="AD519" s="1773"/>
      <c r="AE519" s="1773"/>
      <c r="AF519" s="1773"/>
      <c r="AG519" s="1773"/>
      <c r="AM519" s="342"/>
    </row>
    <row r="520" spans="1:39" ht="15.75" customHeight="1">
      <c r="D520" s="1771" t="s">
        <v>197</v>
      </c>
      <c r="E520" s="1771"/>
      <c r="F520" s="1771"/>
      <c r="G520" s="1771"/>
      <c r="H520" s="1771"/>
      <c r="I520" s="1771"/>
      <c r="J520" s="1771"/>
      <c r="K520" s="1771"/>
      <c r="L520" s="1771"/>
      <c r="M520" s="1771"/>
      <c r="N520" s="1771"/>
      <c r="O520" s="1771"/>
      <c r="P520" s="1771"/>
      <c r="Q520" s="1771"/>
      <c r="R520" s="1773"/>
      <c r="S520" s="1773"/>
      <c r="T520" s="1773"/>
      <c r="U520" s="1773"/>
      <c r="V520" s="1773"/>
      <c r="W520" s="1773"/>
      <c r="X520" s="1773"/>
      <c r="Y520" s="1773"/>
      <c r="Z520" s="1773"/>
      <c r="AA520" s="1773"/>
      <c r="AB520" s="1773"/>
      <c r="AC520" s="1773"/>
      <c r="AD520" s="1773"/>
      <c r="AE520" s="1773"/>
      <c r="AF520" s="1773"/>
      <c r="AG520" s="1773"/>
      <c r="AM520" s="342"/>
    </row>
    <row r="521" spans="1:39" ht="15.75" customHeight="1">
      <c r="D521" s="1771" t="s">
        <v>198</v>
      </c>
      <c r="E521" s="1771"/>
      <c r="F521" s="1771"/>
      <c r="G521" s="1771"/>
      <c r="H521" s="1771"/>
      <c r="I521" s="1771"/>
      <c r="J521" s="1771"/>
      <c r="K521" s="1771"/>
      <c r="L521" s="1771"/>
      <c r="M521" s="1771"/>
      <c r="N521" s="1771"/>
      <c r="O521" s="1771"/>
      <c r="P521" s="1771"/>
      <c r="Q521" s="1771"/>
      <c r="R521" s="1773">
        <v>139095</v>
      </c>
      <c r="S521" s="1773"/>
      <c r="T521" s="1773"/>
      <c r="U521" s="1773"/>
      <c r="V521" s="1773"/>
      <c r="W521" s="1773"/>
      <c r="X521" s="1773"/>
      <c r="Y521" s="1773"/>
      <c r="Z521" s="1773"/>
      <c r="AA521" s="1773"/>
      <c r="AB521" s="1773"/>
      <c r="AC521" s="1773"/>
      <c r="AD521" s="1773"/>
      <c r="AE521" s="1773"/>
      <c r="AF521" s="1773"/>
      <c r="AG521" s="1773"/>
      <c r="AM521" s="342"/>
    </row>
    <row r="522" spans="1:39" ht="15.75" customHeight="1">
      <c r="D522" s="1771" t="s">
        <v>199</v>
      </c>
      <c r="E522" s="1771"/>
      <c r="F522" s="1771"/>
      <c r="G522" s="1771"/>
      <c r="H522" s="1771"/>
      <c r="I522" s="1771"/>
      <c r="J522" s="1771"/>
      <c r="K522" s="1771"/>
      <c r="L522" s="1771"/>
      <c r="M522" s="1771"/>
      <c r="N522" s="1771"/>
      <c r="O522" s="1771"/>
      <c r="P522" s="1771"/>
      <c r="Q522" s="1771"/>
      <c r="R522" s="1773">
        <v>114636</v>
      </c>
      <c r="S522" s="1773"/>
      <c r="T522" s="1773"/>
      <c r="U522" s="1773"/>
      <c r="V522" s="1773"/>
      <c r="W522" s="1773"/>
      <c r="X522" s="1773"/>
      <c r="Y522" s="1773"/>
      <c r="Z522" s="1773"/>
      <c r="AA522" s="1773"/>
      <c r="AB522" s="1773"/>
      <c r="AC522" s="1773"/>
      <c r="AD522" s="1773"/>
      <c r="AE522" s="1773"/>
      <c r="AF522" s="1773"/>
      <c r="AG522" s="1773"/>
      <c r="AM522" s="342"/>
    </row>
    <row r="523" spans="1:39" ht="15.75" customHeight="1">
      <c r="D523" s="1771" t="s">
        <v>200</v>
      </c>
      <c r="E523" s="1771"/>
      <c r="F523" s="1771"/>
      <c r="G523" s="1771"/>
      <c r="H523" s="1771"/>
      <c r="I523" s="1771"/>
      <c r="J523" s="1771"/>
      <c r="K523" s="1771"/>
      <c r="L523" s="1771"/>
      <c r="M523" s="1771"/>
      <c r="N523" s="1771"/>
      <c r="O523" s="1771"/>
      <c r="P523" s="1771"/>
      <c r="Q523" s="1771"/>
      <c r="R523" s="1860"/>
      <c r="S523" s="1860"/>
      <c r="T523" s="1860"/>
      <c r="U523" s="1860"/>
      <c r="V523" s="1860"/>
      <c r="W523" s="1860"/>
      <c r="X523" s="1860"/>
      <c r="Y523" s="1860"/>
      <c r="Z523" s="1860"/>
      <c r="AA523" s="1860"/>
      <c r="AB523" s="1860"/>
      <c r="AC523" s="1860"/>
      <c r="AD523" s="1860"/>
      <c r="AE523" s="1860"/>
      <c r="AF523" s="1860"/>
      <c r="AG523" s="1860"/>
      <c r="AM523" s="635"/>
    </row>
    <row r="524" spans="1:39" ht="15.75" customHeight="1" thickBot="1">
      <c r="D524" s="2059" t="s">
        <v>14</v>
      </c>
      <c r="E524" s="2059"/>
      <c r="F524" s="2059"/>
      <c r="G524" s="2059"/>
      <c r="H524" s="2059"/>
      <c r="I524" s="2059"/>
      <c r="J524" s="2059"/>
      <c r="K524" s="2059"/>
      <c r="L524" s="2059"/>
      <c r="M524" s="2059"/>
      <c r="N524" s="2059"/>
      <c r="O524" s="2059"/>
      <c r="P524" s="2059"/>
      <c r="Q524" s="2059"/>
      <c r="R524" s="2066">
        <f>SUM(R516:AG523)</f>
        <v>273436</v>
      </c>
      <c r="S524" s="2067"/>
      <c r="T524" s="2067"/>
      <c r="U524" s="2067"/>
      <c r="V524" s="2067"/>
      <c r="W524" s="2067"/>
      <c r="X524" s="2067"/>
      <c r="Y524" s="2067"/>
      <c r="Z524" s="2067"/>
      <c r="AA524" s="2067"/>
      <c r="AB524" s="2067"/>
      <c r="AC524" s="2067"/>
      <c r="AD524" s="2067"/>
      <c r="AE524" s="2067"/>
      <c r="AF524" s="2067"/>
      <c r="AG524" s="2068"/>
      <c r="AM524" s="615">
        <f>SUM(R516:AG523)-R524</f>
        <v>0</v>
      </c>
    </row>
    <row r="525" spans="1:39" s="786" customFormat="1" ht="15.75" customHeight="1">
      <c r="A525" s="784"/>
      <c r="D525" s="1517"/>
      <c r="E525" s="1517"/>
      <c r="F525" s="1517"/>
      <c r="G525" s="1517"/>
      <c r="H525" s="1517"/>
      <c r="I525" s="1517"/>
      <c r="J525" s="1517"/>
      <c r="K525" s="1517"/>
      <c r="L525" s="1517"/>
      <c r="M525" s="1517"/>
      <c r="N525" s="1517"/>
      <c r="O525" s="1517"/>
      <c r="P525" s="1517"/>
      <c r="Q525" s="1517"/>
      <c r="R525" s="1518"/>
      <c r="S525" s="1518"/>
      <c r="T525" s="1518"/>
      <c r="U525" s="1518"/>
      <c r="V525" s="1518"/>
      <c r="W525" s="1518"/>
      <c r="X525" s="1518"/>
      <c r="Y525" s="1518"/>
      <c r="Z525" s="1518"/>
      <c r="AA525" s="1518"/>
      <c r="AB525" s="1518"/>
      <c r="AC525" s="1518"/>
      <c r="AD525" s="1518"/>
      <c r="AE525" s="1518"/>
      <c r="AF525" s="1518"/>
      <c r="AG525" s="1518"/>
      <c r="AM525" s="1532"/>
    </row>
    <row r="526" spans="1:39" ht="27" customHeight="1">
      <c r="D526" s="1823" t="s">
        <v>2983</v>
      </c>
      <c r="E526" s="1824"/>
      <c r="F526" s="1824"/>
      <c r="G526" s="1824"/>
      <c r="H526" s="1824"/>
      <c r="I526" s="1824"/>
      <c r="J526" s="1824"/>
      <c r="K526" s="1824"/>
      <c r="L526" s="1824"/>
      <c r="M526" s="1824"/>
      <c r="N526" s="1824"/>
      <c r="O526" s="1824"/>
      <c r="P526" s="1824"/>
      <c r="Q526" s="1824"/>
      <c r="R526" s="1824"/>
      <c r="S526" s="1824"/>
      <c r="T526" s="1824"/>
      <c r="U526" s="1824"/>
      <c r="V526" s="1824"/>
      <c r="W526" s="1824"/>
      <c r="X526" s="1824"/>
      <c r="Y526" s="1824"/>
      <c r="Z526" s="1824"/>
      <c r="AA526" s="1824"/>
      <c r="AB526" s="1824"/>
      <c r="AC526" s="1824"/>
      <c r="AD526" s="1824"/>
      <c r="AE526" s="1824"/>
      <c r="AF526" s="1824"/>
      <c r="AG526" s="1824"/>
      <c r="AM526" s="615"/>
    </row>
    <row r="527" spans="1:39" ht="28.5" customHeight="1">
      <c r="D527" s="1823" t="s">
        <v>2898</v>
      </c>
      <c r="E527" s="1824"/>
      <c r="F527" s="1824"/>
      <c r="G527" s="1824"/>
      <c r="H527" s="1824"/>
      <c r="I527" s="1824"/>
      <c r="J527" s="1824"/>
      <c r="K527" s="1824"/>
      <c r="L527" s="1824"/>
      <c r="M527" s="1824"/>
      <c r="N527" s="1824"/>
      <c r="O527" s="1824"/>
      <c r="P527" s="1824"/>
      <c r="Q527" s="1824"/>
      <c r="R527" s="1824"/>
      <c r="S527" s="1824"/>
      <c r="T527" s="1824"/>
      <c r="U527" s="1824"/>
      <c r="V527" s="1824"/>
      <c r="W527" s="1824"/>
      <c r="X527" s="1824"/>
      <c r="Y527" s="1824"/>
      <c r="Z527" s="1824"/>
      <c r="AA527" s="1824"/>
      <c r="AB527" s="1824"/>
      <c r="AC527" s="1824"/>
      <c r="AD527" s="1824"/>
      <c r="AE527" s="1824"/>
      <c r="AF527" s="1824"/>
      <c r="AG527" s="1824"/>
      <c r="AM527" s="615"/>
    </row>
    <row r="528" spans="1:39" ht="15.75" customHeight="1">
      <c r="AM528" s="615"/>
    </row>
    <row r="529" spans="4:41" ht="14.25" customHeight="1">
      <c r="D529" s="582" t="s">
        <v>3003</v>
      </c>
    </row>
    <row r="531" spans="4:41" ht="14.25" customHeight="1">
      <c r="D531" s="1963" t="s">
        <v>1372</v>
      </c>
      <c r="E531" s="1963"/>
      <c r="F531" s="1963"/>
      <c r="G531" s="1963"/>
      <c r="H531" s="1963"/>
      <c r="I531" s="1963"/>
      <c r="J531" s="1963"/>
      <c r="K531" s="1963"/>
      <c r="L531" s="1963"/>
      <c r="M531" s="1963"/>
      <c r="N531" s="1963"/>
      <c r="O531" s="1963"/>
      <c r="P531" s="1963"/>
      <c r="Q531" s="1963"/>
      <c r="R531" s="1963"/>
      <c r="S531" s="1963"/>
      <c r="T531" s="1963"/>
      <c r="U531" s="1963"/>
      <c r="V531" s="1963"/>
      <c r="W531" s="1963"/>
      <c r="X531" s="1963"/>
      <c r="Y531" s="1963"/>
      <c r="Z531" s="1963"/>
      <c r="AA531" s="1963"/>
      <c r="AB531" s="1963"/>
      <c r="AC531" s="1963"/>
      <c r="AD531" s="1963"/>
      <c r="AE531" s="1963"/>
      <c r="AF531" s="1963"/>
      <c r="AG531" s="1963"/>
    </row>
    <row r="532" spans="4:41" ht="14.25" customHeight="1" thickBot="1"/>
    <row r="533" spans="4:41" ht="14.25" customHeight="1" thickBot="1">
      <c r="D533" s="1859" t="s">
        <v>1</v>
      </c>
      <c r="E533" s="1859"/>
      <c r="F533" s="1859"/>
      <c r="G533" s="1859"/>
      <c r="H533" s="1859"/>
      <c r="I533" s="1859" t="s">
        <v>2</v>
      </c>
      <c r="J533" s="1859"/>
      <c r="K533" s="1859"/>
      <c r="L533" s="1859"/>
      <c r="M533" s="1859"/>
      <c r="N533" s="1859"/>
      <c r="O533" s="1859"/>
      <c r="P533" s="1859"/>
      <c r="Q533" s="1859"/>
      <c r="R533" s="1859"/>
      <c r="S533" s="1859"/>
      <c r="T533" s="1859"/>
      <c r="U533" s="1859"/>
      <c r="V533" s="1859"/>
      <c r="W533" s="1859"/>
      <c r="X533" s="1859"/>
      <c r="Y533" s="1859"/>
      <c r="Z533" s="1859"/>
      <c r="AA533" s="1859"/>
      <c r="AB533" s="1859"/>
      <c r="AC533" s="1859"/>
      <c r="AD533" s="1859"/>
      <c r="AE533" s="1859"/>
      <c r="AF533" s="1859"/>
      <c r="AG533" s="1859"/>
    </row>
    <row r="534" spans="4:41" ht="30.75" customHeight="1" thickTop="1" thickBot="1">
      <c r="D534" s="1859"/>
      <c r="E534" s="1859"/>
      <c r="F534" s="1859"/>
      <c r="G534" s="1859"/>
      <c r="H534" s="1859"/>
      <c r="I534" s="1838" t="s">
        <v>32</v>
      </c>
      <c r="J534" s="1838"/>
      <c r="K534" s="1838"/>
      <c r="L534" s="1838"/>
      <c r="M534" s="1838"/>
      <c r="N534" s="1838" t="s">
        <v>124</v>
      </c>
      <c r="O534" s="1838"/>
      <c r="P534" s="1838"/>
      <c r="Q534" s="1838"/>
      <c r="R534" s="1838"/>
      <c r="S534" s="1838" t="s">
        <v>210</v>
      </c>
      <c r="T534" s="1838"/>
      <c r="U534" s="1838"/>
      <c r="V534" s="1838"/>
      <c r="W534" s="1838"/>
      <c r="X534" s="1838" t="s">
        <v>211</v>
      </c>
      <c r="Y534" s="1838"/>
      <c r="Z534" s="1838"/>
      <c r="AA534" s="1838"/>
      <c r="AB534" s="1838"/>
      <c r="AC534" s="1838" t="s">
        <v>30</v>
      </c>
      <c r="AD534" s="1838"/>
      <c r="AE534" s="1838"/>
      <c r="AF534" s="1838"/>
      <c r="AG534" s="1838"/>
      <c r="AL534" s="591" t="s">
        <v>472</v>
      </c>
      <c r="AM534" s="591" t="s">
        <v>30</v>
      </c>
      <c r="AO534" s="591" t="s">
        <v>30</v>
      </c>
    </row>
    <row r="535" spans="4:41" ht="28.5" customHeight="1" thickBot="1">
      <c r="D535" s="2014" t="s">
        <v>212</v>
      </c>
      <c r="E535" s="2015"/>
      <c r="F535" s="2015"/>
      <c r="G535" s="2015"/>
      <c r="H535" s="2016"/>
      <c r="I535" s="2017">
        <f>SUM(I536:M536)</f>
        <v>0</v>
      </c>
      <c r="J535" s="2018"/>
      <c r="K535" s="2018"/>
      <c r="L535" s="2018"/>
      <c r="M535" s="2018"/>
      <c r="N535" s="2017">
        <f>SUM(N536:R536)</f>
        <v>0</v>
      </c>
      <c r="O535" s="2018"/>
      <c r="P535" s="2018"/>
      <c r="Q535" s="2018"/>
      <c r="R535" s="2018"/>
      <c r="S535" s="2017">
        <f>SUM(S536:W536)</f>
        <v>0</v>
      </c>
      <c r="T535" s="2018"/>
      <c r="U535" s="2018"/>
      <c r="V535" s="2018"/>
      <c r="W535" s="2018"/>
      <c r="X535" s="2017">
        <f>SUM(X536:AB536)</f>
        <v>0</v>
      </c>
      <c r="Y535" s="2018"/>
      <c r="Z535" s="2018"/>
      <c r="AA535" s="2018"/>
      <c r="AB535" s="2018"/>
      <c r="AC535" s="2019">
        <f>SUM(I535:AB535)</f>
        <v>0</v>
      </c>
      <c r="AD535" s="2019"/>
      <c r="AE535" s="2019"/>
      <c r="AF535" s="2019"/>
      <c r="AG535" s="2020"/>
      <c r="AL535" s="640">
        <f t="shared" ref="AL535:AL540" si="141">I535-AC546</f>
        <v>0</v>
      </c>
      <c r="AM535" s="636">
        <f>SUM(I535:AB535)-AC535</f>
        <v>0</v>
      </c>
      <c r="AO535" s="637">
        <f>AC535-BS!$D$134-BS!$D$135</f>
        <v>0</v>
      </c>
    </row>
    <row r="536" spans="4:41" ht="21.75" customHeight="1" thickBot="1">
      <c r="D536" s="1960"/>
      <c r="E536" s="1961"/>
      <c r="F536" s="1961"/>
      <c r="G536" s="1961"/>
      <c r="H536" s="1962"/>
      <c r="I536" s="1921"/>
      <c r="J536" s="1922"/>
      <c r="K536" s="1922"/>
      <c r="L536" s="1922"/>
      <c r="M536" s="2034"/>
      <c r="N536" s="2035"/>
      <c r="O536" s="1922"/>
      <c r="P536" s="1922"/>
      <c r="Q536" s="1922"/>
      <c r="R536" s="2034"/>
      <c r="S536" s="2035"/>
      <c r="T536" s="1922"/>
      <c r="U536" s="1922"/>
      <c r="V536" s="1922"/>
      <c r="W536" s="2034"/>
      <c r="X536" s="2035"/>
      <c r="Y536" s="1922"/>
      <c r="Z536" s="1922"/>
      <c r="AA536" s="1922"/>
      <c r="AB536" s="2034"/>
      <c r="AC536" s="2036">
        <f t="shared" ref="AC536" si="142">SUM(I536:AB536)</f>
        <v>0</v>
      </c>
      <c r="AD536" s="1840"/>
      <c r="AE536" s="1840"/>
      <c r="AF536" s="1840"/>
      <c r="AG536" s="1841"/>
      <c r="AL536" s="357">
        <f t="shared" si="141"/>
        <v>0</v>
      </c>
      <c r="AM536" s="358">
        <f t="shared" ref="AM536:AM537" si="143">SUM(I536:AB536)-AC536</f>
        <v>0</v>
      </c>
      <c r="AO536" s="358"/>
    </row>
    <row r="537" spans="4:41" ht="28.5" customHeight="1" thickBot="1">
      <c r="D537" s="2014" t="s">
        <v>213</v>
      </c>
      <c r="E537" s="2015"/>
      <c r="F537" s="2015"/>
      <c r="G537" s="2015"/>
      <c r="H537" s="2016"/>
      <c r="I537" s="2017">
        <f>SUM(I538:M540)</f>
        <v>102437</v>
      </c>
      <c r="J537" s="2018"/>
      <c r="K537" s="2018"/>
      <c r="L537" s="2018"/>
      <c r="M537" s="2018"/>
      <c r="N537" s="2017">
        <f>SUM(N538:R540)</f>
        <v>113122</v>
      </c>
      <c r="O537" s="2018"/>
      <c r="P537" s="2018"/>
      <c r="Q537" s="2018"/>
      <c r="R537" s="2018"/>
      <c r="S537" s="2017">
        <f t="shared" ref="S537" si="144">SUM(S538:W540)</f>
        <v>-102437</v>
      </c>
      <c r="T537" s="2018"/>
      <c r="U537" s="2018"/>
      <c r="V537" s="2018"/>
      <c r="W537" s="2018"/>
      <c r="X537" s="2017">
        <f t="shared" ref="X537" si="145">SUM(X538:AB540)</f>
        <v>0</v>
      </c>
      <c r="Y537" s="2018"/>
      <c r="Z537" s="2018"/>
      <c r="AA537" s="2018"/>
      <c r="AB537" s="2018"/>
      <c r="AC537" s="2019">
        <f t="shared" ref="AC537:AC538" si="146">SUM(I537:AB537)</f>
        <v>113122</v>
      </c>
      <c r="AD537" s="2019"/>
      <c r="AE537" s="2019"/>
      <c r="AF537" s="2019"/>
      <c r="AG537" s="2020"/>
      <c r="AL537" s="1495">
        <f t="shared" si="141"/>
        <v>0</v>
      </c>
      <c r="AM537" s="358">
        <f t="shared" si="143"/>
        <v>0</v>
      </c>
      <c r="AO537" s="359">
        <f>AC537-BS!$D$152-BS!$D$153</f>
        <v>0</v>
      </c>
    </row>
    <row r="538" spans="4:41" ht="50.25" customHeight="1">
      <c r="D538" s="2021" t="s">
        <v>2753</v>
      </c>
      <c r="E538" s="1961"/>
      <c r="F538" s="1961"/>
      <c r="G538" s="1961"/>
      <c r="H538" s="1962"/>
      <c r="I538" s="2022">
        <v>34294</v>
      </c>
      <c r="J538" s="2023"/>
      <c r="K538" s="2023"/>
      <c r="L538" s="2023"/>
      <c r="M538" s="2023"/>
      <c r="N538" s="2039">
        <v>42770</v>
      </c>
      <c r="O538" s="2039"/>
      <c r="P538" s="2039"/>
      <c r="Q538" s="2039"/>
      <c r="R538" s="2039"/>
      <c r="S538" s="2039">
        <v>-34294</v>
      </c>
      <c r="T538" s="2039"/>
      <c r="U538" s="2039"/>
      <c r="V538" s="2039"/>
      <c r="W538" s="2039"/>
      <c r="X538" s="2039">
        <v>0</v>
      </c>
      <c r="Y538" s="2039"/>
      <c r="Z538" s="2039"/>
      <c r="AA538" s="2039"/>
      <c r="AB538" s="2039"/>
      <c r="AC538" s="2025">
        <f t="shared" si="146"/>
        <v>42770</v>
      </c>
      <c r="AD538" s="2025"/>
      <c r="AE538" s="2025"/>
      <c r="AF538" s="2025"/>
      <c r="AG538" s="2026"/>
      <c r="AL538" s="367">
        <f t="shared" si="141"/>
        <v>0</v>
      </c>
      <c r="AM538" s="359">
        <f>SUM(I538:AB538)-AC538</f>
        <v>0</v>
      </c>
      <c r="AO538" s="358"/>
    </row>
    <row r="539" spans="4:41" ht="42" customHeight="1">
      <c r="D539" s="2029" t="s">
        <v>2802</v>
      </c>
      <c r="E539" s="2030"/>
      <c r="F539" s="2030"/>
      <c r="G539" s="2030"/>
      <c r="H539" s="2031"/>
      <c r="I539" s="1814">
        <v>9747</v>
      </c>
      <c r="J539" s="1778"/>
      <c r="K539" s="1778"/>
      <c r="L539" s="1778"/>
      <c r="M539" s="1778"/>
      <c r="N539" s="2033">
        <v>19700</v>
      </c>
      <c r="O539" s="2033"/>
      <c r="P539" s="2033"/>
      <c r="Q539" s="2033"/>
      <c r="R539" s="2033"/>
      <c r="S539" s="2033">
        <v>-9747</v>
      </c>
      <c r="T539" s="2033"/>
      <c r="U539" s="2033"/>
      <c r="V539" s="2033"/>
      <c r="W539" s="2033"/>
      <c r="X539" s="2033">
        <v>0</v>
      </c>
      <c r="Y539" s="2033"/>
      <c r="Z539" s="2033"/>
      <c r="AA539" s="2033"/>
      <c r="AB539" s="2033"/>
      <c r="AC539" s="1816">
        <f t="shared" ref="AC539" si="147">SUM(I539:AB539)</f>
        <v>19700</v>
      </c>
      <c r="AD539" s="1816"/>
      <c r="AE539" s="1816"/>
      <c r="AF539" s="1816"/>
      <c r="AG539" s="1817"/>
      <c r="AL539" s="357">
        <f t="shared" si="141"/>
        <v>0</v>
      </c>
      <c r="AM539" s="359">
        <f>SUM(I539:AB539)-AC539</f>
        <v>0</v>
      </c>
      <c r="AO539" s="635"/>
    </row>
    <row r="540" spans="4:41" ht="42" customHeight="1">
      <c r="D540" s="2029" t="s">
        <v>2899</v>
      </c>
      <c r="E540" s="2030"/>
      <c r="F540" s="2030"/>
      <c r="G540" s="2030"/>
      <c r="H540" s="2031"/>
      <c r="I540" s="1814">
        <v>58396</v>
      </c>
      <c r="J540" s="1778"/>
      <c r="K540" s="1778"/>
      <c r="L540" s="1778"/>
      <c r="M540" s="1778"/>
      <c r="N540" s="2032">
        <v>50652</v>
      </c>
      <c r="O540" s="2033"/>
      <c r="P540" s="2033"/>
      <c r="Q540" s="2033"/>
      <c r="R540" s="2033"/>
      <c r="S540" s="2033">
        <v>-58396</v>
      </c>
      <c r="T540" s="2033"/>
      <c r="U540" s="2033"/>
      <c r="V540" s="2033"/>
      <c r="W540" s="2033"/>
      <c r="X540" s="2033">
        <v>0</v>
      </c>
      <c r="Y540" s="2033"/>
      <c r="Z540" s="2033"/>
      <c r="AA540" s="2033"/>
      <c r="AB540" s="2033"/>
      <c r="AC540" s="1816">
        <f t="shared" ref="AC540" si="148">SUM(I540:AB540)</f>
        <v>50652</v>
      </c>
      <c r="AD540" s="1816"/>
      <c r="AE540" s="1816"/>
      <c r="AF540" s="1816"/>
      <c r="AG540" s="1817"/>
      <c r="AL540" s="357">
        <f t="shared" si="141"/>
        <v>0</v>
      </c>
      <c r="AM540" s="359">
        <f>SUM(I540:AB540)-AC540</f>
        <v>0</v>
      </c>
      <c r="AO540" s="607"/>
    </row>
    <row r="541" spans="4:41" ht="14.25" customHeight="1">
      <c r="AL541" s="605"/>
      <c r="AM541" s="337"/>
    </row>
    <row r="542" spans="4:41" ht="14.25" customHeight="1">
      <c r="D542" s="2001" t="s">
        <v>2871</v>
      </c>
      <c r="E542" s="2001"/>
      <c r="F542" s="2001"/>
      <c r="G542" s="2001"/>
      <c r="H542" s="2001"/>
      <c r="I542" s="2001"/>
      <c r="J542" s="2001"/>
      <c r="K542" s="2001"/>
      <c r="L542" s="2001"/>
      <c r="M542" s="2001"/>
      <c r="N542" s="2001"/>
      <c r="O542" s="2001"/>
      <c r="P542" s="2001"/>
      <c r="Q542" s="2001"/>
      <c r="R542" s="2001"/>
      <c r="S542" s="2001"/>
      <c r="T542" s="2001"/>
      <c r="U542" s="2001"/>
      <c r="V542" s="2001"/>
      <c r="W542" s="2001"/>
      <c r="X542" s="2001"/>
      <c r="Y542" s="2001"/>
      <c r="Z542" s="2001"/>
      <c r="AA542" s="2001"/>
      <c r="AB542" s="2001"/>
      <c r="AC542" s="2001"/>
      <c r="AD542" s="2001"/>
      <c r="AE542" s="2001"/>
      <c r="AF542" s="2001"/>
      <c r="AG542" s="2001"/>
      <c r="AL542" s="605"/>
      <c r="AM542" s="337"/>
    </row>
    <row r="543" spans="4:41" ht="14.25" customHeight="1" thickBot="1">
      <c r="AL543" s="605"/>
    </row>
    <row r="544" spans="4:41" ht="14.25" customHeight="1" thickBot="1">
      <c r="D544" s="1859" t="s">
        <v>1</v>
      </c>
      <c r="E544" s="1859"/>
      <c r="F544" s="1859"/>
      <c r="G544" s="1859"/>
      <c r="H544" s="1859"/>
      <c r="I544" s="1859" t="s">
        <v>3</v>
      </c>
      <c r="J544" s="1859"/>
      <c r="K544" s="1859"/>
      <c r="L544" s="1859"/>
      <c r="M544" s="1859"/>
      <c r="N544" s="1859"/>
      <c r="O544" s="1859"/>
      <c r="P544" s="1859"/>
      <c r="Q544" s="1859"/>
      <c r="R544" s="1859"/>
      <c r="S544" s="1859"/>
      <c r="T544" s="1859"/>
      <c r="U544" s="1859"/>
      <c r="V544" s="1859"/>
      <c r="W544" s="1859"/>
      <c r="X544" s="1859"/>
      <c r="Y544" s="1859"/>
      <c r="Z544" s="1859"/>
      <c r="AA544" s="1859"/>
      <c r="AB544" s="1859"/>
      <c r="AC544" s="1859"/>
      <c r="AD544" s="1859"/>
      <c r="AE544" s="1859"/>
      <c r="AF544" s="1859"/>
      <c r="AG544" s="1859"/>
      <c r="AL544" s="605"/>
    </row>
    <row r="545" spans="4:41" ht="30.75" customHeight="1" thickTop="1" thickBot="1">
      <c r="D545" s="1859"/>
      <c r="E545" s="1859"/>
      <c r="F545" s="1859"/>
      <c r="G545" s="1859"/>
      <c r="H545" s="1859"/>
      <c r="I545" s="1838" t="s">
        <v>32</v>
      </c>
      <c r="J545" s="1838"/>
      <c r="K545" s="1838"/>
      <c r="L545" s="1838"/>
      <c r="M545" s="1838"/>
      <c r="N545" s="1838" t="s">
        <v>124</v>
      </c>
      <c r="O545" s="1838"/>
      <c r="P545" s="1838"/>
      <c r="Q545" s="1838"/>
      <c r="R545" s="1838"/>
      <c r="S545" s="1838" t="s">
        <v>210</v>
      </c>
      <c r="T545" s="1838"/>
      <c r="U545" s="1838"/>
      <c r="V545" s="1838"/>
      <c r="W545" s="1838"/>
      <c r="X545" s="1838" t="s">
        <v>211</v>
      </c>
      <c r="Y545" s="1838"/>
      <c r="Z545" s="1838"/>
      <c r="AA545" s="1838"/>
      <c r="AB545" s="1838"/>
      <c r="AC545" s="1838" t="s">
        <v>30</v>
      </c>
      <c r="AD545" s="1838"/>
      <c r="AE545" s="1838"/>
      <c r="AF545" s="1838"/>
      <c r="AG545" s="1838"/>
      <c r="AL545" s="605"/>
      <c r="AM545" s="591" t="s">
        <v>30</v>
      </c>
      <c r="AO545" s="591" t="s">
        <v>30</v>
      </c>
    </row>
    <row r="546" spans="4:41" ht="28.5" customHeight="1" thickBot="1">
      <c r="D546" s="2014" t="s">
        <v>212</v>
      </c>
      <c r="E546" s="2015"/>
      <c r="F546" s="2015"/>
      <c r="G546" s="2015"/>
      <c r="H546" s="2016"/>
      <c r="I546" s="2017">
        <f>SUM(I547:M547)</f>
        <v>0</v>
      </c>
      <c r="J546" s="2018"/>
      <c r="K546" s="2018"/>
      <c r="L546" s="2018"/>
      <c r="M546" s="2018"/>
      <c r="N546" s="2017">
        <f>SUM(N547:R547)</f>
        <v>0</v>
      </c>
      <c r="O546" s="2018"/>
      <c r="P546" s="2018"/>
      <c r="Q546" s="2018"/>
      <c r="R546" s="2018"/>
      <c r="S546" s="2017">
        <f>SUM(S547:W547)</f>
        <v>0</v>
      </c>
      <c r="T546" s="2018"/>
      <c r="U546" s="2018"/>
      <c r="V546" s="2018"/>
      <c r="W546" s="2018"/>
      <c r="X546" s="2017">
        <f>SUM(X547:AB547)</f>
        <v>0</v>
      </c>
      <c r="Y546" s="2018"/>
      <c r="Z546" s="2018"/>
      <c r="AA546" s="2018"/>
      <c r="AB546" s="2018"/>
      <c r="AC546" s="2019">
        <f>SUM(I546:AB546)</f>
        <v>0</v>
      </c>
      <c r="AD546" s="2019"/>
      <c r="AE546" s="2019"/>
      <c r="AF546" s="2019"/>
      <c r="AG546" s="2020"/>
      <c r="AL546" s="605"/>
      <c r="AM546" s="636">
        <f>SUM(I546:AB546)-AC546</f>
        <v>0</v>
      </c>
      <c r="AO546" s="637">
        <f>AC546-BS!$E$134-BS!$E$135</f>
        <v>0</v>
      </c>
    </row>
    <row r="547" spans="4:41" ht="21.75" customHeight="1" thickBot="1">
      <c r="D547" s="1986"/>
      <c r="E547" s="1987"/>
      <c r="F547" s="1987"/>
      <c r="G547" s="1987"/>
      <c r="H547" s="1988"/>
      <c r="I547" s="1921"/>
      <c r="J547" s="1922"/>
      <c r="K547" s="1922"/>
      <c r="L547" s="1922"/>
      <c r="M547" s="2034"/>
      <c r="N547" s="2035"/>
      <c r="O547" s="1922"/>
      <c r="P547" s="1922"/>
      <c r="Q547" s="1922"/>
      <c r="R547" s="2034"/>
      <c r="S547" s="2035"/>
      <c r="T547" s="1922"/>
      <c r="U547" s="1922"/>
      <c r="V547" s="1922"/>
      <c r="W547" s="2034"/>
      <c r="X547" s="2035"/>
      <c r="Y547" s="1922"/>
      <c r="Z547" s="1922"/>
      <c r="AA547" s="1922"/>
      <c r="AB547" s="2034"/>
      <c r="AC547" s="2036">
        <f t="shared" ref="AC547" si="149">SUM(I547:AB547)</f>
        <v>0</v>
      </c>
      <c r="AD547" s="1840"/>
      <c r="AE547" s="1840"/>
      <c r="AF547" s="1840"/>
      <c r="AG547" s="1841"/>
      <c r="AL547" s="605"/>
      <c r="AM547" s="358">
        <f t="shared" ref="AM547:AM548" si="150">SUM(I547:AB547)-AC547</f>
        <v>0</v>
      </c>
      <c r="AO547" s="358"/>
    </row>
    <row r="548" spans="4:41" ht="28.5" customHeight="1" thickBot="1">
      <c r="D548" s="2014" t="s">
        <v>213</v>
      </c>
      <c r="E548" s="2015"/>
      <c r="F548" s="2015"/>
      <c r="G548" s="2015"/>
      <c r="H548" s="2016"/>
      <c r="I548" s="2017">
        <f>SUM(I549:M551)</f>
        <v>80606</v>
      </c>
      <c r="J548" s="2018"/>
      <c r="K548" s="2018"/>
      <c r="L548" s="2018"/>
      <c r="M548" s="2018"/>
      <c r="N548" s="2017">
        <f t="shared" ref="N548" si="151">SUM(N549:R551)</f>
        <v>94629</v>
      </c>
      <c r="O548" s="2018"/>
      <c r="P548" s="2018"/>
      <c r="Q548" s="2018"/>
      <c r="R548" s="2018"/>
      <c r="S548" s="2017">
        <f t="shared" ref="S548" si="152">SUM(S549:W551)</f>
        <v>-72798</v>
      </c>
      <c r="T548" s="2018"/>
      <c r="U548" s="2018"/>
      <c r="V548" s="2018"/>
      <c r="W548" s="2018"/>
      <c r="X548" s="2017">
        <f t="shared" ref="X548" si="153">SUM(X549:AB551)</f>
        <v>0</v>
      </c>
      <c r="Y548" s="2018"/>
      <c r="Z548" s="2018"/>
      <c r="AA548" s="2018"/>
      <c r="AB548" s="2018"/>
      <c r="AC548" s="2019">
        <f t="shared" ref="AC548:AC549" si="154">SUM(I548:AB548)</f>
        <v>102437</v>
      </c>
      <c r="AD548" s="2019"/>
      <c r="AE548" s="2019"/>
      <c r="AF548" s="2019"/>
      <c r="AG548" s="2020"/>
      <c r="AM548" s="358">
        <f t="shared" si="150"/>
        <v>0</v>
      </c>
      <c r="AO548" s="359">
        <f>AC548-BS!$E$152-BS!$E$153</f>
        <v>0</v>
      </c>
    </row>
    <row r="549" spans="4:41" ht="52.5" customHeight="1">
      <c r="D549" s="2021" t="s">
        <v>2753</v>
      </c>
      <c r="E549" s="1961"/>
      <c r="F549" s="1961"/>
      <c r="G549" s="1961"/>
      <c r="H549" s="1962"/>
      <c r="I549" s="2022">
        <v>39227</v>
      </c>
      <c r="J549" s="2023"/>
      <c r="K549" s="2023"/>
      <c r="L549" s="2023"/>
      <c r="M549" s="2023"/>
      <c r="N549" s="2023">
        <v>34294</v>
      </c>
      <c r="O549" s="2023"/>
      <c r="P549" s="2023"/>
      <c r="Q549" s="2023"/>
      <c r="R549" s="2023"/>
      <c r="S549" s="2024">
        <v>-39227</v>
      </c>
      <c r="T549" s="2024"/>
      <c r="U549" s="2024"/>
      <c r="V549" s="2024"/>
      <c r="W549" s="2024"/>
      <c r="X549" s="2024">
        <v>0</v>
      </c>
      <c r="Y549" s="2024"/>
      <c r="Z549" s="2024"/>
      <c r="AA549" s="2024"/>
      <c r="AB549" s="2024"/>
      <c r="AC549" s="2025">
        <f t="shared" si="154"/>
        <v>34294</v>
      </c>
      <c r="AD549" s="2025"/>
      <c r="AE549" s="2025"/>
      <c r="AF549" s="2025"/>
      <c r="AG549" s="2026"/>
      <c r="AM549" s="358">
        <f>SUM(I549:AB549)-AC549</f>
        <v>0</v>
      </c>
      <c r="AO549" s="358"/>
    </row>
    <row r="550" spans="4:41" ht="43.5" customHeight="1" thickBot="1">
      <c r="D550" s="2011" t="s">
        <v>2754</v>
      </c>
      <c r="E550" s="2027"/>
      <c r="F550" s="2027"/>
      <c r="G550" s="2027"/>
      <c r="H550" s="2028"/>
      <c r="I550" s="1814">
        <v>11080</v>
      </c>
      <c r="J550" s="1778"/>
      <c r="K550" s="1778"/>
      <c r="L550" s="1778"/>
      <c r="M550" s="1778"/>
      <c r="N550" s="1778">
        <v>9747</v>
      </c>
      <c r="O550" s="1778"/>
      <c r="P550" s="1778"/>
      <c r="Q550" s="1778"/>
      <c r="R550" s="1778"/>
      <c r="S550" s="1815">
        <v>-11080</v>
      </c>
      <c r="T550" s="1815"/>
      <c r="U550" s="1815"/>
      <c r="V550" s="1815"/>
      <c r="W550" s="1815"/>
      <c r="X550" s="1815">
        <v>0</v>
      </c>
      <c r="Y550" s="1815"/>
      <c r="Z550" s="1815"/>
      <c r="AA550" s="1815"/>
      <c r="AB550" s="1815"/>
      <c r="AC550" s="1816">
        <f t="shared" ref="AC550" si="155">SUM(I550:AB550)</f>
        <v>9747</v>
      </c>
      <c r="AD550" s="1816"/>
      <c r="AE550" s="1816"/>
      <c r="AF550" s="1816"/>
      <c r="AG550" s="1817"/>
      <c r="AM550" s="358">
        <f t="shared" ref="AM550" si="156">SUM(I550:AB550)-AC550</f>
        <v>0</v>
      </c>
      <c r="AO550" s="635"/>
    </row>
    <row r="551" spans="4:41" ht="43.5" customHeight="1">
      <c r="D551" s="1829" t="s">
        <v>2899</v>
      </c>
      <c r="E551" s="1830"/>
      <c r="F551" s="1830"/>
      <c r="G551" s="1830"/>
      <c r="H551" s="1831"/>
      <c r="I551" s="1814">
        <v>30299</v>
      </c>
      <c r="J551" s="1778"/>
      <c r="K551" s="1778"/>
      <c r="L551" s="1778"/>
      <c r="M551" s="1778"/>
      <c r="N551" s="1778">
        <v>50588</v>
      </c>
      <c r="O551" s="1778"/>
      <c r="P551" s="1778"/>
      <c r="Q551" s="1778"/>
      <c r="R551" s="1778"/>
      <c r="S551" s="1815">
        <v>-22491</v>
      </c>
      <c r="T551" s="1815"/>
      <c r="U551" s="1815"/>
      <c r="V551" s="1815"/>
      <c r="W551" s="1815"/>
      <c r="X551" s="1815">
        <v>0</v>
      </c>
      <c r="Y551" s="1815"/>
      <c r="Z551" s="1815"/>
      <c r="AA551" s="1815"/>
      <c r="AB551" s="1815"/>
      <c r="AC551" s="1816">
        <f t="shared" ref="AC551" si="157">SUM(I551:AB551)</f>
        <v>58396</v>
      </c>
      <c r="AD551" s="1816"/>
      <c r="AE551" s="1816"/>
      <c r="AF551" s="1816"/>
      <c r="AG551" s="1817"/>
      <c r="AM551" s="358">
        <f t="shared" ref="AM551" si="158">SUM(I551:AB551)-AC551</f>
        <v>0</v>
      </c>
      <c r="AO551" s="635"/>
    </row>
    <row r="553" spans="4:41" ht="14.25" customHeight="1">
      <c r="D553" s="582" t="s">
        <v>3004</v>
      </c>
    </row>
    <row r="555" spans="4:41" ht="14.25" customHeight="1">
      <c r="D555" s="1963" t="s">
        <v>1375</v>
      </c>
      <c r="E555" s="1963"/>
      <c r="F555" s="1963"/>
      <c r="G555" s="1963"/>
      <c r="H555" s="1963"/>
      <c r="I555" s="1963"/>
      <c r="J555" s="1963"/>
      <c r="K555" s="1963"/>
      <c r="L555" s="1963"/>
      <c r="M555" s="1963"/>
      <c r="N555" s="1963"/>
      <c r="O555" s="1963"/>
      <c r="P555" s="1963"/>
      <c r="Q555" s="1963"/>
      <c r="R555" s="1963"/>
      <c r="S555" s="1963"/>
      <c r="T555" s="1963"/>
      <c r="U555" s="1963"/>
      <c r="V555" s="1963"/>
      <c r="W555" s="1963"/>
      <c r="X555" s="1963"/>
      <c r="Y555" s="1963"/>
      <c r="Z555" s="1963"/>
      <c r="AA555" s="1963"/>
      <c r="AB555" s="1963"/>
      <c r="AC555" s="1963"/>
      <c r="AD555" s="1963"/>
      <c r="AE555" s="1963"/>
      <c r="AF555" s="1963"/>
      <c r="AG555" s="1963"/>
    </row>
    <row r="556" spans="4:41" ht="14.25" customHeight="1" thickBot="1">
      <c r="D556" s="1526"/>
      <c r="E556" s="1526"/>
      <c r="F556" s="1526"/>
      <c r="G556" s="1526"/>
      <c r="H556" s="1526"/>
      <c r="I556" s="1526"/>
      <c r="J556" s="1526"/>
      <c r="K556" s="1526"/>
      <c r="L556" s="1526"/>
      <c r="M556" s="1526"/>
      <c r="N556" s="1526"/>
      <c r="O556" s="1526"/>
      <c r="P556" s="1526"/>
      <c r="Q556" s="1526"/>
      <c r="R556" s="1526"/>
      <c r="S556" s="1526"/>
      <c r="T556" s="1526"/>
      <c r="U556" s="1526"/>
      <c r="V556" s="1526"/>
      <c r="W556" s="1526"/>
      <c r="X556" s="1526"/>
      <c r="Y556" s="1526"/>
      <c r="Z556" s="1526"/>
      <c r="AA556" s="1526"/>
      <c r="AB556" s="1526"/>
      <c r="AC556" s="1526"/>
      <c r="AD556" s="1526"/>
      <c r="AE556" s="1526"/>
      <c r="AF556" s="1526"/>
      <c r="AG556" s="1526"/>
    </row>
    <row r="557" spans="4:41" ht="24" customHeight="1" thickBot="1">
      <c r="D557" s="1995" t="s">
        <v>131</v>
      </c>
      <c r="E557" s="1996"/>
      <c r="F557" s="1996"/>
      <c r="G557" s="1996"/>
      <c r="H557" s="1996"/>
      <c r="I557" s="1996"/>
      <c r="J557" s="1996"/>
      <c r="K557" s="1996"/>
      <c r="L557" s="1996"/>
      <c r="M557" s="1997"/>
      <c r="N557" s="1995" t="s">
        <v>2</v>
      </c>
      <c r="O557" s="1996"/>
      <c r="P557" s="1996"/>
      <c r="Q557" s="1996"/>
      <c r="R557" s="1996"/>
      <c r="S557" s="1996"/>
      <c r="T557" s="1996"/>
      <c r="U557" s="1996"/>
      <c r="V557" s="1996"/>
      <c r="W557" s="1997"/>
      <c r="X557" s="1995" t="s">
        <v>3</v>
      </c>
      <c r="Y557" s="1996"/>
      <c r="Z557" s="1996"/>
      <c r="AA557" s="1996"/>
      <c r="AB557" s="1996"/>
      <c r="AC557" s="1996"/>
      <c r="AD557" s="1996"/>
      <c r="AE557" s="1996"/>
      <c r="AF557" s="1996"/>
      <c r="AG557" s="1997"/>
    </row>
    <row r="558" spans="4:41" ht="24.75" customHeight="1" thickBot="1">
      <c r="D558" s="1899" t="s">
        <v>219</v>
      </c>
      <c r="E558" s="1900"/>
      <c r="F558" s="1900"/>
      <c r="G558" s="1900"/>
      <c r="H558" s="1900"/>
      <c r="I558" s="1900"/>
      <c r="J558" s="1900"/>
      <c r="K558" s="1900"/>
      <c r="L558" s="1900"/>
      <c r="M558" s="1901"/>
      <c r="N558" s="1970">
        <v>314230</v>
      </c>
      <c r="O558" s="1971"/>
      <c r="P558" s="1971"/>
      <c r="Q558" s="1971"/>
      <c r="R558" s="1971"/>
      <c r="S558" s="1971"/>
      <c r="T558" s="1971"/>
      <c r="U558" s="1971"/>
      <c r="V558" s="1971"/>
      <c r="W558" s="1971"/>
      <c r="X558" s="1970">
        <v>391400</v>
      </c>
      <c r="Y558" s="1971"/>
      <c r="Z558" s="1971"/>
      <c r="AA558" s="1971"/>
      <c r="AB558" s="1971"/>
      <c r="AC558" s="1971"/>
      <c r="AD558" s="1971"/>
      <c r="AE558" s="1971"/>
      <c r="AF558" s="1971"/>
      <c r="AG558" s="1971"/>
    </row>
    <row r="559" spans="4:41" ht="27.75" customHeight="1">
      <c r="D559" s="1846" t="s">
        <v>2945</v>
      </c>
      <c r="E559" s="1847"/>
      <c r="F559" s="1847"/>
      <c r="G559" s="1847"/>
      <c r="H559" s="1847"/>
      <c r="I559" s="1847"/>
      <c r="J559" s="1847"/>
      <c r="K559" s="1847"/>
      <c r="L559" s="1847"/>
      <c r="M559" s="1848"/>
      <c r="N559" s="1914">
        <v>279</v>
      </c>
      <c r="O559" s="1860"/>
      <c r="P559" s="1860"/>
      <c r="Q559" s="1860"/>
      <c r="R559" s="1860"/>
      <c r="S559" s="1860"/>
      <c r="T559" s="1860"/>
      <c r="U559" s="1860"/>
      <c r="V559" s="1860"/>
      <c r="W559" s="1860"/>
      <c r="X559" s="1914">
        <v>279</v>
      </c>
      <c r="Y559" s="1860"/>
      <c r="Z559" s="1860"/>
      <c r="AA559" s="1860"/>
      <c r="AB559" s="1860"/>
      <c r="AC559" s="1860"/>
      <c r="AD559" s="1860"/>
      <c r="AE559" s="1860"/>
      <c r="AF559" s="1860"/>
      <c r="AG559" s="1860"/>
    </row>
    <row r="560" spans="4:41" ht="27.75" customHeight="1">
      <c r="D560" s="1846" t="s">
        <v>2946</v>
      </c>
      <c r="E560" s="1847"/>
      <c r="F560" s="1847"/>
      <c r="G560" s="1847"/>
      <c r="H560" s="1847"/>
      <c r="I560" s="1847"/>
      <c r="J560" s="1847"/>
      <c r="K560" s="1847"/>
      <c r="L560" s="1847"/>
      <c r="M560" s="1848"/>
      <c r="N560" s="1914">
        <v>12927</v>
      </c>
      <c r="O560" s="1860"/>
      <c r="P560" s="1860"/>
      <c r="Q560" s="1860"/>
      <c r="R560" s="1860"/>
      <c r="S560" s="1860"/>
      <c r="T560" s="1860"/>
      <c r="U560" s="1860"/>
      <c r="V560" s="1860"/>
      <c r="W560" s="1860"/>
      <c r="X560" s="1914">
        <v>18257</v>
      </c>
      <c r="Y560" s="1860"/>
      <c r="Z560" s="1860"/>
      <c r="AA560" s="1860"/>
      <c r="AB560" s="1860"/>
      <c r="AC560" s="1860"/>
      <c r="AD560" s="1860"/>
      <c r="AE560" s="1860"/>
      <c r="AF560" s="1860"/>
      <c r="AG560" s="1860"/>
    </row>
    <row r="561" spans="1:42" ht="27.75" customHeight="1">
      <c r="D561" s="1846" t="s">
        <v>231</v>
      </c>
      <c r="E561" s="1847"/>
      <c r="F561" s="1847"/>
      <c r="G561" s="1847"/>
      <c r="H561" s="1847"/>
      <c r="I561" s="1847"/>
      <c r="J561" s="1847"/>
      <c r="K561" s="1847"/>
      <c r="L561" s="1847"/>
      <c r="M561" s="1848"/>
      <c r="N561" s="1914">
        <v>301024</v>
      </c>
      <c r="O561" s="1860"/>
      <c r="P561" s="1860"/>
      <c r="Q561" s="1860"/>
      <c r="R561" s="1860"/>
      <c r="S561" s="1860"/>
      <c r="T561" s="1860"/>
      <c r="U561" s="1860"/>
      <c r="V561" s="1860"/>
      <c r="W561" s="1860"/>
      <c r="X561" s="1914">
        <v>372864</v>
      </c>
      <c r="Y561" s="1860"/>
      <c r="Z561" s="1860"/>
      <c r="AA561" s="1860"/>
      <c r="AB561" s="1860"/>
      <c r="AC561" s="1860"/>
      <c r="AD561" s="1860"/>
      <c r="AE561" s="1860"/>
      <c r="AF561" s="1860"/>
      <c r="AG561" s="1860"/>
    </row>
    <row r="562" spans="1:42" ht="27" customHeight="1" thickBot="1">
      <c r="D562" s="1899" t="s">
        <v>216</v>
      </c>
      <c r="E562" s="1900"/>
      <c r="F562" s="1900"/>
      <c r="G562" s="1900"/>
      <c r="H562" s="1900"/>
      <c r="I562" s="1900"/>
      <c r="J562" s="1900"/>
      <c r="K562" s="1900"/>
      <c r="L562" s="1900"/>
      <c r="M562" s="1901"/>
      <c r="N562" s="1970">
        <v>1181891</v>
      </c>
      <c r="O562" s="1971"/>
      <c r="P562" s="1971"/>
      <c r="Q562" s="1971"/>
      <c r="R562" s="1971"/>
      <c r="S562" s="1971"/>
      <c r="T562" s="1971"/>
      <c r="U562" s="1971"/>
      <c r="V562" s="1971"/>
      <c r="W562" s="1971"/>
      <c r="X562" s="1970">
        <v>988127</v>
      </c>
      <c r="Y562" s="1971"/>
      <c r="Z562" s="1971"/>
      <c r="AA562" s="1971"/>
      <c r="AB562" s="1971"/>
      <c r="AC562" s="1971"/>
      <c r="AD562" s="1971"/>
      <c r="AE562" s="1971"/>
      <c r="AF562" s="1971"/>
      <c r="AG562" s="1971"/>
    </row>
    <row r="563" spans="1:42" ht="27" customHeight="1">
      <c r="D563" s="1846" t="s">
        <v>2945</v>
      </c>
      <c r="E563" s="1847"/>
      <c r="F563" s="1847"/>
      <c r="G563" s="1847"/>
      <c r="H563" s="1847"/>
      <c r="I563" s="1847"/>
      <c r="J563" s="1847"/>
      <c r="K563" s="1847"/>
      <c r="L563" s="1847"/>
      <c r="M563" s="1848"/>
      <c r="N563" s="1914">
        <v>19992</v>
      </c>
      <c r="O563" s="1860"/>
      <c r="P563" s="1860"/>
      <c r="Q563" s="1860"/>
      <c r="R563" s="1860"/>
      <c r="S563" s="1860"/>
      <c r="T563" s="1860"/>
      <c r="U563" s="1860"/>
      <c r="V563" s="1860"/>
      <c r="W563" s="1860"/>
      <c r="X563" s="1914">
        <v>4427</v>
      </c>
      <c r="Y563" s="1860"/>
      <c r="Z563" s="1860"/>
      <c r="AA563" s="1860"/>
      <c r="AB563" s="1860"/>
      <c r="AC563" s="1860"/>
      <c r="AD563" s="1860"/>
      <c r="AE563" s="1860"/>
      <c r="AF563" s="1860"/>
      <c r="AG563" s="1860"/>
    </row>
    <row r="564" spans="1:42" ht="27" customHeight="1">
      <c r="D564" s="1846" t="s">
        <v>2947</v>
      </c>
      <c r="E564" s="1847"/>
      <c r="F564" s="1847"/>
      <c r="G564" s="1847"/>
      <c r="H564" s="1847"/>
      <c r="I564" s="1847"/>
      <c r="J564" s="1847"/>
      <c r="K564" s="1847"/>
      <c r="L564" s="1847"/>
      <c r="M564" s="1848"/>
      <c r="N564" s="1914">
        <v>1059744</v>
      </c>
      <c r="O564" s="1860"/>
      <c r="P564" s="1860"/>
      <c r="Q564" s="1860"/>
      <c r="R564" s="1860"/>
      <c r="S564" s="1860"/>
      <c r="T564" s="1860"/>
      <c r="U564" s="1860"/>
      <c r="V564" s="1860"/>
      <c r="W564" s="1860"/>
      <c r="X564" s="1914">
        <v>763340</v>
      </c>
      <c r="Y564" s="1860"/>
      <c r="Z564" s="1860"/>
      <c r="AA564" s="1860"/>
      <c r="AB564" s="1860"/>
      <c r="AC564" s="1860"/>
      <c r="AD564" s="1860"/>
      <c r="AE564" s="1860"/>
      <c r="AF564" s="1860"/>
      <c r="AG564" s="1860"/>
    </row>
    <row r="565" spans="1:42" ht="27" customHeight="1">
      <c r="D565" s="1846" t="s">
        <v>2948</v>
      </c>
      <c r="E565" s="1847"/>
      <c r="F565" s="1847"/>
      <c r="G565" s="1847"/>
      <c r="H565" s="1847"/>
      <c r="I565" s="1847"/>
      <c r="J565" s="1847"/>
      <c r="K565" s="1847"/>
      <c r="L565" s="1847"/>
      <c r="M565" s="1848"/>
      <c r="N565" s="1914">
        <v>47382</v>
      </c>
      <c r="O565" s="1860"/>
      <c r="P565" s="1860"/>
      <c r="Q565" s="1860"/>
      <c r="R565" s="1860"/>
      <c r="S565" s="1860"/>
      <c r="T565" s="1860"/>
      <c r="U565" s="1860"/>
      <c r="V565" s="1860"/>
      <c r="W565" s="1860"/>
      <c r="X565" s="1914">
        <v>46090</v>
      </c>
      <c r="Y565" s="1860"/>
      <c r="Z565" s="1860"/>
      <c r="AA565" s="1860"/>
      <c r="AB565" s="1860"/>
      <c r="AC565" s="1860"/>
      <c r="AD565" s="1860"/>
      <c r="AE565" s="1860"/>
      <c r="AF565" s="1860"/>
      <c r="AG565" s="1860"/>
    </row>
    <row r="566" spans="1:42" s="786" customFormat="1" ht="27" customHeight="1">
      <c r="A566" s="784"/>
      <c r="D566" s="1846" t="s">
        <v>2949</v>
      </c>
      <c r="E566" s="1847"/>
      <c r="F566" s="1847"/>
      <c r="G566" s="1847"/>
      <c r="H566" s="1847"/>
      <c r="I566" s="1847"/>
      <c r="J566" s="1847"/>
      <c r="K566" s="1847"/>
      <c r="L566" s="1847"/>
      <c r="M566" s="1848"/>
      <c r="N566" s="1914">
        <v>31104</v>
      </c>
      <c r="O566" s="1860"/>
      <c r="P566" s="1860"/>
      <c r="Q566" s="1860"/>
      <c r="R566" s="1860"/>
      <c r="S566" s="1860"/>
      <c r="T566" s="1860"/>
      <c r="U566" s="1860"/>
      <c r="V566" s="1860"/>
      <c r="W566" s="1860"/>
      <c r="X566" s="1914">
        <v>28038</v>
      </c>
      <c r="Y566" s="1860"/>
      <c r="Z566" s="1860"/>
      <c r="AA566" s="1860"/>
      <c r="AB566" s="1860"/>
      <c r="AC566" s="1860"/>
      <c r="AD566" s="1860"/>
      <c r="AE566" s="1860"/>
      <c r="AF566" s="1860"/>
      <c r="AG566" s="1860"/>
    </row>
    <row r="567" spans="1:42" s="786" customFormat="1" ht="27" customHeight="1">
      <c r="A567" s="784"/>
      <c r="D567" s="1846" t="s">
        <v>2950</v>
      </c>
      <c r="E567" s="1847"/>
      <c r="F567" s="1847"/>
      <c r="G567" s="1847"/>
      <c r="H567" s="1847"/>
      <c r="I567" s="1847"/>
      <c r="J567" s="1847"/>
      <c r="K567" s="1847"/>
      <c r="L567" s="1847"/>
      <c r="M567" s="1848"/>
      <c r="N567" s="1914">
        <v>8319</v>
      </c>
      <c r="O567" s="1860"/>
      <c r="P567" s="1860"/>
      <c r="Q567" s="1860"/>
      <c r="R567" s="1860"/>
      <c r="S567" s="1860"/>
      <c r="T567" s="1860"/>
      <c r="U567" s="1860"/>
      <c r="V567" s="1860"/>
      <c r="W567" s="1860"/>
      <c r="X567" s="1914">
        <v>142188</v>
      </c>
      <c r="Y567" s="1860"/>
      <c r="Z567" s="1860"/>
      <c r="AA567" s="1860"/>
      <c r="AB567" s="1860"/>
      <c r="AC567" s="1860"/>
      <c r="AD567" s="1860"/>
      <c r="AE567" s="1860"/>
      <c r="AF567" s="1860"/>
      <c r="AG567" s="1860"/>
    </row>
    <row r="568" spans="1:42" s="786" customFormat="1" ht="27" customHeight="1" thickBot="1">
      <c r="A568" s="784"/>
      <c r="D568" s="2011" t="s">
        <v>2951</v>
      </c>
      <c r="E568" s="2012"/>
      <c r="F568" s="2012"/>
      <c r="G568" s="2012"/>
      <c r="H568" s="2012"/>
      <c r="I568" s="2012"/>
      <c r="J568" s="2012"/>
      <c r="K568" s="2012"/>
      <c r="L568" s="2012"/>
      <c r="M568" s="2013"/>
      <c r="N568" s="2010">
        <v>15350</v>
      </c>
      <c r="O568" s="2294"/>
      <c r="P568" s="2294"/>
      <c r="Q568" s="2294"/>
      <c r="R568" s="2294"/>
      <c r="S568" s="2294"/>
      <c r="T568" s="2294"/>
      <c r="U568" s="2294"/>
      <c r="V568" s="2294"/>
      <c r="W568" s="2294"/>
      <c r="X568" s="2010">
        <v>4044</v>
      </c>
      <c r="Y568" s="2294"/>
      <c r="Z568" s="2294"/>
      <c r="AA568" s="2294"/>
      <c r="AB568" s="2294"/>
      <c r="AC568" s="2294"/>
      <c r="AD568" s="2294"/>
      <c r="AE568" s="2294"/>
      <c r="AF568" s="2294"/>
      <c r="AG568" s="2294"/>
    </row>
    <row r="569" spans="1:42" s="786" customFormat="1" ht="21.75" customHeight="1" thickBot="1">
      <c r="A569" s="784"/>
    </row>
    <row r="570" spans="1:42" ht="28.5" customHeight="1" thickTop="1" thickBot="1">
      <c r="D570" s="1995" t="s">
        <v>131</v>
      </c>
      <c r="E570" s="1996"/>
      <c r="F570" s="1996"/>
      <c r="G570" s="1996"/>
      <c r="H570" s="1996"/>
      <c r="I570" s="1996"/>
      <c r="J570" s="1996"/>
      <c r="K570" s="1996"/>
      <c r="L570" s="1996"/>
      <c r="M570" s="1997"/>
      <c r="N570" s="1995" t="s">
        <v>2</v>
      </c>
      <c r="O570" s="1996"/>
      <c r="P570" s="1996"/>
      <c r="Q570" s="1996"/>
      <c r="R570" s="1996"/>
      <c r="S570" s="1996"/>
      <c r="T570" s="1996"/>
      <c r="U570" s="1996"/>
      <c r="V570" s="1996"/>
      <c r="W570" s="1997"/>
      <c r="X570" s="1995" t="s">
        <v>3</v>
      </c>
      <c r="Y570" s="1996"/>
      <c r="Z570" s="1996"/>
      <c r="AA570" s="1996"/>
      <c r="AB570" s="1996"/>
      <c r="AC570" s="1996"/>
      <c r="AD570" s="1996"/>
      <c r="AE570" s="1996"/>
      <c r="AF570" s="1996"/>
      <c r="AG570" s="1997"/>
      <c r="AL570" s="591" t="s">
        <v>2</v>
      </c>
      <c r="AM570" s="594" t="s">
        <v>3</v>
      </c>
      <c r="AO570" s="591" t="s">
        <v>2</v>
      </c>
      <c r="AP570" s="594" t="s">
        <v>3</v>
      </c>
    </row>
    <row r="571" spans="1:42" ht="28.5" customHeight="1" thickBot="1">
      <c r="D571" s="1899" t="s">
        <v>219</v>
      </c>
      <c r="E571" s="1900"/>
      <c r="F571" s="1900"/>
      <c r="G571" s="1900"/>
      <c r="H571" s="1900"/>
      <c r="I571" s="1900"/>
      <c r="J571" s="1900"/>
      <c r="K571" s="1900"/>
      <c r="L571" s="1900"/>
      <c r="M571" s="1901"/>
      <c r="N571" s="1970">
        <f>SUM(N572:W573)</f>
        <v>314230</v>
      </c>
      <c r="O571" s="1971"/>
      <c r="P571" s="1971"/>
      <c r="Q571" s="1971"/>
      <c r="R571" s="1971"/>
      <c r="S571" s="1971"/>
      <c r="T571" s="1971"/>
      <c r="U571" s="1971"/>
      <c r="V571" s="1971"/>
      <c r="W571" s="1971"/>
      <c r="X571" s="1970">
        <f>SUM(X572:AG573)</f>
        <v>391400</v>
      </c>
      <c r="Y571" s="1971"/>
      <c r="Z571" s="1971"/>
      <c r="AA571" s="1971"/>
      <c r="AB571" s="1971"/>
      <c r="AC571" s="1971"/>
      <c r="AD571" s="1971"/>
      <c r="AE571" s="1971"/>
      <c r="AF571" s="1971"/>
      <c r="AG571" s="1971"/>
      <c r="AL571" s="609">
        <f>SUM(N572:W573)-N571</f>
        <v>0</v>
      </c>
      <c r="AM571" s="611">
        <f>SUM(X572:AG573)-X571</f>
        <v>0</v>
      </c>
      <c r="AO571" s="626">
        <f>N571-BS!$D$117</f>
        <v>0</v>
      </c>
      <c r="AP571" s="627">
        <f>X571-BS!$E$117</f>
        <v>0</v>
      </c>
    </row>
    <row r="572" spans="1:42" ht="28.5" customHeight="1">
      <c r="D572" s="1761" t="s">
        <v>218</v>
      </c>
      <c r="E572" s="1762"/>
      <c r="F572" s="1762"/>
      <c r="G572" s="1762"/>
      <c r="H572" s="1762"/>
      <c r="I572" s="1762"/>
      <c r="J572" s="1762"/>
      <c r="K572" s="1762"/>
      <c r="L572" s="1762"/>
      <c r="M572" s="1763"/>
      <c r="N572" s="1914">
        <v>301024</v>
      </c>
      <c r="O572" s="1860"/>
      <c r="P572" s="1860"/>
      <c r="Q572" s="1860"/>
      <c r="R572" s="1860"/>
      <c r="S572" s="1860"/>
      <c r="T572" s="1860"/>
      <c r="U572" s="1860"/>
      <c r="V572" s="1860"/>
      <c r="W572" s="1860"/>
      <c r="X572" s="1914">
        <v>372864</v>
      </c>
      <c r="Y572" s="1860"/>
      <c r="Z572" s="1860"/>
      <c r="AA572" s="1860"/>
      <c r="AB572" s="1860"/>
      <c r="AC572" s="1860"/>
      <c r="AD572" s="1860"/>
      <c r="AE572" s="1860"/>
      <c r="AF572" s="1860"/>
      <c r="AG572" s="1860"/>
      <c r="AL572" s="606"/>
      <c r="AM572" s="619"/>
      <c r="AO572" s="624"/>
      <c r="AP572" s="625"/>
    </row>
    <row r="573" spans="1:42" ht="28.5" customHeight="1">
      <c r="D573" s="1986" t="s">
        <v>217</v>
      </c>
      <c r="E573" s="1987"/>
      <c r="F573" s="1987"/>
      <c r="G573" s="1987"/>
      <c r="H573" s="1987"/>
      <c r="I573" s="1987"/>
      <c r="J573" s="1987"/>
      <c r="K573" s="1987"/>
      <c r="L573" s="1987"/>
      <c r="M573" s="1988"/>
      <c r="N573" s="1914">
        <v>13206</v>
      </c>
      <c r="O573" s="1860"/>
      <c r="P573" s="1860"/>
      <c r="Q573" s="1860"/>
      <c r="R573" s="1860"/>
      <c r="S573" s="1860"/>
      <c r="T573" s="1860"/>
      <c r="U573" s="1860"/>
      <c r="V573" s="1860"/>
      <c r="W573" s="1860"/>
      <c r="X573" s="1914">
        <v>18536</v>
      </c>
      <c r="Y573" s="1860"/>
      <c r="Z573" s="1860"/>
      <c r="AA573" s="1860"/>
      <c r="AB573" s="1860"/>
      <c r="AC573" s="1860"/>
      <c r="AD573" s="1860"/>
      <c r="AE573" s="1860"/>
      <c r="AF573" s="1860"/>
      <c r="AG573" s="1860"/>
      <c r="AL573" s="606"/>
      <c r="AM573" s="619"/>
      <c r="AO573" s="624"/>
      <c r="AP573" s="625"/>
    </row>
    <row r="574" spans="1:42" ht="28.5" customHeight="1" thickBot="1">
      <c r="D574" s="1899" t="s">
        <v>216</v>
      </c>
      <c r="E574" s="1900"/>
      <c r="F574" s="1900"/>
      <c r="G574" s="1900"/>
      <c r="H574" s="1900"/>
      <c r="I574" s="1900"/>
      <c r="J574" s="1900"/>
      <c r="K574" s="1900"/>
      <c r="L574" s="1900"/>
      <c r="M574" s="1901"/>
      <c r="N574" s="1970">
        <f>SUM(N575:W576)</f>
        <v>1181891</v>
      </c>
      <c r="O574" s="1971"/>
      <c r="P574" s="1971"/>
      <c r="Q574" s="1971"/>
      <c r="R574" s="1971"/>
      <c r="S574" s="1971"/>
      <c r="T574" s="1971"/>
      <c r="U574" s="1971"/>
      <c r="V574" s="1971"/>
      <c r="W574" s="1971"/>
      <c r="X574" s="1970">
        <f>SUM(X575:AG576)</f>
        <v>988127</v>
      </c>
      <c r="Y574" s="1971"/>
      <c r="Z574" s="1971"/>
      <c r="AA574" s="1971"/>
      <c r="AB574" s="1971"/>
      <c r="AC574" s="1971"/>
      <c r="AD574" s="1971"/>
      <c r="AE574" s="1971"/>
      <c r="AF574" s="1971"/>
      <c r="AG574" s="1971"/>
      <c r="AL574" s="621">
        <f>SUM(N575:W576)-N574</f>
        <v>0</v>
      </c>
      <c r="AM574" s="608">
        <f>SUM(X575:AG576)-X574</f>
        <v>0</v>
      </c>
      <c r="AO574" s="622">
        <f>N574-BS!$D$137</f>
        <v>0</v>
      </c>
      <c r="AP574" s="623">
        <f>X574-BS!$E$137</f>
        <v>0</v>
      </c>
    </row>
    <row r="575" spans="1:42" ht="28.5" customHeight="1">
      <c r="D575" s="1761" t="s">
        <v>473</v>
      </c>
      <c r="E575" s="1762"/>
      <c r="F575" s="1762"/>
      <c r="G575" s="1762"/>
      <c r="H575" s="1762"/>
      <c r="I575" s="1762"/>
      <c r="J575" s="1762"/>
      <c r="K575" s="1762"/>
      <c r="L575" s="1762"/>
      <c r="M575" s="1763"/>
      <c r="N575" s="1883">
        <v>854320</v>
      </c>
      <c r="O575" s="1773"/>
      <c r="P575" s="1773"/>
      <c r="Q575" s="1773"/>
      <c r="R575" s="1773"/>
      <c r="S575" s="1773"/>
      <c r="T575" s="1773"/>
      <c r="U575" s="1773"/>
      <c r="V575" s="1773"/>
      <c r="W575" s="1773"/>
      <c r="X575" s="1883">
        <v>891880</v>
      </c>
      <c r="Y575" s="1773"/>
      <c r="Z575" s="1773"/>
      <c r="AA575" s="1773"/>
      <c r="AB575" s="1773"/>
      <c r="AC575" s="1773"/>
      <c r="AD575" s="1773"/>
      <c r="AE575" s="1773"/>
      <c r="AF575" s="1773"/>
      <c r="AG575" s="1773"/>
      <c r="AL575" s="606"/>
      <c r="AM575" s="619"/>
      <c r="AO575" s="624"/>
      <c r="AP575" s="625"/>
    </row>
    <row r="576" spans="1:42" ht="28.5" customHeight="1">
      <c r="D576" s="1986" t="s">
        <v>215</v>
      </c>
      <c r="E576" s="1987"/>
      <c r="F576" s="1987"/>
      <c r="G576" s="1987"/>
      <c r="H576" s="1987"/>
      <c r="I576" s="1987"/>
      <c r="J576" s="1987"/>
      <c r="K576" s="1987"/>
      <c r="L576" s="1987"/>
      <c r="M576" s="1988"/>
      <c r="N576" s="1989">
        <v>327571</v>
      </c>
      <c r="O576" s="1990"/>
      <c r="P576" s="1990"/>
      <c r="Q576" s="1990"/>
      <c r="R576" s="1990"/>
      <c r="S576" s="1990"/>
      <c r="T576" s="1990"/>
      <c r="U576" s="1990"/>
      <c r="V576" s="1990"/>
      <c r="W576" s="1990"/>
      <c r="X576" s="1991">
        <v>96247</v>
      </c>
      <c r="Y576" s="1991"/>
      <c r="Z576" s="1991"/>
      <c r="AA576" s="1991"/>
      <c r="AB576" s="1991"/>
      <c r="AC576" s="1991"/>
      <c r="AD576" s="1991"/>
      <c r="AE576" s="1991"/>
      <c r="AF576" s="1991"/>
      <c r="AG576" s="1991"/>
      <c r="AL576" s="612"/>
      <c r="AM576" s="618"/>
      <c r="AO576" s="641"/>
      <c r="AP576" s="642"/>
    </row>
    <row r="577" spans="1:33" ht="28.5" customHeight="1"/>
    <row r="578" spans="1:33" ht="14.25" customHeight="1">
      <c r="D578" s="1992" t="s">
        <v>2909</v>
      </c>
      <c r="E578" s="1992"/>
      <c r="F578" s="1992"/>
      <c r="G578" s="1992"/>
      <c r="H578" s="1992"/>
      <c r="I578" s="1992"/>
      <c r="J578" s="1992"/>
      <c r="K578" s="1992"/>
      <c r="L578" s="1992"/>
      <c r="M578" s="1992"/>
      <c r="N578" s="1992"/>
      <c r="O578" s="1992"/>
      <c r="P578" s="1992"/>
      <c r="Q578" s="1992"/>
      <c r="R578" s="1992"/>
      <c r="S578" s="1992"/>
      <c r="T578" s="1992"/>
      <c r="U578" s="1992"/>
      <c r="V578" s="1992"/>
      <c r="W578" s="1992"/>
      <c r="X578" s="1992"/>
      <c r="Y578" s="1992"/>
      <c r="Z578" s="1992"/>
      <c r="AA578" s="1992"/>
      <c r="AB578" s="1992"/>
      <c r="AC578" s="1992"/>
      <c r="AD578" s="1992"/>
      <c r="AE578" s="1992"/>
      <c r="AF578" s="1992"/>
      <c r="AG578" s="1992"/>
    </row>
    <row r="580" spans="1:33" ht="14.25" customHeight="1">
      <c r="D580" s="582" t="s">
        <v>3005</v>
      </c>
    </row>
    <row r="582" spans="1:33" s="786" customFormat="1" ht="14.25" customHeight="1">
      <c r="A582" s="784"/>
      <c r="D582" s="1992" t="s">
        <v>2934</v>
      </c>
      <c r="E582" s="2001"/>
      <c r="F582" s="2001"/>
      <c r="G582" s="2001"/>
      <c r="H582" s="2001"/>
      <c r="I582" s="2001"/>
      <c r="J582" s="2001"/>
      <c r="K582" s="2001"/>
      <c r="L582" s="2001"/>
      <c r="M582" s="2001"/>
      <c r="N582" s="2001"/>
      <c r="O582" s="2001"/>
      <c r="P582" s="2001"/>
      <c r="Q582" s="2001"/>
      <c r="R582" s="2001"/>
      <c r="S582" s="2001"/>
      <c r="T582" s="2001"/>
      <c r="U582" s="2001"/>
      <c r="V582" s="2001"/>
      <c r="W582" s="2001"/>
      <c r="X582" s="2001"/>
      <c r="Y582" s="2001"/>
      <c r="Z582" s="2001"/>
      <c r="AA582" s="2001"/>
      <c r="AB582" s="2001"/>
      <c r="AC582" s="2001"/>
      <c r="AD582" s="2001"/>
      <c r="AE582" s="2001"/>
      <c r="AF582" s="2001"/>
      <c r="AG582" s="2001"/>
    </row>
    <row r="583" spans="1:33" ht="14.25" customHeight="1" thickBot="1"/>
    <row r="584" spans="1:33" ht="20.25" customHeight="1" thickBot="1">
      <c r="D584" s="1838" t="s">
        <v>131</v>
      </c>
      <c r="E584" s="1838"/>
      <c r="F584" s="1838"/>
      <c r="G584" s="1838"/>
      <c r="H584" s="1838"/>
      <c r="I584" s="1838"/>
      <c r="J584" s="1838"/>
      <c r="K584" s="1838"/>
      <c r="L584" s="1838"/>
      <c r="M584" s="1838"/>
      <c r="N584" s="1849" t="s">
        <v>2</v>
      </c>
      <c r="O584" s="1849"/>
      <c r="P584" s="1849"/>
      <c r="Q584" s="1849"/>
      <c r="R584" s="1849"/>
      <c r="S584" s="1849"/>
      <c r="T584" s="1849"/>
      <c r="U584" s="1849"/>
      <c r="V584" s="1849"/>
      <c r="W584" s="1849"/>
      <c r="X584" s="1838" t="s">
        <v>3</v>
      </c>
      <c r="Y584" s="1838"/>
      <c r="Z584" s="1838"/>
      <c r="AA584" s="1838"/>
      <c r="AB584" s="1838"/>
      <c r="AC584" s="1838"/>
      <c r="AD584" s="1838"/>
      <c r="AE584" s="1838"/>
      <c r="AF584" s="1838"/>
      <c r="AG584" s="1838"/>
    </row>
    <row r="585" spans="1:33" ht="34.5" customHeight="1">
      <c r="D585" s="1868" t="s">
        <v>220</v>
      </c>
      <c r="E585" s="1868"/>
      <c r="F585" s="1868"/>
      <c r="G585" s="1868"/>
      <c r="H585" s="1868"/>
      <c r="I585" s="1868"/>
      <c r="J585" s="1868"/>
      <c r="K585" s="1868"/>
      <c r="L585" s="1868"/>
      <c r="M585" s="1868"/>
      <c r="N585" s="1985">
        <f>N586+N587</f>
        <v>-1504512</v>
      </c>
      <c r="O585" s="1985"/>
      <c r="P585" s="1985"/>
      <c r="Q585" s="1985"/>
      <c r="R585" s="1985"/>
      <c r="S585" s="1985"/>
      <c r="T585" s="1985"/>
      <c r="U585" s="1985"/>
      <c r="V585" s="1985"/>
      <c r="W585" s="1985"/>
      <c r="X585" s="1985">
        <f>X586+X587</f>
        <v>-1843688</v>
      </c>
      <c r="Y585" s="1985"/>
      <c r="Z585" s="1985"/>
      <c r="AA585" s="1985"/>
      <c r="AB585" s="1985"/>
      <c r="AC585" s="1985"/>
      <c r="AD585" s="1985"/>
      <c r="AE585" s="1985"/>
      <c r="AF585" s="1985"/>
      <c r="AG585" s="1985"/>
    </row>
    <row r="586" spans="1:33" ht="14.25" customHeight="1">
      <c r="D586" s="1787" t="s">
        <v>221</v>
      </c>
      <c r="E586" s="1787"/>
      <c r="F586" s="1787"/>
      <c r="G586" s="1787"/>
      <c r="H586" s="1787"/>
      <c r="I586" s="1787"/>
      <c r="J586" s="1787"/>
      <c r="K586" s="1787"/>
      <c r="L586" s="1787"/>
      <c r="M586" s="1787"/>
      <c r="N586" s="1773">
        <v>15954</v>
      </c>
      <c r="O586" s="1773"/>
      <c r="P586" s="1773"/>
      <c r="Q586" s="1773"/>
      <c r="R586" s="1773"/>
      <c r="S586" s="1773"/>
      <c r="T586" s="1773"/>
      <c r="U586" s="1773"/>
      <c r="V586" s="1773"/>
      <c r="W586" s="1773"/>
      <c r="X586" s="1773">
        <v>4833</v>
      </c>
      <c r="Y586" s="1773"/>
      <c r="Z586" s="1773"/>
      <c r="AA586" s="1773"/>
      <c r="AB586" s="1773"/>
      <c r="AC586" s="1773"/>
      <c r="AD586" s="1773"/>
      <c r="AE586" s="1773"/>
      <c r="AF586" s="1773"/>
      <c r="AG586" s="1773"/>
    </row>
    <row r="587" spans="1:33" ht="14.25" customHeight="1">
      <c r="D587" s="1787" t="s">
        <v>222</v>
      </c>
      <c r="E587" s="1787"/>
      <c r="F587" s="1787"/>
      <c r="G587" s="1787"/>
      <c r="H587" s="1787"/>
      <c r="I587" s="1787"/>
      <c r="J587" s="1787"/>
      <c r="K587" s="1787"/>
      <c r="L587" s="1787"/>
      <c r="M587" s="1787"/>
      <c r="N587" s="1773">
        <v>-1520466</v>
      </c>
      <c r="O587" s="1773"/>
      <c r="P587" s="1773"/>
      <c r="Q587" s="1773"/>
      <c r="R587" s="1773"/>
      <c r="S587" s="1773"/>
      <c r="T587" s="1773"/>
      <c r="U587" s="1773"/>
      <c r="V587" s="1773"/>
      <c r="W587" s="1773"/>
      <c r="X587" s="1773">
        <v>-1848521</v>
      </c>
      <c r="Y587" s="1773"/>
      <c r="Z587" s="1773"/>
      <c r="AA587" s="1773"/>
      <c r="AB587" s="1773"/>
      <c r="AC587" s="1773"/>
      <c r="AD587" s="1773"/>
      <c r="AE587" s="1773"/>
      <c r="AF587" s="1773"/>
      <c r="AG587" s="1773"/>
    </row>
    <row r="588" spans="1:33" ht="37.5" customHeight="1">
      <c r="D588" s="1818" t="s">
        <v>223</v>
      </c>
      <c r="E588" s="1818"/>
      <c r="F588" s="1818"/>
      <c r="G588" s="1818"/>
      <c r="H588" s="1818"/>
      <c r="I588" s="1818"/>
      <c r="J588" s="1818"/>
      <c r="K588" s="1818"/>
      <c r="L588" s="1818"/>
      <c r="M588" s="1818"/>
      <c r="N588" s="1958">
        <f>N589</f>
        <v>71060</v>
      </c>
      <c r="O588" s="1958"/>
      <c r="P588" s="1958"/>
      <c r="Q588" s="1958"/>
      <c r="R588" s="1958"/>
      <c r="S588" s="1958"/>
      <c r="T588" s="1958"/>
      <c r="U588" s="1958"/>
      <c r="V588" s="1958"/>
      <c r="W588" s="1958"/>
      <c r="X588" s="1958">
        <f>X589</f>
        <v>68143</v>
      </c>
      <c r="Y588" s="1958"/>
      <c r="Z588" s="1958"/>
      <c r="AA588" s="1958"/>
      <c r="AB588" s="1958"/>
      <c r="AC588" s="1958"/>
      <c r="AD588" s="1958"/>
      <c r="AE588" s="1958"/>
      <c r="AF588" s="1958"/>
      <c r="AG588" s="1958"/>
    </row>
    <row r="589" spans="1:33" ht="14.25" customHeight="1">
      <c r="D589" s="1787" t="s">
        <v>221</v>
      </c>
      <c r="E589" s="1787"/>
      <c r="F589" s="1787"/>
      <c r="G589" s="1787"/>
      <c r="H589" s="1787"/>
      <c r="I589" s="1787"/>
      <c r="J589" s="1787"/>
      <c r="K589" s="1787"/>
      <c r="L589" s="1787"/>
      <c r="M589" s="1787"/>
      <c r="N589" s="1773">
        <v>71060</v>
      </c>
      <c r="O589" s="1773"/>
      <c r="P589" s="1773"/>
      <c r="Q589" s="1773"/>
      <c r="R589" s="1773"/>
      <c r="S589" s="1773"/>
      <c r="T589" s="1773"/>
      <c r="U589" s="1773"/>
      <c r="V589" s="1773"/>
      <c r="W589" s="1773"/>
      <c r="X589" s="1773">
        <v>68143</v>
      </c>
      <c r="Y589" s="1773"/>
      <c r="Z589" s="1773"/>
      <c r="AA589" s="1773"/>
      <c r="AB589" s="1773"/>
      <c r="AC589" s="1773"/>
      <c r="AD589" s="1773"/>
      <c r="AE589" s="1773"/>
      <c r="AF589" s="1773"/>
      <c r="AG589" s="1773"/>
    </row>
    <row r="590" spans="1:33" ht="14.25" customHeight="1">
      <c r="D590" s="1787" t="s">
        <v>222</v>
      </c>
      <c r="E590" s="1787"/>
      <c r="F590" s="1787"/>
      <c r="G590" s="1787"/>
      <c r="H590" s="1787"/>
      <c r="I590" s="1787"/>
      <c r="J590" s="1787"/>
      <c r="K590" s="1787"/>
      <c r="L590" s="1787"/>
      <c r="M590" s="1787"/>
      <c r="N590" s="1773">
        <v>0</v>
      </c>
      <c r="O590" s="1773"/>
      <c r="P590" s="1773"/>
      <c r="Q590" s="1773"/>
      <c r="R590" s="1773"/>
      <c r="S590" s="1773"/>
      <c r="T590" s="1773"/>
      <c r="U590" s="1773"/>
      <c r="V590" s="1773"/>
      <c r="W590" s="1773"/>
      <c r="X590" s="1912">
        <v>0</v>
      </c>
      <c r="Y590" s="1913"/>
      <c r="Z590" s="1913"/>
      <c r="AA590" s="1913"/>
      <c r="AB590" s="1913"/>
      <c r="AC590" s="1913"/>
      <c r="AD590" s="1913"/>
      <c r="AE590" s="1913"/>
      <c r="AF590" s="1913"/>
      <c r="AG590" s="1914"/>
    </row>
    <row r="591" spans="1:33" ht="24" customHeight="1">
      <c r="D591" s="1818" t="s">
        <v>224</v>
      </c>
      <c r="E591" s="1818"/>
      <c r="F591" s="1818"/>
      <c r="G591" s="1818"/>
      <c r="H591" s="1818"/>
      <c r="I591" s="1818"/>
      <c r="J591" s="1818"/>
      <c r="K591" s="1818"/>
      <c r="L591" s="1818"/>
      <c r="M591" s="1818"/>
      <c r="N591" s="1958">
        <v>0</v>
      </c>
      <c r="O591" s="1958"/>
      <c r="P591" s="1958"/>
      <c r="Q591" s="1958"/>
      <c r="R591" s="1958"/>
      <c r="S591" s="1958"/>
      <c r="T591" s="1958"/>
      <c r="U591" s="1958"/>
      <c r="V591" s="1958"/>
      <c r="W591" s="1958"/>
      <c r="X591" s="1979">
        <v>0</v>
      </c>
      <c r="Y591" s="1980"/>
      <c r="Z591" s="1980"/>
      <c r="AA591" s="1980"/>
      <c r="AB591" s="1980"/>
      <c r="AC591" s="1980"/>
      <c r="AD591" s="1980"/>
      <c r="AE591" s="1980"/>
      <c r="AF591" s="1980"/>
      <c r="AG591" s="1981"/>
    </row>
    <row r="592" spans="1:33" ht="24.75" customHeight="1">
      <c r="D592" s="1818" t="s">
        <v>225</v>
      </c>
      <c r="E592" s="1818"/>
      <c r="F592" s="1818"/>
      <c r="G592" s="1818"/>
      <c r="H592" s="1818"/>
      <c r="I592" s="1818"/>
      <c r="J592" s="1818"/>
      <c r="K592" s="1818"/>
      <c r="L592" s="1818"/>
      <c r="M592" s="1818"/>
      <c r="N592" s="1958">
        <v>0</v>
      </c>
      <c r="O592" s="1958"/>
      <c r="P592" s="1958"/>
      <c r="Q592" s="1958"/>
      <c r="R592" s="1958"/>
      <c r="S592" s="1958"/>
      <c r="T592" s="1958"/>
      <c r="U592" s="1958"/>
      <c r="V592" s="1958"/>
      <c r="W592" s="1958"/>
      <c r="X592" s="1979">
        <v>0</v>
      </c>
      <c r="Y592" s="1980"/>
      <c r="Z592" s="1980"/>
      <c r="AA592" s="1980"/>
      <c r="AB592" s="1980"/>
      <c r="AC592" s="1980"/>
      <c r="AD592" s="1980"/>
      <c r="AE592" s="1980"/>
      <c r="AF592" s="1980"/>
      <c r="AG592" s="1981"/>
    </row>
    <row r="593" spans="4:42" ht="14.25" customHeight="1">
      <c r="D593" s="1818" t="s">
        <v>226</v>
      </c>
      <c r="E593" s="1818"/>
      <c r="F593" s="1818"/>
      <c r="G593" s="1818"/>
      <c r="H593" s="1818"/>
      <c r="I593" s="1818"/>
      <c r="J593" s="1818"/>
      <c r="K593" s="1818"/>
      <c r="L593" s="1818"/>
      <c r="M593" s="1818"/>
      <c r="N593" s="1958">
        <v>21</v>
      </c>
      <c r="O593" s="1958"/>
      <c r="P593" s="1958"/>
      <c r="Q593" s="1958"/>
      <c r="R593" s="1958"/>
      <c r="S593" s="1958"/>
      <c r="T593" s="1958"/>
      <c r="U593" s="1958"/>
      <c r="V593" s="1958"/>
      <c r="W593" s="1958"/>
      <c r="X593" s="1979">
        <v>21</v>
      </c>
      <c r="Y593" s="1980"/>
      <c r="Z593" s="1980"/>
      <c r="AA593" s="1980"/>
      <c r="AB593" s="1980"/>
      <c r="AC593" s="1980"/>
      <c r="AD593" s="1980"/>
      <c r="AE593" s="1980"/>
      <c r="AF593" s="1980"/>
      <c r="AG593" s="1981"/>
    </row>
    <row r="594" spans="4:42" ht="14.25" customHeight="1">
      <c r="D594" s="1818" t="s">
        <v>227</v>
      </c>
      <c r="E594" s="1818"/>
      <c r="F594" s="1818"/>
      <c r="G594" s="1818"/>
      <c r="H594" s="1818"/>
      <c r="I594" s="1818"/>
      <c r="J594" s="1818"/>
      <c r="K594" s="1818"/>
      <c r="L594" s="1818"/>
      <c r="M594" s="1818"/>
      <c r="N594" s="1958">
        <v>0</v>
      </c>
      <c r="O594" s="1958"/>
      <c r="P594" s="1958"/>
      <c r="Q594" s="1958"/>
      <c r="R594" s="1958"/>
      <c r="S594" s="1958"/>
      <c r="T594" s="1958"/>
      <c r="U594" s="1958"/>
      <c r="V594" s="1958"/>
      <c r="W594" s="1958"/>
      <c r="X594" s="1979">
        <v>0</v>
      </c>
      <c r="Y594" s="1980"/>
      <c r="Z594" s="1980"/>
      <c r="AA594" s="1980"/>
      <c r="AB594" s="1980"/>
      <c r="AC594" s="1980"/>
      <c r="AD594" s="1980"/>
      <c r="AE594" s="1980"/>
      <c r="AF594" s="1980"/>
      <c r="AG594" s="1981"/>
    </row>
    <row r="595" spans="4:42" ht="14.25" customHeight="1">
      <c r="D595" s="1818" t="s">
        <v>228</v>
      </c>
      <c r="E595" s="1818"/>
      <c r="F595" s="1818"/>
      <c r="G595" s="1818"/>
      <c r="H595" s="1818"/>
      <c r="I595" s="1818"/>
      <c r="J595" s="1818"/>
      <c r="K595" s="1818"/>
      <c r="L595" s="1818"/>
      <c r="M595" s="1818"/>
      <c r="N595" s="1958">
        <v>0</v>
      </c>
      <c r="O595" s="1958"/>
      <c r="P595" s="1958"/>
      <c r="Q595" s="1958"/>
      <c r="R595" s="1958"/>
      <c r="S595" s="1958"/>
      <c r="T595" s="1958"/>
      <c r="U595" s="1958"/>
      <c r="V595" s="1958"/>
      <c r="W595" s="1958"/>
      <c r="X595" s="1979">
        <f>X594</f>
        <v>0</v>
      </c>
      <c r="Y595" s="1980"/>
      <c r="Z595" s="1980"/>
      <c r="AA595" s="1980"/>
      <c r="AB595" s="1980"/>
      <c r="AC595" s="1980"/>
      <c r="AD595" s="1980"/>
      <c r="AE595" s="1980"/>
      <c r="AF595" s="1980"/>
      <c r="AG595" s="1981"/>
    </row>
    <row r="596" spans="4:42" ht="14.25" customHeight="1">
      <c r="D596" s="1994" t="s">
        <v>2000</v>
      </c>
      <c r="E596" s="1787"/>
      <c r="F596" s="1787"/>
      <c r="G596" s="1787"/>
      <c r="H596" s="1787"/>
      <c r="I596" s="1787"/>
      <c r="J596" s="1787"/>
      <c r="K596" s="1787"/>
      <c r="L596" s="1787"/>
      <c r="M596" s="1787"/>
      <c r="N596" s="1773">
        <v>0</v>
      </c>
      <c r="O596" s="1773"/>
      <c r="P596" s="1773"/>
      <c r="Q596" s="1773"/>
      <c r="R596" s="1773"/>
      <c r="S596" s="1773"/>
      <c r="T596" s="1773"/>
      <c r="U596" s="1773"/>
      <c r="V596" s="1773"/>
      <c r="W596" s="1773"/>
      <c r="X596" s="1912">
        <v>0</v>
      </c>
      <c r="Y596" s="1913"/>
      <c r="Z596" s="1913"/>
      <c r="AA596" s="1913"/>
      <c r="AB596" s="1913"/>
      <c r="AC596" s="1913"/>
      <c r="AD596" s="1913"/>
      <c r="AE596" s="1913"/>
      <c r="AF596" s="1913"/>
      <c r="AG596" s="1914"/>
    </row>
    <row r="597" spans="4:42" ht="14.25" customHeight="1">
      <c r="D597" s="1787" t="s">
        <v>230</v>
      </c>
      <c r="E597" s="1787"/>
      <c r="F597" s="1787"/>
      <c r="G597" s="1787"/>
      <c r="H597" s="1787"/>
      <c r="I597" s="1787"/>
      <c r="J597" s="1787"/>
      <c r="K597" s="1787"/>
      <c r="L597" s="1787"/>
      <c r="M597" s="1787"/>
      <c r="N597" s="1773">
        <v>0</v>
      </c>
      <c r="O597" s="1773"/>
      <c r="P597" s="1773"/>
      <c r="Q597" s="1773"/>
      <c r="R597" s="1773"/>
      <c r="S597" s="1773"/>
      <c r="T597" s="1773"/>
      <c r="U597" s="1773"/>
      <c r="V597" s="1773"/>
      <c r="W597" s="1773"/>
      <c r="X597" s="1912">
        <v>0</v>
      </c>
      <c r="Y597" s="1913"/>
      <c r="Z597" s="1913"/>
      <c r="AA597" s="1913"/>
      <c r="AB597" s="1913"/>
      <c r="AC597" s="1913"/>
      <c r="AD597" s="1913"/>
      <c r="AE597" s="1913"/>
      <c r="AF597" s="1913"/>
      <c r="AG597" s="1914"/>
    </row>
    <row r="598" spans="4:42" ht="14.25" customHeight="1">
      <c r="D598" s="1818" t="s">
        <v>231</v>
      </c>
      <c r="E598" s="1818"/>
      <c r="F598" s="1818"/>
      <c r="G598" s="1818"/>
      <c r="H598" s="1818"/>
      <c r="I598" s="1818"/>
      <c r="J598" s="1818"/>
      <c r="K598" s="1818"/>
      <c r="L598" s="1818"/>
      <c r="M598" s="1818"/>
      <c r="N598" s="1958">
        <f>(N585+N588)*21%+1</f>
        <v>-301023.92</v>
      </c>
      <c r="O598" s="1958"/>
      <c r="P598" s="1958"/>
      <c r="Q598" s="1958"/>
      <c r="R598" s="1958"/>
      <c r="S598" s="1958"/>
      <c r="T598" s="1958"/>
      <c r="U598" s="1958"/>
      <c r="V598" s="1958"/>
      <c r="W598" s="1958"/>
      <c r="X598" s="1958">
        <f>(X585+X588)*21%</f>
        <v>-372864.45</v>
      </c>
      <c r="Y598" s="1958"/>
      <c r="Z598" s="1958"/>
      <c r="AA598" s="1958"/>
      <c r="AB598" s="1958"/>
      <c r="AC598" s="1958"/>
      <c r="AD598" s="1958"/>
      <c r="AE598" s="1958"/>
      <c r="AF598" s="1958"/>
      <c r="AG598" s="1958"/>
    </row>
    <row r="599" spans="4:42" ht="14.25" customHeight="1">
      <c r="D599" s="1818" t="s">
        <v>232</v>
      </c>
      <c r="E599" s="1818"/>
      <c r="F599" s="1818"/>
      <c r="G599" s="1818"/>
      <c r="H599" s="1818"/>
      <c r="I599" s="1818"/>
      <c r="J599" s="1818"/>
      <c r="K599" s="1818"/>
      <c r="L599" s="1818"/>
      <c r="M599" s="1818"/>
      <c r="N599" s="1958">
        <f>N598-X598</f>
        <v>71840.530000000028</v>
      </c>
      <c r="O599" s="1958"/>
      <c r="P599" s="1958"/>
      <c r="Q599" s="1958"/>
      <c r="R599" s="1958"/>
      <c r="S599" s="1958"/>
      <c r="T599" s="1958"/>
      <c r="U599" s="1958"/>
      <c r="V599" s="1958"/>
      <c r="W599" s="1958"/>
      <c r="X599" s="1982">
        <v>90845</v>
      </c>
      <c r="Y599" s="1983"/>
      <c r="Z599" s="1983"/>
      <c r="AA599" s="1983"/>
      <c r="AB599" s="1983"/>
      <c r="AC599" s="1983"/>
      <c r="AD599" s="1983"/>
      <c r="AE599" s="1983"/>
      <c r="AF599" s="1983"/>
      <c r="AG599" s="1984"/>
    </row>
    <row r="600" spans="4:42" ht="14.25" customHeight="1">
      <c r="D600" s="1787" t="s">
        <v>233</v>
      </c>
      <c r="E600" s="1787"/>
      <c r="F600" s="1787"/>
      <c r="G600" s="1787"/>
      <c r="H600" s="1787"/>
      <c r="I600" s="1787"/>
      <c r="J600" s="1787"/>
      <c r="K600" s="1787"/>
      <c r="L600" s="1787"/>
      <c r="M600" s="1787"/>
      <c r="N600" s="1912">
        <v>71840</v>
      </c>
      <c r="O600" s="1913"/>
      <c r="P600" s="1913"/>
      <c r="Q600" s="1913"/>
      <c r="R600" s="1913"/>
      <c r="S600" s="1913"/>
      <c r="T600" s="1913"/>
      <c r="U600" s="1913"/>
      <c r="V600" s="1913"/>
      <c r="W600" s="1914"/>
      <c r="X600" s="1912">
        <v>90845</v>
      </c>
      <c r="Y600" s="1913"/>
      <c r="Z600" s="1913"/>
      <c r="AA600" s="1913"/>
      <c r="AB600" s="1913"/>
      <c r="AC600" s="1913"/>
      <c r="AD600" s="1913"/>
      <c r="AE600" s="1913"/>
      <c r="AF600" s="1913"/>
      <c r="AG600" s="1914"/>
    </row>
    <row r="601" spans="4:42" ht="14.25" customHeight="1">
      <c r="D601" s="1787" t="s">
        <v>230</v>
      </c>
      <c r="E601" s="1787"/>
      <c r="F601" s="1787"/>
      <c r="G601" s="1787"/>
      <c r="H601" s="1787"/>
      <c r="I601" s="1787"/>
      <c r="J601" s="1787"/>
      <c r="K601" s="1787"/>
      <c r="L601" s="1787"/>
      <c r="M601" s="1787"/>
      <c r="N601" s="1773">
        <v>0</v>
      </c>
      <c r="O601" s="1773"/>
      <c r="P601" s="1773"/>
      <c r="Q601" s="1773"/>
      <c r="R601" s="1773"/>
      <c r="S601" s="1773"/>
      <c r="T601" s="1773"/>
      <c r="U601" s="1773"/>
      <c r="V601" s="1773"/>
      <c r="W601" s="1773"/>
      <c r="X601" s="1912">
        <v>0</v>
      </c>
      <c r="Y601" s="1913"/>
      <c r="Z601" s="1913"/>
      <c r="AA601" s="1913"/>
      <c r="AB601" s="1913"/>
      <c r="AC601" s="1913"/>
      <c r="AD601" s="1913"/>
      <c r="AE601" s="1913"/>
      <c r="AF601" s="1913"/>
      <c r="AG601" s="1914"/>
    </row>
    <row r="602" spans="4:42" ht="14.25" customHeight="1" thickBot="1">
      <c r="D602" s="2007" t="s">
        <v>287</v>
      </c>
      <c r="E602" s="1942"/>
      <c r="F602" s="1942"/>
      <c r="G602" s="1942"/>
      <c r="H602" s="1942"/>
      <c r="I602" s="1942"/>
      <c r="J602" s="1942"/>
      <c r="K602" s="1942"/>
      <c r="L602" s="1942"/>
      <c r="M602" s="1942"/>
      <c r="N602" s="1959">
        <v>0</v>
      </c>
      <c r="O602" s="1959"/>
      <c r="P602" s="1959"/>
      <c r="Q602" s="1959"/>
      <c r="R602" s="1959"/>
      <c r="S602" s="1959"/>
      <c r="T602" s="1959"/>
      <c r="U602" s="1959"/>
      <c r="V602" s="1959"/>
      <c r="W602" s="1959"/>
      <c r="X602" s="2008">
        <v>0</v>
      </c>
      <c r="Y602" s="2009"/>
      <c r="Z602" s="2009"/>
      <c r="AA602" s="2009"/>
      <c r="AB602" s="2009"/>
      <c r="AC602" s="2009"/>
      <c r="AD602" s="2009"/>
      <c r="AE602" s="2009"/>
      <c r="AF602" s="2009"/>
      <c r="AG602" s="2010"/>
    </row>
    <row r="604" spans="4:42" ht="14.25" customHeight="1">
      <c r="D604" s="582" t="s">
        <v>3006</v>
      </c>
    </row>
    <row r="605" spans="4:42" ht="14.25" customHeight="1">
      <c r="D605" s="1963"/>
      <c r="E605" s="1963"/>
      <c r="F605" s="1963"/>
      <c r="G605" s="1963"/>
      <c r="H605" s="1963"/>
      <c r="I605" s="1963"/>
      <c r="J605" s="1963"/>
      <c r="K605" s="1963"/>
      <c r="L605" s="1963"/>
      <c r="M605" s="1963"/>
      <c r="N605" s="1963"/>
      <c r="O605" s="1963"/>
      <c r="P605" s="1963"/>
      <c r="Q605" s="1963"/>
      <c r="R605" s="1963"/>
      <c r="S605" s="1963"/>
      <c r="T605" s="1963"/>
      <c r="U605" s="1963"/>
      <c r="V605" s="1963"/>
      <c r="W605" s="1963"/>
      <c r="X605" s="1963"/>
      <c r="Y605" s="1963"/>
      <c r="Z605" s="1963"/>
      <c r="AA605" s="1963"/>
      <c r="AB605" s="1963"/>
      <c r="AC605" s="1963"/>
      <c r="AD605" s="1963"/>
      <c r="AE605" s="1963"/>
      <c r="AF605" s="1963"/>
      <c r="AG605" s="1963"/>
    </row>
    <row r="606" spans="4:42" ht="14.25" customHeight="1">
      <c r="D606" s="1809" t="s">
        <v>2005</v>
      </c>
      <c r="E606" s="1963"/>
      <c r="F606" s="1963"/>
      <c r="G606" s="1963"/>
      <c r="H606" s="1963"/>
      <c r="I606" s="1963"/>
      <c r="J606" s="1963"/>
      <c r="K606" s="1963"/>
      <c r="L606" s="1963"/>
      <c r="M606" s="1963"/>
      <c r="N606" s="1963"/>
      <c r="O606" s="1963"/>
      <c r="P606" s="1963"/>
      <c r="Q606" s="1963"/>
      <c r="R606" s="1963"/>
      <c r="S606" s="1963"/>
      <c r="T606" s="1963"/>
      <c r="U606" s="1963"/>
      <c r="V606" s="1963"/>
      <c r="W606" s="1963"/>
      <c r="X606" s="1963"/>
      <c r="Y606" s="1963"/>
      <c r="Z606" s="1963"/>
      <c r="AA606" s="1963"/>
      <c r="AB606" s="1963"/>
      <c r="AC606" s="1963"/>
      <c r="AD606" s="1963"/>
      <c r="AE606" s="1963"/>
      <c r="AF606" s="1963"/>
      <c r="AG606" s="1963"/>
    </row>
    <row r="607" spans="4:42" ht="14.25" customHeight="1" thickBot="1"/>
    <row r="608" spans="4:42" ht="28.5" customHeight="1" thickTop="1" thickBot="1">
      <c r="D608" s="1995" t="s">
        <v>131</v>
      </c>
      <c r="E608" s="1996"/>
      <c r="F608" s="1996"/>
      <c r="G608" s="1996"/>
      <c r="H608" s="1996"/>
      <c r="I608" s="1996"/>
      <c r="J608" s="1996"/>
      <c r="K608" s="1996"/>
      <c r="L608" s="1996"/>
      <c r="M608" s="1997"/>
      <c r="N608" s="1995" t="s">
        <v>2</v>
      </c>
      <c r="O608" s="1996"/>
      <c r="P608" s="1996"/>
      <c r="Q608" s="1996"/>
      <c r="R608" s="1996"/>
      <c r="S608" s="1996"/>
      <c r="T608" s="1996"/>
      <c r="U608" s="1996"/>
      <c r="V608" s="1996"/>
      <c r="W608" s="1997"/>
      <c r="X608" s="1995" t="s">
        <v>3</v>
      </c>
      <c r="Y608" s="1996"/>
      <c r="Z608" s="1996"/>
      <c r="AA608" s="1996"/>
      <c r="AB608" s="1996"/>
      <c r="AC608" s="1996"/>
      <c r="AD608" s="1996"/>
      <c r="AE608" s="1996"/>
      <c r="AF608" s="1996"/>
      <c r="AG608" s="1997"/>
      <c r="AL608" s="591" t="s">
        <v>2</v>
      </c>
      <c r="AM608" s="594" t="s">
        <v>3</v>
      </c>
      <c r="AO608" s="591" t="s">
        <v>2</v>
      </c>
      <c r="AP608" s="594" t="s">
        <v>3</v>
      </c>
    </row>
    <row r="609" spans="3:42" ht="18.75" customHeight="1">
      <c r="D609" s="2002" t="s">
        <v>234</v>
      </c>
      <c r="E609" s="2003"/>
      <c r="F609" s="2003"/>
      <c r="G609" s="2003"/>
      <c r="H609" s="2003"/>
      <c r="I609" s="2003"/>
      <c r="J609" s="2003"/>
      <c r="K609" s="2003"/>
      <c r="L609" s="2003"/>
      <c r="M609" s="2004"/>
      <c r="N609" s="2005">
        <v>18257</v>
      </c>
      <c r="O609" s="2006"/>
      <c r="P609" s="2006"/>
      <c r="Q609" s="2006"/>
      <c r="R609" s="2006"/>
      <c r="S609" s="2006"/>
      <c r="T609" s="2006"/>
      <c r="U609" s="2006"/>
      <c r="V609" s="2006"/>
      <c r="W609" s="2006"/>
      <c r="X609" s="2005">
        <v>17084</v>
      </c>
      <c r="Y609" s="2006"/>
      <c r="Z609" s="2006"/>
      <c r="AA609" s="2006"/>
      <c r="AB609" s="2006"/>
      <c r="AC609" s="2006"/>
      <c r="AD609" s="2006"/>
      <c r="AE609" s="2006"/>
      <c r="AF609" s="2006"/>
      <c r="AG609" s="2006"/>
      <c r="AL609" s="612"/>
      <c r="AM609" s="618"/>
      <c r="AO609" s="612"/>
      <c r="AP609" s="618"/>
    </row>
    <row r="610" spans="3:42" ht="18.75" customHeight="1">
      <c r="D610" s="1915" t="s">
        <v>235</v>
      </c>
      <c r="E610" s="1916"/>
      <c r="F610" s="1916"/>
      <c r="G610" s="1916"/>
      <c r="H610" s="1916"/>
      <c r="I610" s="1916"/>
      <c r="J610" s="1916"/>
      <c r="K610" s="1916"/>
      <c r="L610" s="1916"/>
      <c r="M610" s="1917"/>
      <c r="N610" s="1914">
        <v>7019</v>
      </c>
      <c r="O610" s="1860"/>
      <c r="P610" s="1860"/>
      <c r="Q610" s="1860"/>
      <c r="R610" s="1860"/>
      <c r="S610" s="1860"/>
      <c r="T610" s="1860"/>
      <c r="U610" s="1860"/>
      <c r="V610" s="1860"/>
      <c r="W610" s="1860"/>
      <c r="X610" s="1914">
        <v>9287</v>
      </c>
      <c r="Y610" s="1860"/>
      <c r="Z610" s="1860"/>
      <c r="AA610" s="1860"/>
      <c r="AB610" s="1860"/>
      <c r="AC610" s="1860"/>
      <c r="AD610" s="1860"/>
      <c r="AE610" s="1860"/>
      <c r="AF610" s="1860"/>
      <c r="AG610" s="1860"/>
      <c r="AL610" s="606"/>
      <c r="AM610" s="619"/>
      <c r="AO610" s="606"/>
      <c r="AP610" s="619"/>
    </row>
    <row r="611" spans="3:42" ht="18.75" customHeight="1">
      <c r="D611" s="1915" t="s">
        <v>236</v>
      </c>
      <c r="E611" s="1916"/>
      <c r="F611" s="1916"/>
      <c r="G611" s="1916"/>
      <c r="H611" s="1916"/>
      <c r="I611" s="1916"/>
      <c r="J611" s="1916"/>
      <c r="K611" s="1916"/>
      <c r="L611" s="1916"/>
      <c r="M611" s="1917"/>
      <c r="N611" s="1914">
        <v>0</v>
      </c>
      <c r="O611" s="1860"/>
      <c r="P611" s="1860"/>
      <c r="Q611" s="1860"/>
      <c r="R611" s="1860"/>
      <c r="S611" s="1860"/>
      <c r="T611" s="1860"/>
      <c r="U611" s="1860"/>
      <c r="V611" s="1860"/>
      <c r="W611" s="1860"/>
      <c r="X611" s="1912">
        <v>0</v>
      </c>
      <c r="Y611" s="1913"/>
      <c r="Z611" s="1913"/>
      <c r="AA611" s="1913"/>
      <c r="AB611" s="1913"/>
      <c r="AC611" s="1913"/>
      <c r="AD611" s="1913"/>
      <c r="AE611" s="1913"/>
      <c r="AF611" s="1913"/>
      <c r="AG611" s="1914"/>
      <c r="AL611" s="606"/>
      <c r="AM611" s="619"/>
      <c r="AO611" s="606"/>
      <c r="AP611" s="619"/>
    </row>
    <row r="612" spans="3:42" ht="18.75" customHeight="1">
      <c r="D612" s="1915" t="s">
        <v>237</v>
      </c>
      <c r="E612" s="1916"/>
      <c r="F612" s="1916"/>
      <c r="G612" s="1916"/>
      <c r="H612" s="1916"/>
      <c r="I612" s="1916"/>
      <c r="J612" s="1916"/>
      <c r="K612" s="1916"/>
      <c r="L612" s="1916"/>
      <c r="M612" s="1917"/>
      <c r="N612" s="1914">
        <v>0</v>
      </c>
      <c r="O612" s="1860"/>
      <c r="P612" s="1860"/>
      <c r="Q612" s="1860"/>
      <c r="R612" s="1860"/>
      <c r="S612" s="1860"/>
      <c r="T612" s="1860"/>
      <c r="U612" s="1860"/>
      <c r="V612" s="1860"/>
      <c r="W612" s="1860"/>
      <c r="X612" s="1912">
        <v>0</v>
      </c>
      <c r="Y612" s="1913"/>
      <c r="Z612" s="1913"/>
      <c r="AA612" s="1913"/>
      <c r="AB612" s="1913"/>
      <c r="AC612" s="1913"/>
      <c r="AD612" s="1913"/>
      <c r="AE612" s="1913"/>
      <c r="AF612" s="1913"/>
      <c r="AG612" s="1914"/>
      <c r="AL612" s="606"/>
      <c r="AM612" s="619"/>
      <c r="AO612" s="606"/>
      <c r="AP612" s="619"/>
    </row>
    <row r="613" spans="3:42" ht="18.75" customHeight="1">
      <c r="D613" s="1964" t="s">
        <v>238</v>
      </c>
      <c r="E613" s="1965"/>
      <c r="F613" s="1965"/>
      <c r="G613" s="1965"/>
      <c r="H613" s="1965"/>
      <c r="I613" s="1965"/>
      <c r="J613" s="1965"/>
      <c r="K613" s="1965"/>
      <c r="L613" s="1965"/>
      <c r="M613" s="1966"/>
      <c r="N613" s="1920">
        <f>SUM(N610:W612)</f>
        <v>7019</v>
      </c>
      <c r="O613" s="1825"/>
      <c r="P613" s="1825"/>
      <c r="Q613" s="1825"/>
      <c r="R613" s="1825"/>
      <c r="S613" s="1825"/>
      <c r="T613" s="1825"/>
      <c r="U613" s="1825"/>
      <c r="V613" s="1825"/>
      <c r="W613" s="1825"/>
      <c r="X613" s="1920">
        <f>SUM(X610:AG612)</f>
        <v>9287</v>
      </c>
      <c r="Y613" s="1825"/>
      <c r="Z613" s="1825"/>
      <c r="AA613" s="1825"/>
      <c r="AB613" s="1825"/>
      <c r="AC613" s="1825"/>
      <c r="AD613" s="1825"/>
      <c r="AE613" s="1825"/>
      <c r="AF613" s="1825"/>
      <c r="AG613" s="1825"/>
      <c r="AL613" s="621">
        <f>SUM(N610:W612)-N613</f>
        <v>0</v>
      </c>
      <c r="AM613" s="608">
        <f>SUM(X610:AG612)-X613</f>
        <v>0</v>
      </c>
      <c r="AO613" s="606"/>
      <c r="AP613" s="619"/>
    </row>
    <row r="614" spans="3:42" ht="18.75" customHeight="1">
      <c r="D614" s="1964" t="s">
        <v>239</v>
      </c>
      <c r="E614" s="1965"/>
      <c r="F614" s="1965"/>
      <c r="G614" s="1965"/>
      <c r="H614" s="1965"/>
      <c r="I614" s="1965"/>
      <c r="J614" s="1965"/>
      <c r="K614" s="1965"/>
      <c r="L614" s="1965"/>
      <c r="M614" s="1966"/>
      <c r="N614" s="1914">
        <v>-12349</v>
      </c>
      <c r="O614" s="1860"/>
      <c r="P614" s="1860"/>
      <c r="Q614" s="1860"/>
      <c r="R614" s="1860"/>
      <c r="S614" s="1860"/>
      <c r="T614" s="1860"/>
      <c r="U614" s="1860"/>
      <c r="V614" s="1860"/>
      <c r="W614" s="1860"/>
      <c r="X614" s="1914">
        <v>-8114</v>
      </c>
      <c r="Y614" s="1860"/>
      <c r="Z614" s="1860"/>
      <c r="AA614" s="1860"/>
      <c r="AB614" s="1860"/>
      <c r="AC614" s="1860"/>
      <c r="AD614" s="1860"/>
      <c r="AE614" s="1860"/>
      <c r="AF614" s="1860"/>
      <c r="AG614" s="1860"/>
      <c r="AL614" s="606"/>
      <c r="AM614" s="619"/>
      <c r="AO614" s="606"/>
      <c r="AP614" s="619"/>
    </row>
    <row r="615" spans="3:42" ht="18.75" customHeight="1" thickBot="1">
      <c r="D615" s="1967" t="s">
        <v>240</v>
      </c>
      <c r="E615" s="1968"/>
      <c r="F615" s="1968"/>
      <c r="G615" s="1968"/>
      <c r="H615" s="1968"/>
      <c r="I615" s="1968"/>
      <c r="J615" s="1968"/>
      <c r="K615" s="1968"/>
      <c r="L615" s="1968"/>
      <c r="M615" s="1969"/>
      <c r="N615" s="1970">
        <f>N609+N613+N614</f>
        <v>12927</v>
      </c>
      <c r="O615" s="1971"/>
      <c r="P615" s="1971"/>
      <c r="Q615" s="1971"/>
      <c r="R615" s="1971"/>
      <c r="S615" s="1971"/>
      <c r="T615" s="1971"/>
      <c r="U615" s="1971"/>
      <c r="V615" s="1971"/>
      <c r="W615" s="1971"/>
      <c r="X615" s="1970">
        <f>X609+X613+X614</f>
        <v>18257</v>
      </c>
      <c r="Y615" s="1971"/>
      <c r="Z615" s="1971"/>
      <c r="AA615" s="1971"/>
      <c r="AB615" s="1971"/>
      <c r="AC615" s="1971"/>
      <c r="AD615" s="1971"/>
      <c r="AE615" s="1971"/>
      <c r="AF615" s="1971"/>
      <c r="AG615" s="1971"/>
      <c r="AL615" s="609">
        <f>N609+N613+N614-N615</f>
        <v>0</v>
      </c>
      <c r="AM615" s="611">
        <f>X609+X613+X614-X615</f>
        <v>0</v>
      </c>
      <c r="AO615" s="609">
        <f>N615-BS!$D$129</f>
        <v>0</v>
      </c>
      <c r="AP615" s="611">
        <f>X615-BS!$E$129</f>
        <v>0</v>
      </c>
    </row>
    <row r="618" spans="3:42" ht="14.25" customHeight="1">
      <c r="D618" s="582" t="s">
        <v>3007</v>
      </c>
    </row>
    <row r="620" spans="3:42" ht="14.25" customHeight="1">
      <c r="D620" s="1963" t="s">
        <v>1376</v>
      </c>
      <c r="E620" s="1963"/>
      <c r="F620" s="1963"/>
      <c r="G620" s="1963"/>
      <c r="H620" s="1963"/>
      <c r="I620" s="1963"/>
      <c r="J620" s="1963"/>
      <c r="K620" s="1963"/>
      <c r="L620" s="1963"/>
      <c r="M620" s="1963"/>
      <c r="N620" s="1963"/>
      <c r="O620" s="1963"/>
      <c r="P620" s="1963"/>
      <c r="Q620" s="1963"/>
      <c r="R620" s="1963"/>
      <c r="S620" s="1963"/>
      <c r="T620" s="1963"/>
      <c r="U620" s="1963"/>
      <c r="V620" s="1963"/>
      <c r="W620" s="1963"/>
      <c r="X620" s="1963"/>
      <c r="Y620" s="1963"/>
      <c r="Z620" s="1963"/>
      <c r="AA620" s="1963"/>
      <c r="AB620" s="1963"/>
      <c r="AC620" s="1963"/>
      <c r="AD620" s="1963"/>
      <c r="AE620" s="1963"/>
      <c r="AF620" s="1963"/>
      <c r="AG620" s="1963"/>
    </row>
    <row r="621" spans="3:42" ht="14.25" customHeight="1" thickBot="1"/>
    <row r="622" spans="3:42" ht="83.25" customHeight="1" thickTop="1" thickBot="1">
      <c r="C622" s="919"/>
      <c r="D622" s="1838" t="s">
        <v>131</v>
      </c>
      <c r="E622" s="1838"/>
      <c r="F622" s="1838"/>
      <c r="G622" s="1838"/>
      <c r="H622" s="1838"/>
      <c r="I622" s="1838"/>
      <c r="J622" s="1838"/>
      <c r="K622" s="1838" t="s">
        <v>246</v>
      </c>
      <c r="L622" s="1838"/>
      <c r="M622" s="1838"/>
      <c r="N622" s="1838" t="s">
        <v>477</v>
      </c>
      <c r="O622" s="1838"/>
      <c r="P622" s="1838"/>
      <c r="Q622" s="1838"/>
      <c r="R622" s="1838" t="s">
        <v>247</v>
      </c>
      <c r="S622" s="1838"/>
      <c r="T622" s="1838"/>
      <c r="U622" s="1838"/>
      <c r="V622" s="1995" t="s">
        <v>248</v>
      </c>
      <c r="W622" s="1996"/>
      <c r="X622" s="1996"/>
      <c r="Y622" s="1996"/>
      <c r="Z622" s="1995" t="s">
        <v>1729</v>
      </c>
      <c r="AA622" s="1996"/>
      <c r="AB622" s="1996"/>
      <c r="AC622" s="1997"/>
      <c r="AD622" s="1838" t="s">
        <v>249</v>
      </c>
      <c r="AE622" s="1838"/>
      <c r="AF622" s="1838"/>
      <c r="AG622" s="1838"/>
      <c r="AO622" s="591" t="s">
        <v>248</v>
      </c>
      <c r="AP622" s="591" t="s">
        <v>249</v>
      </c>
    </row>
    <row r="623" spans="3:42" ht="14.25" customHeight="1" thickBot="1">
      <c r="C623" s="919"/>
      <c r="D623" s="1972" t="s">
        <v>250</v>
      </c>
      <c r="E623" s="1972"/>
      <c r="F623" s="1972"/>
      <c r="G623" s="1972"/>
      <c r="H623" s="1972"/>
      <c r="I623" s="1972"/>
      <c r="J623" s="1972"/>
      <c r="K623" s="1972"/>
      <c r="L623" s="1972"/>
      <c r="M623" s="1972"/>
      <c r="N623" s="1972"/>
      <c r="O623" s="1972"/>
      <c r="P623" s="1972"/>
      <c r="Q623" s="1972"/>
      <c r="R623" s="1972"/>
      <c r="S623" s="1972"/>
      <c r="T623" s="1972"/>
      <c r="U623" s="1972"/>
      <c r="V623" s="1972"/>
      <c r="W623" s="1972"/>
      <c r="X623" s="1972"/>
      <c r="Y623" s="1972"/>
      <c r="Z623" s="1972"/>
      <c r="AA623" s="1972"/>
      <c r="AB623" s="1972"/>
      <c r="AC623" s="1972"/>
      <c r="AD623" s="1972"/>
      <c r="AE623" s="1972"/>
      <c r="AF623" s="1972"/>
      <c r="AG623" s="1972"/>
      <c r="AO623" s="643">
        <f>SUM(V624:Y624)-BS!$D$136</f>
        <v>0</v>
      </c>
      <c r="AP623" s="644">
        <f>SUM(AD624:AG624)-BS!$E$136</f>
        <v>0</v>
      </c>
    </row>
    <row r="624" spans="3:42" ht="14.25" customHeight="1" thickBot="1">
      <c r="C624" s="919"/>
      <c r="D624" s="2149"/>
      <c r="E624" s="2149"/>
      <c r="F624" s="2149"/>
      <c r="G624" s="2149"/>
      <c r="H624" s="2149"/>
      <c r="I624" s="2149"/>
      <c r="J624" s="2149"/>
      <c r="K624" s="1993"/>
      <c r="L624" s="1993"/>
      <c r="M624" s="1993"/>
      <c r="N624" s="1998"/>
      <c r="O624" s="1999"/>
      <c r="P624" s="1999"/>
      <c r="Q624" s="1999"/>
      <c r="R624" s="2000"/>
      <c r="S624" s="2000"/>
      <c r="T624" s="2000"/>
      <c r="U624" s="2000"/>
      <c r="V624" s="2287"/>
      <c r="W624" s="2288"/>
      <c r="X624" s="2288"/>
      <c r="Y624" s="2289"/>
      <c r="Z624" s="2287"/>
      <c r="AA624" s="2288"/>
      <c r="AB624" s="2288"/>
      <c r="AC624" s="2289"/>
      <c r="AD624" s="2143"/>
      <c r="AE624" s="2143"/>
      <c r="AF624" s="2143"/>
      <c r="AG624" s="2144"/>
      <c r="AO624" s="357"/>
      <c r="AP624" s="356"/>
    </row>
    <row r="625" spans="3:42" ht="14.25" customHeight="1" thickBot="1">
      <c r="C625" s="919"/>
      <c r="D625" s="1972" t="s">
        <v>251</v>
      </c>
      <c r="E625" s="1972"/>
      <c r="F625" s="1972"/>
      <c r="G625" s="1972"/>
      <c r="H625" s="1972"/>
      <c r="I625" s="1972"/>
      <c r="J625" s="1972"/>
      <c r="K625" s="1972"/>
      <c r="L625" s="1972"/>
      <c r="M625" s="1972"/>
      <c r="N625" s="1972"/>
      <c r="O625" s="1972"/>
      <c r="P625" s="1972"/>
      <c r="Q625" s="1972"/>
      <c r="R625" s="1972"/>
      <c r="S625" s="1972"/>
      <c r="T625" s="1972"/>
      <c r="U625" s="1972"/>
      <c r="V625" s="1972"/>
      <c r="W625" s="1972"/>
      <c r="X625" s="1972"/>
      <c r="Y625" s="1972"/>
      <c r="Z625" s="1972"/>
      <c r="AA625" s="1972"/>
      <c r="AB625" s="1972"/>
      <c r="AC625" s="1972"/>
      <c r="AD625" s="1972"/>
      <c r="AE625" s="1972"/>
      <c r="AF625" s="1972"/>
      <c r="AG625" s="1972"/>
      <c r="AO625" s="367">
        <f>SUM(V626:Y626)-BS!$D$154</f>
        <v>0</v>
      </c>
      <c r="AP625" s="365">
        <f>SUM(AD626:AG626)-BS!$E$154</f>
        <v>0</v>
      </c>
    </row>
    <row r="626" spans="3:42" ht="14.25" customHeight="1" thickBot="1">
      <c r="C626" s="919"/>
      <c r="D626" s="1887" t="s">
        <v>2756</v>
      </c>
      <c r="E626" s="1973"/>
      <c r="F626" s="1973"/>
      <c r="G626" s="1973"/>
      <c r="H626" s="1973"/>
      <c r="I626" s="1973"/>
      <c r="J626" s="1973"/>
      <c r="K626" s="1974" t="s">
        <v>2804</v>
      </c>
      <c r="L626" s="1975"/>
      <c r="M626" s="1976"/>
      <c r="N626" s="1977" t="s">
        <v>2805</v>
      </c>
      <c r="O626" s="1975"/>
      <c r="P626" s="1975"/>
      <c r="Q626" s="1978"/>
      <c r="R626" s="1977" t="s">
        <v>2805</v>
      </c>
      <c r="S626" s="1975"/>
      <c r="T626" s="1975"/>
      <c r="U626" s="1978"/>
      <c r="V626" s="1951">
        <v>4286</v>
      </c>
      <c r="W626" s="1952"/>
      <c r="X626" s="1952"/>
      <c r="Y626" s="1953"/>
      <c r="Z626" s="1951">
        <v>4286</v>
      </c>
      <c r="AA626" s="1952"/>
      <c r="AB626" s="1952"/>
      <c r="AC626" s="1953"/>
      <c r="AD626" s="2147">
        <v>2976</v>
      </c>
      <c r="AE626" s="2147"/>
      <c r="AF626" s="2147"/>
      <c r="AG626" s="2148"/>
      <c r="AO626" s="606"/>
      <c r="AP626" s="619"/>
    </row>
    <row r="627" spans="3:42" ht="14.25" customHeight="1">
      <c r="D627" s="2145"/>
      <c r="E627" s="2145"/>
      <c r="F627" s="2145"/>
      <c r="G627" s="2145"/>
      <c r="H627" s="2145"/>
      <c r="I627" s="2145"/>
      <c r="J627" s="2145"/>
      <c r="K627" s="2145"/>
      <c r="L627" s="2145"/>
      <c r="M627" s="2145"/>
      <c r="N627" s="2145"/>
      <c r="O627" s="2145"/>
      <c r="P627" s="2145"/>
      <c r="Q627" s="2145"/>
      <c r="R627" s="2145"/>
      <c r="S627" s="2145"/>
      <c r="T627" s="2145"/>
      <c r="U627" s="2145"/>
      <c r="V627" s="2145"/>
      <c r="W627" s="2145"/>
      <c r="X627" s="2145"/>
      <c r="Y627" s="2145"/>
      <c r="Z627" s="2145"/>
      <c r="AA627" s="2145"/>
      <c r="AB627" s="2145"/>
      <c r="AC627" s="2145"/>
      <c r="AD627" s="2145"/>
      <c r="AE627" s="2145"/>
      <c r="AF627" s="2145"/>
      <c r="AG627" s="2145"/>
    </row>
    <row r="628" spans="3:42" ht="14.25" customHeight="1">
      <c r="D628" s="645"/>
      <c r="E628"/>
      <c r="F628"/>
      <c r="G628"/>
    </row>
    <row r="629" spans="3:42" ht="14.25" customHeight="1">
      <c r="D629" s="582" t="s">
        <v>3008</v>
      </c>
    </row>
    <row r="631" spans="3:42" ht="14.25" customHeight="1">
      <c r="D631" s="1963" t="s">
        <v>1378</v>
      </c>
      <c r="E631" s="1963"/>
      <c r="F631" s="1963"/>
      <c r="G631" s="1963"/>
      <c r="H631" s="1963"/>
      <c r="I631" s="1963"/>
      <c r="J631" s="1963"/>
      <c r="K631" s="1963"/>
      <c r="L631" s="1963"/>
      <c r="M631" s="1963"/>
      <c r="N631" s="1963"/>
      <c r="O631" s="1963"/>
      <c r="P631" s="1963"/>
      <c r="Q631" s="1963"/>
      <c r="R631" s="1963"/>
      <c r="S631" s="1963"/>
      <c r="T631" s="1963"/>
      <c r="U631" s="1963"/>
      <c r="V631" s="1963"/>
      <c r="W631" s="1963"/>
      <c r="X631" s="1963"/>
      <c r="Y631" s="1963"/>
      <c r="Z631" s="1963"/>
      <c r="AA631" s="1963"/>
      <c r="AB631" s="1963"/>
      <c r="AC631" s="1963"/>
      <c r="AD631" s="1963"/>
      <c r="AE631" s="1963"/>
      <c r="AF631" s="1963"/>
      <c r="AG631" s="1963"/>
    </row>
    <row r="632" spans="3:42" ht="14.25" customHeight="1" thickBot="1"/>
    <row r="633" spans="3:42" ht="27" customHeight="1" thickTop="1" thickBot="1">
      <c r="D633" s="2146" t="s">
        <v>131</v>
      </c>
      <c r="E633" s="2146"/>
      <c r="F633" s="2146"/>
      <c r="G633" s="2146"/>
      <c r="H633" s="2146"/>
      <c r="I633" s="2146"/>
      <c r="J633" s="2146"/>
      <c r="K633" s="2146"/>
      <c r="L633" s="2146"/>
      <c r="M633" s="2146"/>
      <c r="N633" s="2146" t="s">
        <v>2</v>
      </c>
      <c r="O633" s="2146"/>
      <c r="P633" s="2146"/>
      <c r="Q633" s="2146"/>
      <c r="R633" s="2146"/>
      <c r="S633" s="2146"/>
      <c r="T633" s="2146"/>
      <c r="U633" s="2146"/>
      <c r="V633" s="2146"/>
      <c r="W633" s="2146"/>
      <c r="X633" s="2146" t="s">
        <v>3</v>
      </c>
      <c r="Y633" s="2146"/>
      <c r="Z633" s="2146"/>
      <c r="AA633" s="2146"/>
      <c r="AB633" s="2146"/>
      <c r="AC633" s="2146"/>
      <c r="AD633" s="2146"/>
      <c r="AE633" s="2146"/>
      <c r="AF633" s="2146"/>
      <c r="AG633" s="2146"/>
      <c r="AL633" s="591" t="s">
        <v>2</v>
      </c>
      <c r="AM633" s="591" t="s">
        <v>3</v>
      </c>
      <c r="AO633" s="652" t="s">
        <v>2</v>
      </c>
      <c r="AP633" s="652" t="s">
        <v>3</v>
      </c>
    </row>
    <row r="634" spans="3:42" ht="27" customHeight="1" thickBot="1">
      <c r="D634" s="1941" t="s">
        <v>1379</v>
      </c>
      <c r="E634" s="1941"/>
      <c r="F634" s="1941"/>
      <c r="G634" s="1941"/>
      <c r="H634" s="1941"/>
      <c r="I634" s="1941"/>
      <c r="J634" s="1941"/>
      <c r="K634" s="1941"/>
      <c r="L634" s="1941"/>
      <c r="M634" s="1941"/>
      <c r="N634" s="1954">
        <v>0</v>
      </c>
      <c r="O634" s="1954"/>
      <c r="P634" s="1954"/>
      <c r="Q634" s="1954"/>
      <c r="R634" s="1954"/>
      <c r="S634" s="1954"/>
      <c r="T634" s="1954"/>
      <c r="U634" s="1954"/>
      <c r="V634" s="1954"/>
      <c r="W634" s="1954"/>
      <c r="X634" s="1954">
        <v>0</v>
      </c>
      <c r="Y634" s="1954"/>
      <c r="Z634" s="1954"/>
      <c r="AA634" s="1954"/>
      <c r="AB634" s="1954"/>
      <c r="AC634" s="1954"/>
      <c r="AD634" s="1954"/>
      <c r="AE634" s="1954"/>
      <c r="AF634" s="1954"/>
      <c r="AG634" s="1954"/>
      <c r="AL634" s="630">
        <f>SUM(N635:W635)-N634</f>
        <v>0</v>
      </c>
      <c r="AM634" s="614">
        <f>SUM(X635:AG635)-X634</f>
        <v>0</v>
      </c>
      <c r="AO634" s="653">
        <f>N634-'BS old'!$D$137</f>
        <v>0</v>
      </c>
      <c r="AP634" s="654">
        <f>X634-BS!$E$157</f>
        <v>0</v>
      </c>
    </row>
    <row r="635" spans="3:42" ht="25.5" customHeight="1" thickBot="1">
      <c r="D635" s="1960"/>
      <c r="E635" s="1961"/>
      <c r="F635" s="1961"/>
      <c r="G635" s="1961"/>
      <c r="H635" s="1961"/>
      <c r="I635" s="1961"/>
      <c r="J635" s="1961"/>
      <c r="K635" s="1961"/>
      <c r="L635" s="1961"/>
      <c r="M635" s="1962"/>
      <c r="N635" s="1921"/>
      <c r="O635" s="1922"/>
      <c r="P635" s="1922"/>
      <c r="Q635" s="1922"/>
      <c r="R635" s="1922"/>
      <c r="S635" s="1922"/>
      <c r="T635" s="1922"/>
      <c r="U635" s="1922"/>
      <c r="V635" s="1922"/>
      <c r="W635" s="1923"/>
      <c r="X635" s="1921"/>
      <c r="Y635" s="1922"/>
      <c r="Z635" s="1922"/>
      <c r="AA635" s="1922"/>
      <c r="AB635" s="1922"/>
      <c r="AC635" s="1922"/>
      <c r="AD635" s="1922"/>
      <c r="AE635" s="1922"/>
      <c r="AF635" s="1922"/>
      <c r="AG635" s="1923"/>
      <c r="AL635" s="606"/>
      <c r="AM635" s="619"/>
      <c r="AO635" s="650"/>
      <c r="AP635" s="651"/>
    </row>
    <row r="636" spans="3:42" ht="27" customHeight="1" thickBot="1">
      <c r="D636" s="1941" t="s">
        <v>1380</v>
      </c>
      <c r="E636" s="1941"/>
      <c r="F636" s="1941"/>
      <c r="G636" s="1941"/>
      <c r="H636" s="1941"/>
      <c r="I636" s="1941"/>
      <c r="J636" s="1941"/>
      <c r="K636" s="1941"/>
      <c r="L636" s="1941"/>
      <c r="M636" s="1941"/>
      <c r="N636" s="1954">
        <v>0</v>
      </c>
      <c r="O636" s="1954"/>
      <c r="P636" s="1954"/>
      <c r="Q636" s="1954"/>
      <c r="R636" s="1954"/>
      <c r="S636" s="1954"/>
      <c r="T636" s="1954"/>
      <c r="U636" s="1954"/>
      <c r="V636" s="1954"/>
      <c r="W636" s="1954"/>
      <c r="X636" s="1954">
        <v>0</v>
      </c>
      <c r="Y636" s="1954"/>
      <c r="Z636" s="1954"/>
      <c r="AA636" s="1954"/>
      <c r="AB636" s="1954"/>
      <c r="AC636" s="1954"/>
      <c r="AD636" s="1954"/>
      <c r="AE636" s="1954"/>
      <c r="AF636" s="1954"/>
      <c r="AG636" s="1954"/>
      <c r="AL636" s="621">
        <f>SUM(N637:W637)-N636</f>
        <v>0</v>
      </c>
      <c r="AM636" s="608">
        <f>SUM(X637:AG637)-X636</f>
        <v>0</v>
      </c>
      <c r="AO636" s="648">
        <f>N636-'BS old'!$D$138</f>
        <v>0</v>
      </c>
      <c r="AP636" s="649">
        <f>X636-BS!$E$158</f>
        <v>0</v>
      </c>
    </row>
    <row r="637" spans="3:42" ht="25.5" customHeight="1" thickBot="1">
      <c r="D637" s="1960"/>
      <c r="E637" s="1961"/>
      <c r="F637" s="1961"/>
      <c r="G637" s="1961"/>
      <c r="H637" s="1961"/>
      <c r="I637" s="1961"/>
      <c r="J637" s="1961"/>
      <c r="K637" s="1961"/>
      <c r="L637" s="1961"/>
      <c r="M637" s="1962"/>
      <c r="N637" s="1921"/>
      <c r="O637" s="1922"/>
      <c r="P637" s="1922"/>
      <c r="Q637" s="1922"/>
      <c r="R637" s="1922"/>
      <c r="S637" s="1922"/>
      <c r="T637" s="1922"/>
      <c r="U637" s="1922"/>
      <c r="V637" s="1922"/>
      <c r="W637" s="1923"/>
      <c r="X637" s="1921"/>
      <c r="Y637" s="1922"/>
      <c r="Z637" s="1922"/>
      <c r="AA637" s="1922"/>
      <c r="AB637" s="1922"/>
      <c r="AC637" s="1922"/>
      <c r="AD637" s="1922"/>
      <c r="AE637" s="1922"/>
      <c r="AF637" s="1922"/>
      <c r="AG637" s="1923"/>
      <c r="AL637" s="606"/>
      <c r="AM637" s="619"/>
      <c r="AO637" s="650"/>
      <c r="AP637" s="651"/>
    </row>
    <row r="638" spans="3:42" ht="27" customHeight="1" thickBot="1">
      <c r="D638" s="1941" t="s">
        <v>482</v>
      </c>
      <c r="E638" s="1941"/>
      <c r="F638" s="1941"/>
      <c r="G638" s="1941"/>
      <c r="H638" s="1941"/>
      <c r="I638" s="1941"/>
      <c r="J638" s="1941"/>
      <c r="K638" s="1941"/>
      <c r="L638" s="1941"/>
      <c r="M638" s="1941"/>
      <c r="N638" s="1954">
        <v>0</v>
      </c>
      <c r="O638" s="1954"/>
      <c r="P638" s="1954"/>
      <c r="Q638" s="1954"/>
      <c r="R638" s="1954"/>
      <c r="S638" s="1954"/>
      <c r="T638" s="1954"/>
      <c r="U638" s="1954"/>
      <c r="V638" s="1954"/>
      <c r="W638" s="1954"/>
      <c r="X638" s="1954">
        <v>0</v>
      </c>
      <c r="Y638" s="1954"/>
      <c r="Z638" s="1954"/>
      <c r="AA638" s="1954"/>
      <c r="AB638" s="1954"/>
      <c r="AC638" s="1954"/>
      <c r="AD638" s="1954"/>
      <c r="AE638" s="1954"/>
      <c r="AF638" s="1954"/>
      <c r="AG638" s="1954"/>
      <c r="AL638" s="621">
        <f>SUM(N639:W639)-N638</f>
        <v>0</v>
      </c>
      <c r="AM638" s="608">
        <f>SUM(X639:AG639)-X638</f>
        <v>0</v>
      </c>
      <c r="AO638" s="648">
        <f>N638-'BS old'!$D$139</f>
        <v>0</v>
      </c>
      <c r="AP638" s="649">
        <f>X638-BS!$E$159</f>
        <v>0</v>
      </c>
    </row>
    <row r="639" spans="3:42" ht="25.5" customHeight="1" thickBot="1">
      <c r="D639" s="1960"/>
      <c r="E639" s="1961"/>
      <c r="F639" s="1961"/>
      <c r="G639" s="1961"/>
      <c r="H639" s="1961"/>
      <c r="I639" s="1961"/>
      <c r="J639" s="1961"/>
      <c r="K639" s="1961"/>
      <c r="L639" s="1961"/>
      <c r="M639" s="1962"/>
      <c r="N639" s="1921"/>
      <c r="O639" s="1922"/>
      <c r="P639" s="1922"/>
      <c r="Q639" s="1922"/>
      <c r="R639" s="1922"/>
      <c r="S639" s="1922"/>
      <c r="T639" s="1922"/>
      <c r="U639" s="1922"/>
      <c r="V639" s="1922"/>
      <c r="W639" s="1923"/>
      <c r="X639" s="1921"/>
      <c r="Y639" s="1922"/>
      <c r="Z639" s="1922"/>
      <c r="AA639" s="1922"/>
      <c r="AB639" s="1922"/>
      <c r="AC639" s="1922"/>
      <c r="AD639" s="1922"/>
      <c r="AE639" s="1922"/>
      <c r="AF639" s="1922"/>
      <c r="AG639" s="1923"/>
      <c r="AL639" s="606"/>
      <c r="AM639" s="619"/>
      <c r="AO639" s="650"/>
      <c r="AP639" s="651"/>
    </row>
    <row r="640" spans="3:42" ht="27" customHeight="1" thickBot="1">
      <c r="D640" s="1941" t="s">
        <v>483</v>
      </c>
      <c r="E640" s="1941"/>
      <c r="F640" s="1941"/>
      <c r="G640" s="1941"/>
      <c r="H640" s="1941"/>
      <c r="I640" s="1941"/>
      <c r="J640" s="1941"/>
      <c r="K640" s="1941"/>
      <c r="L640" s="1941"/>
      <c r="M640" s="1941"/>
      <c r="N640" s="1954">
        <v>0</v>
      </c>
      <c r="O640" s="1954"/>
      <c r="P640" s="1954"/>
      <c r="Q640" s="1954"/>
      <c r="R640" s="1954"/>
      <c r="S640" s="1954"/>
      <c r="T640" s="1954"/>
      <c r="U640" s="1954"/>
      <c r="V640" s="1954"/>
      <c r="W640" s="1954"/>
      <c r="X640" s="1954">
        <v>0</v>
      </c>
      <c r="Y640" s="1954"/>
      <c r="Z640" s="1954"/>
      <c r="AA640" s="1954"/>
      <c r="AB640" s="1954"/>
      <c r="AC640" s="1954"/>
      <c r="AD640" s="1954"/>
      <c r="AE640" s="1954"/>
      <c r="AF640" s="1954"/>
      <c r="AG640" s="1954"/>
      <c r="AL640" s="621">
        <f>SUM(N641:W641)-N640</f>
        <v>0</v>
      </c>
      <c r="AM640" s="608">
        <v>0</v>
      </c>
      <c r="AO640" s="648">
        <f>N640-'BS old'!$D$140</f>
        <v>0</v>
      </c>
      <c r="AP640" s="649">
        <f>X640+BS!$E$160</f>
        <v>0</v>
      </c>
    </row>
    <row r="641" spans="3:42" ht="25.5" customHeight="1">
      <c r="D641" s="1960"/>
      <c r="E641" s="1961"/>
      <c r="F641" s="1961"/>
      <c r="G641" s="1961"/>
      <c r="H641" s="1961"/>
      <c r="I641" s="1961"/>
      <c r="J641" s="1961"/>
      <c r="K641" s="1961"/>
      <c r="L641" s="1961"/>
      <c r="M641" s="1962"/>
      <c r="N641" s="1921"/>
      <c r="O641" s="1922"/>
      <c r="P641" s="1922"/>
      <c r="Q641" s="1922"/>
      <c r="R641" s="1922"/>
      <c r="S641" s="1922"/>
      <c r="T641" s="1922"/>
      <c r="U641" s="1922"/>
      <c r="V641" s="1922"/>
      <c r="W641" s="1923"/>
      <c r="X641" s="1921"/>
      <c r="Y641" s="1922"/>
      <c r="Z641" s="1922"/>
      <c r="AA641" s="1922"/>
      <c r="AB641" s="1922"/>
      <c r="AC641" s="1922"/>
      <c r="AD641" s="1922"/>
      <c r="AE641" s="1922"/>
      <c r="AF641" s="1922"/>
      <c r="AG641" s="1923"/>
      <c r="AL641" s="606"/>
      <c r="AM641" s="619"/>
      <c r="AO641" s="606"/>
      <c r="AP641" s="619"/>
    </row>
    <row r="642" spans="3:42" ht="18" customHeight="1">
      <c r="AL642" s="336"/>
      <c r="AM642" s="336"/>
    </row>
    <row r="643" spans="3:42" ht="14.25" customHeight="1">
      <c r="D643" s="582" t="s">
        <v>3009</v>
      </c>
    </row>
    <row r="645" spans="3:42" ht="14.25" customHeight="1">
      <c r="D645" s="2133" t="s">
        <v>2757</v>
      </c>
      <c r="E645" s="2133"/>
      <c r="F645" s="2133"/>
      <c r="G645" s="2133"/>
      <c r="H645" s="2133"/>
      <c r="I645" s="2133"/>
      <c r="J645" s="2133"/>
      <c r="K645" s="2133"/>
      <c r="L645" s="2133"/>
      <c r="M645" s="2133"/>
      <c r="N645" s="2133"/>
      <c r="O645" s="2133"/>
      <c r="P645" s="2133"/>
      <c r="Q645" s="2133"/>
      <c r="R645" s="2133"/>
      <c r="S645" s="2133"/>
      <c r="T645" s="2133"/>
      <c r="U645" s="2133"/>
      <c r="V645" s="2133"/>
      <c r="W645" s="2133"/>
      <c r="X645" s="2133"/>
      <c r="Y645" s="2133"/>
      <c r="Z645" s="2133"/>
      <c r="AA645" s="2133"/>
      <c r="AB645" s="2133"/>
      <c r="AC645" s="2133"/>
      <c r="AD645" s="2133"/>
      <c r="AE645" s="2133"/>
      <c r="AF645" s="2133"/>
      <c r="AG645" s="2133"/>
    </row>
    <row r="647" spans="3:42" ht="14.25" customHeight="1">
      <c r="D647" s="582" t="s">
        <v>3010</v>
      </c>
    </row>
    <row r="649" spans="3:42" ht="14.25" customHeight="1">
      <c r="D649" s="2083" t="s">
        <v>3020</v>
      </c>
      <c r="E649" s="2150"/>
      <c r="F649" s="2150"/>
      <c r="G649" s="2150"/>
      <c r="H649" s="2150"/>
      <c r="I649" s="2150"/>
      <c r="J649" s="2150"/>
      <c r="K649" s="2150"/>
      <c r="L649" s="2150"/>
      <c r="M649" s="2150"/>
      <c r="N649" s="2150"/>
      <c r="O649" s="2150"/>
      <c r="P649" s="2150"/>
      <c r="Q649" s="2150"/>
      <c r="R649" s="2150"/>
      <c r="S649" s="2150"/>
      <c r="T649" s="2150"/>
      <c r="U649" s="2150"/>
      <c r="V649" s="2150"/>
      <c r="W649" s="2150"/>
      <c r="X649" s="2150"/>
      <c r="Y649" s="2150"/>
      <c r="Z649" s="2150"/>
      <c r="AA649" s="2150"/>
      <c r="AB649" s="2150"/>
      <c r="AC649" s="2150"/>
      <c r="AD649" s="2150"/>
      <c r="AE649" s="2150"/>
      <c r="AF649" s="2150"/>
      <c r="AG649" s="2150"/>
    </row>
    <row r="651" spans="3:42" ht="14.25" customHeight="1">
      <c r="C651" s="1464"/>
      <c r="D651" s="1465" t="s">
        <v>3011</v>
      </c>
      <c r="E651" s="1464"/>
      <c r="F651" s="1464"/>
      <c r="G651" s="1464"/>
      <c r="H651" s="1464"/>
      <c r="I651" s="1464"/>
      <c r="J651" s="1464"/>
      <c r="K651" s="1464"/>
      <c r="L651" s="1464"/>
      <c r="M651" s="1464"/>
      <c r="N651" s="1464"/>
      <c r="O651" s="1464"/>
      <c r="P651" s="1464"/>
      <c r="Q651" s="1464"/>
      <c r="R651" s="1464"/>
      <c r="S651" s="1464"/>
      <c r="T651" s="1464"/>
      <c r="U651" s="1464"/>
      <c r="V651" s="1464"/>
      <c r="W651" s="1464"/>
      <c r="X651" s="1464"/>
      <c r="Y651" s="1464"/>
      <c r="Z651" s="1464"/>
      <c r="AA651" s="1464"/>
      <c r="AB651" s="1464"/>
      <c r="AC651" s="1464"/>
      <c r="AD651" s="1464"/>
      <c r="AE651" s="1464"/>
      <c r="AF651" s="1464"/>
    </row>
    <row r="652" spans="3:42" ht="14.25" customHeight="1">
      <c r="C652" s="1464"/>
      <c r="D652" s="1464"/>
      <c r="E652" s="1464"/>
      <c r="F652" s="1464"/>
      <c r="G652" s="1464"/>
      <c r="H652" s="1464"/>
      <c r="I652" s="1464"/>
      <c r="J652" s="1464"/>
      <c r="K652" s="1464"/>
      <c r="L652" s="1464"/>
      <c r="M652" s="1464"/>
      <c r="N652" s="1464"/>
      <c r="O652" s="1464"/>
      <c r="P652" s="1464"/>
      <c r="Q652" s="1464"/>
      <c r="R652" s="1464"/>
      <c r="S652" s="1464"/>
      <c r="T652" s="1464"/>
      <c r="U652" s="1464"/>
      <c r="V652" s="1464"/>
      <c r="W652" s="1464"/>
      <c r="X652" s="1464"/>
      <c r="Y652" s="1464"/>
      <c r="Z652" s="1464"/>
      <c r="AA652" s="1464"/>
      <c r="AB652" s="1464"/>
      <c r="AC652" s="1464"/>
      <c r="AD652" s="1464"/>
      <c r="AE652" s="1464"/>
      <c r="AF652" s="1464"/>
    </row>
    <row r="653" spans="3:42" ht="11.25">
      <c r="D653" s="2272" t="s">
        <v>3021</v>
      </c>
      <c r="E653" s="2272"/>
      <c r="F653" s="2272"/>
      <c r="G653" s="2272"/>
      <c r="H653" s="2272"/>
      <c r="I653" s="2272"/>
      <c r="J653" s="2272"/>
      <c r="K653" s="2272"/>
      <c r="L653" s="2272"/>
      <c r="M653" s="2272"/>
      <c r="N653" s="2272"/>
      <c r="O653" s="2272"/>
      <c r="P653" s="2272"/>
      <c r="Q653" s="2272"/>
      <c r="R653" s="2272"/>
      <c r="S653" s="2272"/>
      <c r="T653" s="2272"/>
      <c r="U653" s="2272"/>
      <c r="V653" s="2272"/>
      <c r="W653" s="2272"/>
      <c r="X653" s="2272"/>
      <c r="Y653" s="2272"/>
      <c r="Z653" s="2272"/>
      <c r="AA653" s="2272"/>
      <c r="AB653" s="2272"/>
      <c r="AC653" s="2272"/>
      <c r="AD653" s="2272"/>
      <c r="AE653" s="2272"/>
      <c r="AF653" s="2272"/>
      <c r="AG653" s="2272"/>
    </row>
    <row r="654" spans="3:42" ht="11.25">
      <c r="D654" s="2272"/>
      <c r="E654" s="2272"/>
      <c r="F654" s="2272"/>
      <c r="G654" s="2272"/>
      <c r="H654" s="2272"/>
      <c r="I654" s="2272"/>
      <c r="J654" s="2272"/>
      <c r="K654" s="2272"/>
      <c r="L654" s="2272"/>
      <c r="M654" s="2272"/>
      <c r="N654" s="2272"/>
      <c r="O654" s="2272"/>
      <c r="P654" s="2272"/>
      <c r="Q654" s="2272"/>
      <c r="R654" s="2272"/>
      <c r="S654" s="2272"/>
      <c r="T654" s="2272"/>
      <c r="U654" s="2272"/>
      <c r="V654" s="2272"/>
      <c r="W654" s="2272"/>
      <c r="X654" s="2272"/>
      <c r="Y654" s="2272"/>
      <c r="Z654" s="2272"/>
      <c r="AA654" s="2272"/>
      <c r="AB654" s="2272"/>
      <c r="AC654" s="2272"/>
      <c r="AD654" s="2272"/>
      <c r="AE654" s="2272"/>
      <c r="AF654" s="2272"/>
      <c r="AG654" s="2272"/>
    </row>
    <row r="655" spans="3:42" ht="11.25">
      <c r="D655" s="2272"/>
      <c r="E655" s="2272"/>
      <c r="F655" s="2272"/>
      <c r="G655" s="2272"/>
      <c r="H655" s="2272"/>
      <c r="I655" s="2272"/>
      <c r="J655" s="2272"/>
      <c r="K655" s="2272"/>
      <c r="L655" s="2272"/>
      <c r="M655" s="2272"/>
      <c r="N655" s="2272"/>
      <c r="O655" s="2272"/>
      <c r="P655" s="2272"/>
      <c r="Q655" s="2272"/>
      <c r="R655" s="2272"/>
      <c r="S655" s="2272"/>
      <c r="T655" s="2272"/>
      <c r="U655" s="2272"/>
      <c r="V655" s="2272"/>
      <c r="W655" s="2272"/>
      <c r="X655" s="2272"/>
      <c r="Y655" s="2272"/>
      <c r="Z655" s="2272"/>
      <c r="AA655" s="2272"/>
      <c r="AB655" s="2272"/>
      <c r="AC655" s="2272"/>
      <c r="AD655" s="2272"/>
      <c r="AE655" s="2272"/>
      <c r="AF655" s="2272"/>
      <c r="AG655" s="2272"/>
    </row>
    <row r="656" spans="3:42" ht="11.25">
      <c r="D656" s="2272"/>
      <c r="E656" s="2272"/>
      <c r="F656" s="2272"/>
      <c r="G656" s="2272"/>
      <c r="H656" s="2272"/>
      <c r="I656" s="2272"/>
      <c r="J656" s="2272"/>
      <c r="K656" s="2272"/>
      <c r="L656" s="2272"/>
      <c r="M656" s="2272"/>
      <c r="N656" s="2272"/>
      <c r="O656" s="2272"/>
      <c r="P656" s="2272"/>
      <c r="Q656" s="2272"/>
      <c r="R656" s="2272"/>
      <c r="S656" s="2272"/>
      <c r="T656" s="2272"/>
      <c r="U656" s="2272"/>
      <c r="V656" s="2272"/>
      <c r="W656" s="2272"/>
      <c r="X656" s="2272"/>
      <c r="Y656" s="2272"/>
      <c r="Z656" s="2272"/>
      <c r="AA656" s="2272"/>
      <c r="AB656" s="2272"/>
      <c r="AC656" s="2272"/>
      <c r="AD656" s="2272"/>
      <c r="AE656" s="2272"/>
      <c r="AF656" s="2272"/>
      <c r="AG656" s="2272"/>
    </row>
    <row r="657" spans="4:33" ht="11.25">
      <c r="D657" s="2272"/>
      <c r="E657" s="2272"/>
      <c r="F657" s="2272"/>
      <c r="G657" s="2272"/>
      <c r="H657" s="2272"/>
      <c r="I657" s="2272"/>
      <c r="J657" s="2272"/>
      <c r="K657" s="2272"/>
      <c r="L657" s="2272"/>
      <c r="M657" s="2272"/>
      <c r="N657" s="2272"/>
      <c r="O657" s="2272"/>
      <c r="P657" s="2272"/>
      <c r="Q657" s="2272"/>
      <c r="R657" s="2272"/>
      <c r="S657" s="2272"/>
      <c r="T657" s="2272"/>
      <c r="U657" s="2272"/>
      <c r="V657" s="2272"/>
      <c r="W657" s="2272"/>
      <c r="X657" s="2272"/>
      <c r="Y657" s="2272"/>
      <c r="Z657" s="2272"/>
      <c r="AA657" s="2272"/>
      <c r="AB657" s="2272"/>
      <c r="AC657" s="2272"/>
      <c r="AD657" s="2272"/>
      <c r="AE657" s="2272"/>
      <c r="AF657" s="2272"/>
      <c r="AG657" s="2272"/>
    </row>
    <row r="658" spans="4:33" ht="11.25">
      <c r="D658" s="2272"/>
      <c r="E658" s="2272"/>
      <c r="F658" s="2272"/>
      <c r="G658" s="2272"/>
      <c r="H658" s="2272"/>
      <c r="I658" s="2272"/>
      <c r="J658" s="2272"/>
      <c r="K658" s="2272"/>
      <c r="L658" s="2272"/>
      <c r="M658" s="2272"/>
      <c r="N658" s="2272"/>
      <c r="O658" s="2272"/>
      <c r="P658" s="2272"/>
      <c r="Q658" s="2272"/>
      <c r="R658" s="2272"/>
      <c r="S658" s="2272"/>
      <c r="T658" s="2272"/>
      <c r="U658" s="2272"/>
      <c r="V658" s="2272"/>
      <c r="W658" s="2272"/>
      <c r="X658" s="2272"/>
      <c r="Y658" s="2272"/>
      <c r="Z658" s="2272"/>
      <c r="AA658" s="2272"/>
      <c r="AB658" s="2272"/>
      <c r="AC658" s="2272"/>
      <c r="AD658" s="2272"/>
      <c r="AE658" s="2272"/>
      <c r="AF658" s="2272"/>
      <c r="AG658" s="2272"/>
    </row>
    <row r="659" spans="4:33" ht="11.25">
      <c r="D659" s="2272"/>
      <c r="E659" s="2272"/>
      <c r="F659" s="2272"/>
      <c r="G659" s="2272"/>
      <c r="H659" s="2272"/>
      <c r="I659" s="2272"/>
      <c r="J659" s="2272"/>
      <c r="K659" s="2272"/>
      <c r="L659" s="2272"/>
      <c r="M659" s="2272"/>
      <c r="N659" s="2272"/>
      <c r="O659" s="2272"/>
      <c r="P659" s="2272"/>
      <c r="Q659" s="2272"/>
      <c r="R659" s="2272"/>
      <c r="S659" s="2272"/>
      <c r="T659" s="2272"/>
      <c r="U659" s="2272"/>
      <c r="V659" s="2272"/>
      <c r="W659" s="2272"/>
      <c r="X659" s="2272"/>
      <c r="Y659" s="2272"/>
      <c r="Z659" s="2272"/>
      <c r="AA659" s="2272"/>
      <c r="AB659" s="2272"/>
      <c r="AC659" s="2272"/>
      <c r="AD659" s="2272"/>
      <c r="AE659" s="2272"/>
      <c r="AF659" s="2272"/>
      <c r="AG659" s="2272"/>
    </row>
    <row r="660" spans="4:33" ht="11.25">
      <c r="D660" s="2272"/>
      <c r="E660" s="2272"/>
      <c r="F660" s="2272"/>
      <c r="G660" s="2272"/>
      <c r="H660" s="2272"/>
      <c r="I660" s="2272"/>
      <c r="J660" s="2272"/>
      <c r="K660" s="2272"/>
      <c r="L660" s="2272"/>
      <c r="M660" s="2272"/>
      <c r="N660" s="2272"/>
      <c r="O660" s="2272"/>
      <c r="P660" s="2272"/>
      <c r="Q660" s="2272"/>
      <c r="R660" s="2272"/>
      <c r="S660" s="2272"/>
      <c r="T660" s="2272"/>
      <c r="U660" s="2272"/>
      <c r="V660" s="2272"/>
      <c r="W660" s="2272"/>
      <c r="X660" s="2272"/>
      <c r="Y660" s="2272"/>
      <c r="Z660" s="2272"/>
      <c r="AA660" s="2272"/>
      <c r="AB660" s="2272"/>
      <c r="AC660" s="2272"/>
      <c r="AD660" s="2272"/>
      <c r="AE660" s="2272"/>
      <c r="AF660" s="2272"/>
      <c r="AG660" s="2272"/>
    </row>
    <row r="661" spans="4:33" ht="11.25">
      <c r="D661" s="2272"/>
      <c r="E661" s="2272"/>
      <c r="F661" s="2272"/>
      <c r="G661" s="2272"/>
      <c r="H661" s="2272"/>
      <c r="I661" s="2272"/>
      <c r="J661" s="2272"/>
      <c r="K661" s="2272"/>
      <c r="L661" s="2272"/>
      <c r="M661" s="2272"/>
      <c r="N661" s="2272"/>
      <c r="O661" s="2272"/>
      <c r="P661" s="2272"/>
      <c r="Q661" s="2272"/>
      <c r="R661" s="2272"/>
      <c r="S661" s="2272"/>
      <c r="T661" s="2272"/>
      <c r="U661" s="2272"/>
      <c r="V661" s="2272"/>
      <c r="W661" s="2272"/>
      <c r="X661" s="2272"/>
      <c r="Y661" s="2272"/>
      <c r="Z661" s="2272"/>
      <c r="AA661" s="2272"/>
      <c r="AB661" s="2272"/>
      <c r="AC661" s="2272"/>
      <c r="AD661" s="2272"/>
      <c r="AE661" s="2272"/>
      <c r="AF661" s="2272"/>
      <c r="AG661" s="2272"/>
    </row>
    <row r="662" spans="4:33" ht="11.25">
      <c r="D662" s="2272"/>
      <c r="E662" s="2272"/>
      <c r="F662" s="2272"/>
      <c r="G662" s="2272"/>
      <c r="H662" s="2272"/>
      <c r="I662" s="2272"/>
      <c r="J662" s="2272"/>
      <c r="K662" s="2272"/>
      <c r="L662" s="2272"/>
      <c r="M662" s="2272"/>
      <c r="N662" s="2272"/>
      <c r="O662" s="2272"/>
      <c r="P662" s="2272"/>
      <c r="Q662" s="2272"/>
      <c r="R662" s="2272"/>
      <c r="S662" s="2272"/>
      <c r="T662" s="2272"/>
      <c r="U662" s="2272"/>
      <c r="V662" s="2272"/>
      <c r="W662" s="2272"/>
      <c r="X662" s="2272"/>
      <c r="Y662" s="2272"/>
      <c r="Z662" s="2272"/>
      <c r="AA662" s="2272"/>
      <c r="AB662" s="2272"/>
      <c r="AC662" s="2272"/>
      <c r="AD662" s="2272"/>
      <c r="AE662" s="2272"/>
      <c r="AF662" s="2272"/>
      <c r="AG662" s="2272"/>
    </row>
    <row r="663" spans="4:33" ht="11.25">
      <c r="D663" s="2272"/>
      <c r="E663" s="2272"/>
      <c r="F663" s="2272"/>
      <c r="G663" s="2272"/>
      <c r="H663" s="2272"/>
      <c r="I663" s="2272"/>
      <c r="J663" s="2272"/>
      <c r="K663" s="2272"/>
      <c r="L663" s="2272"/>
      <c r="M663" s="2272"/>
      <c r="N663" s="2272"/>
      <c r="O663" s="2272"/>
      <c r="P663" s="2272"/>
      <c r="Q663" s="2272"/>
      <c r="R663" s="2272"/>
      <c r="S663" s="2272"/>
      <c r="T663" s="2272"/>
      <c r="U663" s="2272"/>
      <c r="V663" s="2272"/>
      <c r="W663" s="2272"/>
      <c r="X663" s="2272"/>
      <c r="Y663" s="2272"/>
      <c r="Z663" s="2272"/>
      <c r="AA663" s="2272"/>
      <c r="AB663" s="2272"/>
      <c r="AC663" s="2272"/>
      <c r="AD663" s="2272"/>
      <c r="AE663" s="2272"/>
      <c r="AF663" s="2272"/>
      <c r="AG663" s="2272"/>
    </row>
    <row r="664" spans="4:33" ht="11.25">
      <c r="D664" s="2272"/>
      <c r="E664" s="2272"/>
      <c r="F664" s="2272"/>
      <c r="G664" s="2272"/>
      <c r="H664" s="2272"/>
      <c r="I664" s="2272"/>
      <c r="J664" s="2272"/>
      <c r="K664" s="2272"/>
      <c r="L664" s="2272"/>
      <c r="M664" s="2272"/>
      <c r="N664" s="2272"/>
      <c r="O664" s="2272"/>
      <c r="P664" s="2272"/>
      <c r="Q664" s="2272"/>
      <c r="R664" s="2272"/>
      <c r="S664" s="2272"/>
      <c r="T664" s="2272"/>
      <c r="U664" s="2272"/>
      <c r="V664" s="2272"/>
      <c r="W664" s="2272"/>
      <c r="X664" s="2272"/>
      <c r="Y664" s="2272"/>
      <c r="Z664" s="2272"/>
      <c r="AA664" s="2272"/>
      <c r="AB664" s="2272"/>
      <c r="AC664" s="2272"/>
      <c r="AD664" s="2272"/>
      <c r="AE664" s="2272"/>
      <c r="AF664" s="2272"/>
      <c r="AG664" s="2272"/>
    </row>
    <row r="665" spans="4:33" ht="11.25">
      <c r="D665" s="2272"/>
      <c r="E665" s="2272"/>
      <c r="F665" s="2272"/>
      <c r="G665" s="2272"/>
      <c r="H665" s="2272"/>
      <c r="I665" s="2272"/>
      <c r="J665" s="2272"/>
      <c r="K665" s="2272"/>
      <c r="L665" s="2272"/>
      <c r="M665" s="2272"/>
      <c r="N665" s="2272"/>
      <c r="O665" s="2272"/>
      <c r="P665" s="2272"/>
      <c r="Q665" s="2272"/>
      <c r="R665" s="2272"/>
      <c r="S665" s="2272"/>
      <c r="T665" s="2272"/>
      <c r="U665" s="2272"/>
      <c r="V665" s="2272"/>
      <c r="W665" s="2272"/>
      <c r="X665" s="2272"/>
      <c r="Y665" s="2272"/>
      <c r="Z665" s="2272"/>
      <c r="AA665" s="2272"/>
      <c r="AB665" s="2272"/>
      <c r="AC665" s="2272"/>
      <c r="AD665" s="2272"/>
      <c r="AE665" s="2272"/>
      <c r="AF665" s="2272"/>
      <c r="AG665" s="2272"/>
    </row>
    <row r="666" spans="4:33" ht="11.25">
      <c r="D666" s="2272"/>
      <c r="E666" s="2272"/>
      <c r="F666" s="2272"/>
      <c r="G666" s="2272"/>
      <c r="H666" s="2272"/>
      <c r="I666" s="2272"/>
      <c r="J666" s="2272"/>
      <c r="K666" s="2272"/>
      <c r="L666" s="2272"/>
      <c r="M666" s="2272"/>
      <c r="N666" s="2272"/>
      <c r="O666" s="2272"/>
      <c r="P666" s="2272"/>
      <c r="Q666" s="2272"/>
      <c r="R666" s="2272"/>
      <c r="S666" s="2272"/>
      <c r="T666" s="2272"/>
      <c r="U666" s="2272"/>
      <c r="V666" s="2272"/>
      <c r="W666" s="2272"/>
      <c r="X666" s="2272"/>
      <c r="Y666" s="2272"/>
      <c r="Z666" s="2272"/>
      <c r="AA666" s="2272"/>
      <c r="AB666" s="2272"/>
      <c r="AC666" s="2272"/>
      <c r="AD666" s="2272"/>
      <c r="AE666" s="2272"/>
      <c r="AF666" s="2272"/>
      <c r="AG666" s="2272"/>
    </row>
    <row r="667" spans="4:33" ht="11.25">
      <c r="D667" s="2272"/>
      <c r="E667" s="2272"/>
      <c r="F667" s="2272"/>
      <c r="G667" s="2272"/>
      <c r="H667" s="2272"/>
      <c r="I667" s="2272"/>
      <c r="J667" s="2272"/>
      <c r="K667" s="2272"/>
      <c r="L667" s="2272"/>
      <c r="M667" s="2272"/>
      <c r="N667" s="2272"/>
      <c r="O667" s="2272"/>
      <c r="P667" s="2272"/>
      <c r="Q667" s="2272"/>
      <c r="R667" s="2272"/>
      <c r="S667" s="2272"/>
      <c r="T667" s="2272"/>
      <c r="U667" s="2272"/>
      <c r="V667" s="2272"/>
      <c r="W667" s="2272"/>
      <c r="X667" s="2272"/>
      <c r="Y667" s="2272"/>
      <c r="Z667" s="2272"/>
      <c r="AA667" s="2272"/>
      <c r="AB667" s="2272"/>
      <c r="AC667" s="2272"/>
      <c r="AD667" s="2272"/>
      <c r="AE667" s="2272"/>
      <c r="AF667" s="2272"/>
      <c r="AG667" s="2272"/>
    </row>
    <row r="668" spans="4:33" ht="11.25">
      <c r="D668" s="2272"/>
      <c r="E668" s="2272"/>
      <c r="F668" s="2272"/>
      <c r="G668" s="2272"/>
      <c r="H668" s="2272"/>
      <c r="I668" s="2272"/>
      <c r="J668" s="2272"/>
      <c r="K668" s="2272"/>
      <c r="L668" s="2272"/>
      <c r="M668" s="2272"/>
      <c r="N668" s="2272"/>
      <c r="O668" s="2272"/>
      <c r="P668" s="2272"/>
      <c r="Q668" s="2272"/>
      <c r="R668" s="2272"/>
      <c r="S668" s="2272"/>
      <c r="T668" s="2272"/>
      <c r="U668" s="2272"/>
      <c r="V668" s="2272"/>
      <c r="W668" s="2272"/>
      <c r="X668" s="2272"/>
      <c r="Y668" s="2272"/>
      <c r="Z668" s="2272"/>
      <c r="AA668" s="2272"/>
      <c r="AB668" s="2272"/>
      <c r="AC668" s="2272"/>
      <c r="AD668" s="2272"/>
      <c r="AE668" s="2272"/>
      <c r="AF668" s="2272"/>
      <c r="AG668" s="2272"/>
    </row>
    <row r="669" spans="4:33" ht="11.25">
      <c r="D669" s="2272"/>
      <c r="E669" s="2272"/>
      <c r="F669" s="2272"/>
      <c r="G669" s="2272"/>
      <c r="H669" s="2272"/>
      <c r="I669" s="2272"/>
      <c r="J669" s="2272"/>
      <c r="K669" s="2272"/>
      <c r="L669" s="2272"/>
      <c r="M669" s="2272"/>
      <c r="N669" s="2272"/>
      <c r="O669" s="2272"/>
      <c r="P669" s="2272"/>
      <c r="Q669" s="2272"/>
      <c r="R669" s="2272"/>
      <c r="S669" s="2272"/>
      <c r="T669" s="2272"/>
      <c r="U669" s="2272"/>
      <c r="V669" s="2272"/>
      <c r="W669" s="2272"/>
      <c r="X669" s="2272"/>
      <c r="Y669" s="2272"/>
      <c r="Z669" s="2272"/>
      <c r="AA669" s="2272"/>
      <c r="AB669" s="2272"/>
      <c r="AC669" s="2272"/>
      <c r="AD669" s="2272"/>
      <c r="AE669" s="2272"/>
      <c r="AF669" s="2272"/>
      <c r="AG669" s="2272"/>
    </row>
    <row r="670" spans="4:33" ht="11.25">
      <c r="D670" s="2272"/>
      <c r="E670" s="2272"/>
      <c r="F670" s="2272"/>
      <c r="G670" s="2272"/>
      <c r="H670" s="2272"/>
      <c r="I670" s="2272"/>
      <c r="J670" s="2272"/>
      <c r="K670" s="2272"/>
      <c r="L670" s="2272"/>
      <c r="M670" s="2272"/>
      <c r="N670" s="2272"/>
      <c r="O670" s="2272"/>
      <c r="P670" s="2272"/>
      <c r="Q670" s="2272"/>
      <c r="R670" s="2272"/>
      <c r="S670" s="2272"/>
      <c r="T670" s="2272"/>
      <c r="U670" s="2272"/>
      <c r="V670" s="2272"/>
      <c r="W670" s="2272"/>
      <c r="X670" s="2272"/>
      <c r="Y670" s="2272"/>
      <c r="Z670" s="2272"/>
      <c r="AA670" s="2272"/>
      <c r="AB670" s="2272"/>
      <c r="AC670" s="2272"/>
      <c r="AD670" s="2272"/>
      <c r="AE670" s="2272"/>
      <c r="AF670" s="2272"/>
      <c r="AG670" s="2272"/>
    </row>
    <row r="671" spans="4:33" ht="11.25">
      <c r="D671" s="2272"/>
      <c r="E671" s="2272"/>
      <c r="F671" s="2272"/>
      <c r="G671" s="2272"/>
      <c r="H671" s="2272"/>
      <c r="I671" s="2272"/>
      <c r="J671" s="2272"/>
      <c r="K671" s="2272"/>
      <c r="L671" s="2272"/>
      <c r="M671" s="2272"/>
      <c r="N671" s="2272"/>
      <c r="O671" s="2272"/>
      <c r="P671" s="2272"/>
      <c r="Q671" s="2272"/>
      <c r="R671" s="2272"/>
      <c r="S671" s="2272"/>
      <c r="T671" s="2272"/>
      <c r="U671" s="2272"/>
      <c r="V671" s="2272"/>
      <c r="W671" s="2272"/>
      <c r="X671" s="2272"/>
      <c r="Y671" s="2272"/>
      <c r="Z671" s="2272"/>
      <c r="AA671" s="2272"/>
      <c r="AB671" s="2272"/>
      <c r="AC671" s="2272"/>
      <c r="AD671" s="2272"/>
      <c r="AE671" s="2272"/>
      <c r="AF671" s="2272"/>
      <c r="AG671" s="2272"/>
    </row>
    <row r="672" spans="4:33" ht="11.25">
      <c r="D672" s="2272"/>
      <c r="E672" s="2272"/>
      <c r="F672" s="2272"/>
      <c r="G672" s="2272"/>
      <c r="H672" s="2272"/>
      <c r="I672" s="2272"/>
      <c r="J672" s="2272"/>
      <c r="K672" s="2272"/>
      <c r="L672" s="2272"/>
      <c r="M672" s="2272"/>
      <c r="N672" s="2272"/>
      <c r="O672" s="2272"/>
      <c r="P672" s="2272"/>
      <c r="Q672" s="2272"/>
      <c r="R672" s="2272"/>
      <c r="S672" s="2272"/>
      <c r="T672" s="2272"/>
      <c r="U672" s="2272"/>
      <c r="V672" s="2272"/>
      <c r="W672" s="2272"/>
      <c r="X672" s="2272"/>
      <c r="Y672" s="2272"/>
      <c r="Z672" s="2272"/>
      <c r="AA672" s="2272"/>
      <c r="AB672" s="2272"/>
      <c r="AC672" s="2272"/>
      <c r="AD672" s="2272"/>
      <c r="AE672" s="2272"/>
      <c r="AF672" s="2272"/>
      <c r="AG672" s="2272"/>
    </row>
    <row r="673" spans="1:33" ht="12" customHeight="1">
      <c r="D673" s="2272"/>
      <c r="E673" s="2272"/>
      <c r="F673" s="2272"/>
      <c r="G673" s="2272"/>
      <c r="H673" s="2272"/>
      <c r="I673" s="2272"/>
      <c r="J673" s="2272"/>
      <c r="K673" s="2272"/>
      <c r="L673" s="2272"/>
      <c r="M673" s="2272"/>
      <c r="N673" s="2272"/>
      <c r="O673" s="2272"/>
      <c r="P673" s="2272"/>
      <c r="Q673" s="2272"/>
      <c r="R673" s="2272"/>
      <c r="S673" s="2272"/>
      <c r="T673" s="2272"/>
      <c r="U673" s="2272"/>
      <c r="V673" s="2272"/>
      <c r="W673" s="2272"/>
      <c r="X673" s="2272"/>
      <c r="Y673" s="2272"/>
      <c r="Z673" s="2272"/>
      <c r="AA673" s="2272"/>
      <c r="AB673" s="2272"/>
      <c r="AC673" s="2272"/>
      <c r="AD673" s="2272"/>
      <c r="AE673" s="2272"/>
      <c r="AF673" s="2272"/>
      <c r="AG673" s="2272"/>
    </row>
    <row r="674" spans="1:33" s="786" customFormat="1" ht="10.5" customHeight="1">
      <c r="A674" s="784"/>
      <c r="D674" s="1528"/>
      <c r="E674" s="1528"/>
      <c r="F674" s="1528"/>
      <c r="G674" s="1528"/>
      <c r="H674" s="1528"/>
      <c r="I674" s="1528"/>
      <c r="J674" s="1528"/>
      <c r="K674" s="1528"/>
      <c r="L674" s="1528"/>
      <c r="M674" s="1528"/>
      <c r="N674" s="1528"/>
      <c r="O674" s="1528"/>
      <c r="P674" s="1528"/>
      <c r="Q674" s="1528"/>
      <c r="R674" s="1528"/>
      <c r="S674" s="1528"/>
      <c r="T674" s="1528"/>
      <c r="U674" s="1528"/>
      <c r="V674" s="1528"/>
      <c r="W674" s="1528"/>
      <c r="X674" s="1528"/>
      <c r="Y674" s="1528"/>
      <c r="Z674" s="1528"/>
      <c r="AA674" s="1528"/>
      <c r="AB674" s="1528"/>
      <c r="AC674" s="1528"/>
      <c r="AD674" s="1528"/>
      <c r="AE674" s="1528"/>
      <c r="AF674" s="1528"/>
      <c r="AG674" s="1528"/>
    </row>
    <row r="675" spans="1:33" ht="14.25" customHeight="1">
      <c r="D675" s="582" t="s">
        <v>3012</v>
      </c>
    </row>
    <row r="676" spans="1:33" ht="14.25" customHeight="1">
      <c r="D676" s="786"/>
      <c r="E676" s="786"/>
      <c r="F676" s="786"/>
      <c r="G676" s="786"/>
      <c r="H676" s="786"/>
      <c r="I676" s="786"/>
      <c r="J676" s="786"/>
      <c r="K676" s="786"/>
      <c r="L676" s="786"/>
      <c r="M676" s="786"/>
      <c r="N676" s="786"/>
      <c r="O676" s="786"/>
      <c r="P676" s="786"/>
      <c r="Q676" s="786"/>
      <c r="R676" s="786"/>
      <c r="S676" s="786"/>
      <c r="T676" s="786"/>
      <c r="U676" s="786"/>
      <c r="V676" s="786"/>
      <c r="W676" s="786"/>
      <c r="X676" s="786"/>
      <c r="Y676" s="786"/>
      <c r="Z676" s="786"/>
      <c r="AA676" s="786"/>
      <c r="AB676" s="786"/>
      <c r="AC676" s="786"/>
      <c r="AD676" s="786"/>
      <c r="AE676" s="786"/>
      <c r="AF676" s="786"/>
      <c r="AG676" s="786"/>
    </row>
    <row r="677" spans="1:33" ht="14.25" customHeight="1">
      <c r="D677" s="1924" t="s">
        <v>1382</v>
      </c>
      <c r="E677" s="1924"/>
      <c r="F677" s="1924"/>
      <c r="G677" s="1924"/>
      <c r="H677" s="1924"/>
      <c r="I677" s="1924"/>
      <c r="J677" s="1924"/>
      <c r="K677" s="1924"/>
      <c r="L677" s="1924"/>
      <c r="M677" s="1924"/>
      <c r="N677" s="1924"/>
      <c r="O677" s="1924"/>
      <c r="P677" s="1924"/>
      <c r="Q677" s="1924"/>
      <c r="R677" s="1924"/>
      <c r="S677" s="1924"/>
      <c r="T677" s="1924"/>
      <c r="U677" s="1924"/>
      <c r="V677" s="1924"/>
      <c r="W677" s="1924"/>
      <c r="X677" s="1924"/>
      <c r="Y677" s="1924"/>
      <c r="Z677" s="1924"/>
      <c r="AA677" s="1924"/>
      <c r="AB677" s="1924"/>
      <c r="AC677" s="1924"/>
      <c r="AD677" s="1924"/>
      <c r="AE677" s="1924"/>
      <c r="AF677" s="1924"/>
      <c r="AG677" s="1924"/>
    </row>
    <row r="679" spans="1:33" ht="14.25" customHeight="1">
      <c r="D679" s="1810" t="s">
        <v>1383</v>
      </c>
      <c r="E679" s="1810"/>
      <c r="F679" s="1810"/>
      <c r="G679" s="1810"/>
      <c r="H679" s="1810"/>
      <c r="I679" s="1810"/>
      <c r="J679" s="1810"/>
      <c r="K679" s="1810"/>
      <c r="L679" s="1810"/>
      <c r="M679" s="1810"/>
      <c r="N679" s="1810"/>
      <c r="O679" s="1810"/>
      <c r="P679" s="1810"/>
      <c r="Q679" s="1810"/>
      <c r="R679" s="1810"/>
      <c r="S679" s="1810"/>
      <c r="T679" s="1810"/>
      <c r="U679" s="1810"/>
      <c r="V679" s="1810"/>
      <c r="W679" s="1810"/>
      <c r="X679" s="1810"/>
      <c r="Y679" s="1810"/>
      <c r="Z679" s="1810"/>
      <c r="AA679" s="1810"/>
      <c r="AB679" s="1810"/>
      <c r="AC679" s="1810"/>
      <c r="AD679" s="1810"/>
      <c r="AE679" s="1810"/>
      <c r="AF679" s="1810"/>
      <c r="AG679" s="1810"/>
    </row>
    <row r="680" spans="1:33" ht="14.25" customHeight="1" thickBot="1"/>
    <row r="681" spans="1:33" ht="21.75" customHeight="1" thickBot="1">
      <c r="D681" s="1859" t="s">
        <v>275</v>
      </c>
      <c r="E681" s="1859"/>
      <c r="F681" s="1859"/>
      <c r="G681" s="1859"/>
      <c r="H681" s="1859"/>
      <c r="I681" s="1859"/>
      <c r="J681" s="1838" t="s">
        <v>91</v>
      </c>
      <c r="K681" s="1838"/>
      <c r="L681" s="1838"/>
      <c r="M681" s="1838"/>
      <c r="N681" s="1838"/>
      <c r="O681" s="1838"/>
      <c r="P681" s="1838"/>
      <c r="Q681" s="1838"/>
      <c r="R681" s="1838" t="s">
        <v>93</v>
      </c>
      <c r="S681" s="1838"/>
      <c r="T681" s="1838"/>
      <c r="U681" s="1838"/>
      <c r="V681" s="1838"/>
      <c r="W681" s="1838"/>
      <c r="X681" s="1838"/>
      <c r="Y681" s="1838"/>
      <c r="Z681" s="1838" t="s">
        <v>2760</v>
      </c>
      <c r="AA681" s="1838"/>
      <c r="AB681" s="1838"/>
      <c r="AC681" s="1838"/>
      <c r="AD681" s="1838"/>
      <c r="AE681" s="1838"/>
      <c r="AF681" s="1838"/>
      <c r="AG681" s="1838"/>
    </row>
    <row r="682" spans="1:33" ht="49.5" customHeight="1" thickBot="1">
      <c r="D682" s="1859"/>
      <c r="E682" s="1859"/>
      <c r="F682" s="1859"/>
      <c r="G682" s="1859"/>
      <c r="H682" s="1859"/>
      <c r="I682" s="1859"/>
      <c r="J682" s="1838" t="s">
        <v>2</v>
      </c>
      <c r="K682" s="1838"/>
      <c r="L682" s="1838"/>
      <c r="M682" s="1838"/>
      <c r="N682" s="1838" t="s">
        <v>484</v>
      </c>
      <c r="O682" s="1838"/>
      <c r="P682" s="1838"/>
      <c r="Q682" s="1838"/>
      <c r="R682" s="1838" t="s">
        <v>2</v>
      </c>
      <c r="S682" s="1838"/>
      <c r="T682" s="1838"/>
      <c r="U682" s="1838"/>
      <c r="V682" s="1838" t="s">
        <v>484</v>
      </c>
      <c r="W682" s="1838"/>
      <c r="X682" s="1838"/>
      <c r="Y682" s="1838"/>
      <c r="Z682" s="1838" t="s">
        <v>2</v>
      </c>
      <c r="AA682" s="1838"/>
      <c r="AB682" s="1838"/>
      <c r="AC682" s="1838"/>
      <c r="AD682" s="1838" t="s">
        <v>484</v>
      </c>
      <c r="AE682" s="1838"/>
      <c r="AF682" s="1838"/>
      <c r="AG682" s="1838"/>
    </row>
    <row r="683" spans="1:33" ht="14.25" customHeight="1">
      <c r="D683" s="1955" t="s">
        <v>2758</v>
      </c>
      <c r="E683" s="1956"/>
      <c r="F683" s="1956"/>
      <c r="G683" s="1956"/>
      <c r="H683" s="1956"/>
      <c r="I683" s="1957"/>
      <c r="J683" s="1870">
        <v>897252</v>
      </c>
      <c r="K683" s="1837"/>
      <c r="L683" s="1837"/>
      <c r="M683" s="1837"/>
      <c r="N683" s="1870">
        <v>1213987</v>
      </c>
      <c r="O683" s="1837"/>
      <c r="P683" s="1837"/>
      <c r="Q683" s="1837"/>
      <c r="R683" s="1870">
        <v>1162252</v>
      </c>
      <c r="S683" s="1837"/>
      <c r="T683" s="1837"/>
      <c r="U683" s="1837"/>
      <c r="V683" s="1837">
        <v>687030</v>
      </c>
      <c r="W683" s="1837"/>
      <c r="X683" s="1837"/>
      <c r="Y683" s="1837"/>
      <c r="Z683" s="1870">
        <v>95400</v>
      </c>
      <c r="AA683" s="1837"/>
      <c r="AB683" s="1837"/>
      <c r="AC683" s="1837"/>
      <c r="AD683" s="1861">
        <v>101786</v>
      </c>
      <c r="AE683" s="1862"/>
      <c r="AF683" s="1862"/>
      <c r="AG683" s="1863"/>
    </row>
    <row r="684" spans="1:33" ht="14.25" customHeight="1">
      <c r="D684" s="2152" t="s">
        <v>2759</v>
      </c>
      <c r="E684" s="2153"/>
      <c r="F684" s="2153"/>
      <c r="G684" s="2153"/>
      <c r="H684" s="2153"/>
      <c r="I684" s="2154"/>
      <c r="J684" s="1835">
        <v>1748411</v>
      </c>
      <c r="K684" s="1773"/>
      <c r="L684" s="1773"/>
      <c r="M684" s="1773"/>
      <c r="N684" s="1835">
        <v>1608923</v>
      </c>
      <c r="O684" s="1773"/>
      <c r="P684" s="1773"/>
      <c r="Q684" s="1773"/>
      <c r="R684" s="1835">
        <v>1331724</v>
      </c>
      <c r="S684" s="1773"/>
      <c r="T684" s="1773"/>
      <c r="U684" s="1773"/>
      <c r="V684" s="1773">
        <v>1664315</v>
      </c>
      <c r="W684" s="1773"/>
      <c r="X684" s="1773"/>
      <c r="Y684" s="1773"/>
      <c r="Z684" s="1835">
        <v>72341</v>
      </c>
      <c r="AA684" s="1773"/>
      <c r="AB684" s="1773"/>
      <c r="AC684" s="1773"/>
      <c r="AD684" s="1881">
        <v>62100</v>
      </c>
      <c r="AE684" s="1882"/>
      <c r="AF684" s="1882"/>
      <c r="AG684" s="1883"/>
    </row>
    <row r="685" spans="1:33" ht="14.25" customHeight="1" thickBot="1">
      <c r="D685" s="2151" t="s">
        <v>14</v>
      </c>
      <c r="E685" s="2151"/>
      <c r="F685" s="2151"/>
      <c r="G685" s="2151"/>
      <c r="H685" s="2151"/>
      <c r="I685" s="2151"/>
      <c r="J685" s="1909">
        <f>SUM(J683:M684)</f>
        <v>2645663</v>
      </c>
      <c r="K685" s="1909"/>
      <c r="L685" s="1909"/>
      <c r="M685" s="1909"/>
      <c r="N685" s="1909">
        <f>SUM(N683:Q684)</f>
        <v>2822910</v>
      </c>
      <c r="O685" s="1909"/>
      <c r="P685" s="1909"/>
      <c r="Q685" s="1909"/>
      <c r="R685" s="1909">
        <f>SUM(R683:U684)</f>
        <v>2493976</v>
      </c>
      <c r="S685" s="1909"/>
      <c r="T685" s="1909"/>
      <c r="U685" s="1909"/>
      <c r="V685" s="1909">
        <f>SUM(V683:Y684)</f>
        <v>2351345</v>
      </c>
      <c r="W685" s="1909"/>
      <c r="X685" s="1909"/>
      <c r="Y685" s="1909"/>
      <c r="Z685" s="1909">
        <f>SUM(Z683:AC684)</f>
        <v>167741</v>
      </c>
      <c r="AA685" s="1909"/>
      <c r="AB685" s="1909"/>
      <c r="AC685" s="1909"/>
      <c r="AD685" s="1909">
        <f>SUM(AD683:AG684)</f>
        <v>163886</v>
      </c>
      <c r="AE685" s="1909"/>
      <c r="AF685" s="1909"/>
      <c r="AG685" s="1909"/>
    </row>
    <row r="687" spans="1:33" ht="14.25" customHeight="1">
      <c r="L687" s="769"/>
    </row>
    <row r="688" spans="1:33" ht="14.25" customHeight="1">
      <c r="D688" s="1924" t="s">
        <v>1384</v>
      </c>
      <c r="E688" s="1924"/>
      <c r="F688" s="1924"/>
      <c r="G688" s="1924"/>
      <c r="H688" s="1924"/>
      <c r="I688" s="1924"/>
      <c r="J688" s="1924"/>
      <c r="K688" s="1924"/>
      <c r="L688" s="1924"/>
      <c r="M688" s="1924"/>
      <c r="N688" s="1924"/>
      <c r="O688" s="1924"/>
      <c r="P688" s="1924"/>
      <c r="Q688" s="1924"/>
      <c r="R688" s="1924"/>
      <c r="S688" s="1924"/>
      <c r="T688" s="1924"/>
      <c r="U688" s="1924"/>
      <c r="V688" s="1924"/>
      <c r="W688" s="1924"/>
      <c r="X688" s="1924"/>
      <c r="Y688" s="1924"/>
      <c r="Z688" s="1924"/>
      <c r="AA688" s="1924"/>
      <c r="AB688" s="1924"/>
      <c r="AC688" s="1924"/>
      <c r="AD688" s="1924"/>
      <c r="AE688" s="1924"/>
      <c r="AF688" s="1924"/>
      <c r="AG688" s="1924"/>
    </row>
    <row r="690" spans="4:45" ht="14.25" customHeight="1">
      <c r="D690" s="768" t="s">
        <v>1385</v>
      </c>
      <c r="E690" s="660"/>
      <c r="F690" s="660"/>
      <c r="G690" s="660"/>
      <c r="H690" s="768"/>
      <c r="I690" s="660"/>
      <c r="J690" s="660"/>
      <c r="K690" s="660"/>
      <c r="L690" s="660"/>
      <c r="M690" s="660"/>
      <c r="N690" s="660"/>
      <c r="O690" s="660"/>
      <c r="P690" s="660"/>
      <c r="Q690" s="660"/>
      <c r="R690" s="660"/>
      <c r="S690" s="660"/>
      <c r="T690" s="660"/>
      <c r="U690" s="660"/>
      <c r="V690" s="660"/>
      <c r="W690" s="660"/>
      <c r="X690" s="660"/>
      <c r="Y690" s="660"/>
      <c r="Z690" s="660"/>
      <c r="AA690" s="660"/>
      <c r="AB690" s="660"/>
      <c r="AC690" s="660"/>
      <c r="AD690" s="660"/>
      <c r="AE690" s="660"/>
      <c r="AF690" s="660"/>
      <c r="AG690" s="660"/>
    </row>
    <row r="691" spans="4:45" ht="14.25" customHeight="1" thickBot="1"/>
    <row r="692" spans="4:45" ht="30" customHeight="1" thickTop="1" thickBot="1">
      <c r="D692" s="1859" t="s">
        <v>131</v>
      </c>
      <c r="E692" s="1859"/>
      <c r="F692" s="1859"/>
      <c r="G692" s="1859"/>
      <c r="H692" s="1859"/>
      <c r="I692" s="1859"/>
      <c r="J692" s="1859"/>
      <c r="K692" s="1859"/>
      <c r="L692" s="1859"/>
      <c r="M692" s="1859"/>
      <c r="N692" s="1838" t="s">
        <v>2</v>
      </c>
      <c r="O692" s="1838"/>
      <c r="P692" s="1838"/>
      <c r="Q692" s="1838"/>
      <c r="R692" s="1838" t="s">
        <v>3</v>
      </c>
      <c r="S692" s="1838"/>
      <c r="T692" s="1838"/>
      <c r="U692" s="1838"/>
      <c r="V692" s="1838"/>
      <c r="W692" s="1838"/>
      <c r="X692" s="1838"/>
      <c r="Y692" s="1838"/>
      <c r="Z692" s="1838" t="s">
        <v>280</v>
      </c>
      <c r="AA692" s="1838"/>
      <c r="AB692" s="1838"/>
      <c r="AC692" s="1838"/>
      <c r="AD692" s="1838"/>
      <c r="AE692" s="1838"/>
      <c r="AF692" s="1838"/>
      <c r="AG692" s="1838"/>
      <c r="AI692" s="59" t="s">
        <v>2</v>
      </c>
      <c r="AJ692" s="1558" t="s">
        <v>3</v>
      </c>
      <c r="AK692" s="1559"/>
      <c r="AL692" s="1558" t="s">
        <v>280</v>
      </c>
      <c r="AM692" s="1559"/>
      <c r="AO692" s="59" t="s">
        <v>2</v>
      </c>
      <c r="AP692" s="1558" t="s">
        <v>3</v>
      </c>
      <c r="AQ692" s="1559"/>
      <c r="AR692" s="1558" t="s">
        <v>280</v>
      </c>
      <c r="AS692" s="1559"/>
    </row>
    <row r="693" spans="4:45" ht="48.75" customHeight="1" thickTop="1" thickBot="1">
      <c r="D693" s="1859"/>
      <c r="E693" s="1859"/>
      <c r="F693" s="1859"/>
      <c r="G693" s="1859"/>
      <c r="H693" s="1859"/>
      <c r="I693" s="1859"/>
      <c r="J693" s="1859"/>
      <c r="K693" s="1859"/>
      <c r="L693" s="1859"/>
      <c r="M693" s="1859"/>
      <c r="N693" s="1838" t="s">
        <v>281</v>
      </c>
      <c r="O693" s="1838"/>
      <c r="P693" s="1838"/>
      <c r="Q693" s="1838"/>
      <c r="R693" s="1838" t="s">
        <v>281</v>
      </c>
      <c r="S693" s="1838"/>
      <c r="T693" s="1838"/>
      <c r="U693" s="1838"/>
      <c r="V693" s="1838" t="s">
        <v>282</v>
      </c>
      <c r="W693" s="1838"/>
      <c r="X693" s="1838"/>
      <c r="Y693" s="1838"/>
      <c r="Z693" s="1838" t="s">
        <v>2</v>
      </c>
      <c r="AA693" s="1838"/>
      <c r="AB693" s="1838"/>
      <c r="AC693" s="1838"/>
      <c r="AD693" s="1838" t="s">
        <v>486</v>
      </c>
      <c r="AE693" s="1838"/>
      <c r="AF693" s="1838"/>
      <c r="AG693" s="1838"/>
      <c r="AI693" s="657" t="s">
        <v>281</v>
      </c>
      <c r="AJ693" s="40" t="s">
        <v>281</v>
      </c>
      <c r="AK693" s="40" t="s">
        <v>282</v>
      </c>
      <c r="AL693" s="664" t="s">
        <v>2</v>
      </c>
      <c r="AM693" s="664" t="s">
        <v>486</v>
      </c>
      <c r="AO693" s="657" t="s">
        <v>281</v>
      </c>
      <c r="AP693" s="40" t="s">
        <v>281</v>
      </c>
      <c r="AQ693" s="40" t="s">
        <v>282</v>
      </c>
      <c r="AR693" s="40" t="s">
        <v>2</v>
      </c>
      <c r="AS693" s="40" t="s">
        <v>486</v>
      </c>
    </row>
    <row r="694" spans="4:45" ht="24.75" customHeight="1">
      <c r="D694" s="1791" t="s">
        <v>485</v>
      </c>
      <c r="E694" s="1791"/>
      <c r="F694" s="1791"/>
      <c r="G694" s="1791"/>
      <c r="H694" s="1791"/>
      <c r="I694" s="1791"/>
      <c r="J694" s="1791"/>
      <c r="K694" s="1791"/>
      <c r="L694" s="1791"/>
      <c r="M694" s="1791"/>
      <c r="N694" s="1775">
        <v>3950</v>
      </c>
      <c r="O694" s="1775"/>
      <c r="P694" s="1775"/>
      <c r="Q694" s="1950"/>
      <c r="R694" s="1774">
        <v>3887</v>
      </c>
      <c r="S694" s="1775"/>
      <c r="T694" s="1775"/>
      <c r="U694" s="1776"/>
      <c r="V694" s="1936">
        <v>0</v>
      </c>
      <c r="W694" s="1775"/>
      <c r="X694" s="1775"/>
      <c r="Y694" s="1775"/>
      <c r="Z694" s="1775">
        <v>63</v>
      </c>
      <c r="AA694" s="1775"/>
      <c r="AB694" s="1775"/>
      <c r="AC694" s="1775"/>
      <c r="AD694" s="1775">
        <v>3887</v>
      </c>
      <c r="AE694" s="1775"/>
      <c r="AF694" s="1775"/>
      <c r="AG694" s="1775"/>
      <c r="AI694" s="612"/>
      <c r="AJ694" s="613"/>
      <c r="AK694" s="613"/>
      <c r="AL694" s="662">
        <f>N694-R694-Z694</f>
        <v>0</v>
      </c>
      <c r="AM694" s="614">
        <f>R694-V694-AD694</f>
        <v>0</v>
      </c>
      <c r="AO694" s="630">
        <f>N694-BS!$D$45</f>
        <v>0</v>
      </c>
      <c r="AP694" s="662">
        <f>R694-BS!$G$45</f>
        <v>0</v>
      </c>
      <c r="AQ694" s="613"/>
      <c r="AR694" s="613"/>
      <c r="AS694" s="618"/>
    </row>
    <row r="695" spans="4:45" ht="24.75" customHeight="1">
      <c r="D695" s="1943" t="s">
        <v>91</v>
      </c>
      <c r="E695" s="1944"/>
      <c r="F695" s="1944"/>
      <c r="G695" s="1944"/>
      <c r="H695" s="1944"/>
      <c r="I695" s="1944"/>
      <c r="J695" s="1944"/>
      <c r="K695" s="1944"/>
      <c r="L695" s="1944"/>
      <c r="M695" s="1945"/>
      <c r="N695" s="1777">
        <v>2326</v>
      </c>
      <c r="O695" s="1778"/>
      <c r="P695" s="1778"/>
      <c r="Q695" s="1778"/>
      <c r="R695" s="1778">
        <v>2797</v>
      </c>
      <c r="S695" s="1778"/>
      <c r="T695" s="1778"/>
      <c r="U695" s="1778"/>
      <c r="V695" s="1778">
        <v>26569</v>
      </c>
      <c r="W695" s="1778"/>
      <c r="X695" s="1778"/>
      <c r="Y695" s="1937"/>
      <c r="Z695" s="1814">
        <v>-471</v>
      </c>
      <c r="AA695" s="1778"/>
      <c r="AB695" s="1778"/>
      <c r="AC695" s="1779"/>
      <c r="AD695" s="1777">
        <v>-23772</v>
      </c>
      <c r="AE695" s="1778"/>
      <c r="AF695" s="1778"/>
      <c r="AG695" s="1779"/>
      <c r="AI695" s="606"/>
      <c r="AJ695" s="607"/>
      <c r="AK695" s="607"/>
      <c r="AL695" s="661">
        <f>N695-R695-Z695</f>
        <v>0</v>
      </c>
      <c r="AM695" s="608">
        <f t="shared" ref="AM695:AM697" si="159">R695-V695-AD695</f>
        <v>0</v>
      </c>
      <c r="AO695" s="621">
        <f>N695-BS!$D$46</f>
        <v>0</v>
      </c>
      <c r="AP695" s="661">
        <f>R695-BS!$G$46</f>
        <v>0</v>
      </c>
      <c r="AQ695" s="607"/>
      <c r="AR695" s="607"/>
      <c r="AS695" s="619"/>
    </row>
    <row r="696" spans="4:45" ht="24.75" customHeight="1">
      <c r="D696" s="1943" t="s">
        <v>283</v>
      </c>
      <c r="E696" s="1944"/>
      <c r="F696" s="1944"/>
      <c r="G696" s="1944"/>
      <c r="H696" s="1944"/>
      <c r="I696" s="1944"/>
      <c r="J696" s="1944"/>
      <c r="K696" s="1944"/>
      <c r="L696" s="1944"/>
      <c r="M696" s="1945"/>
      <c r="N696" s="1777">
        <v>0</v>
      </c>
      <c r="O696" s="1778"/>
      <c r="P696" s="1778"/>
      <c r="Q696" s="1778"/>
      <c r="R696" s="1778">
        <v>0</v>
      </c>
      <c r="S696" s="1778"/>
      <c r="T696" s="1778"/>
      <c r="U696" s="1778"/>
      <c r="V696" s="1778">
        <v>0</v>
      </c>
      <c r="W696" s="1778"/>
      <c r="X696" s="1778"/>
      <c r="Y696" s="1937"/>
      <c r="Z696" s="1814">
        <v>0</v>
      </c>
      <c r="AA696" s="1778"/>
      <c r="AB696" s="1778"/>
      <c r="AC696" s="1779"/>
      <c r="AD696" s="1777">
        <v>0</v>
      </c>
      <c r="AE696" s="1778"/>
      <c r="AF696" s="1778"/>
      <c r="AG696" s="1779"/>
      <c r="AI696" s="606"/>
      <c r="AJ696" s="607"/>
      <c r="AK696" s="607"/>
      <c r="AL696" s="661">
        <f t="shared" ref="AL696" si="160">N696-R696-Z696</f>
        <v>0</v>
      </c>
      <c r="AM696" s="608">
        <f t="shared" si="159"/>
        <v>0</v>
      </c>
      <c r="AO696" s="621">
        <f>N696-BS!$D$47</f>
        <v>0</v>
      </c>
      <c r="AP696" s="661">
        <f>R696-BS!$G$47</f>
        <v>0</v>
      </c>
      <c r="AQ696" s="607"/>
      <c r="AR696" s="607"/>
      <c r="AS696" s="619"/>
    </row>
    <row r="697" spans="4:45" ht="24.75" customHeight="1">
      <c r="D697" s="1946" t="s">
        <v>14</v>
      </c>
      <c r="E697" s="1947"/>
      <c r="F697" s="1947"/>
      <c r="G697" s="1947"/>
      <c r="H697" s="1947"/>
      <c r="I697" s="1947"/>
      <c r="J697" s="1947"/>
      <c r="K697" s="1947"/>
      <c r="L697" s="1947"/>
      <c r="M697" s="1948"/>
      <c r="N697" s="1792">
        <f>SUM(N694:Q696)</f>
        <v>6276</v>
      </c>
      <c r="O697" s="1793"/>
      <c r="P697" s="1793"/>
      <c r="Q697" s="1793"/>
      <c r="R697" s="1793">
        <f t="shared" ref="R697" si="161">SUM(R694:U696)</f>
        <v>6684</v>
      </c>
      <c r="S697" s="1793"/>
      <c r="T697" s="1793"/>
      <c r="U697" s="1793"/>
      <c r="V697" s="1793">
        <f t="shared" ref="V697" si="162">SUM(V694:Y696)</f>
        <v>26569</v>
      </c>
      <c r="W697" s="1793"/>
      <c r="X697" s="1793"/>
      <c r="Y697" s="1938"/>
      <c r="Z697" s="1929">
        <f>SUM(Z694:AC696)</f>
        <v>-408</v>
      </c>
      <c r="AA697" s="1793"/>
      <c r="AB697" s="1793"/>
      <c r="AC697" s="1930"/>
      <c r="AD697" s="1792">
        <f t="shared" ref="AD697" si="163">SUM(AD694:AG696)</f>
        <v>-19885</v>
      </c>
      <c r="AE697" s="1793"/>
      <c r="AF697" s="1793"/>
      <c r="AG697" s="1930"/>
      <c r="AI697" s="621">
        <f>SUM(N694:Q696)-N697</f>
        <v>0</v>
      </c>
      <c r="AJ697" s="661">
        <f>SUM(R694:U696)-R697</f>
        <v>0</v>
      </c>
      <c r="AK697" s="661">
        <f>SUM(V694:Y696)-V697</f>
        <v>0</v>
      </c>
      <c r="AL697" s="661">
        <f>N697-R697-Z697</f>
        <v>0</v>
      </c>
      <c r="AM697" s="608">
        <f t="shared" si="159"/>
        <v>0</v>
      </c>
      <c r="AO697" s="606"/>
      <c r="AP697" s="607"/>
      <c r="AQ697" s="607"/>
      <c r="AR697" s="607"/>
      <c r="AS697" s="619"/>
    </row>
    <row r="698" spans="4:45" ht="24.75" customHeight="1">
      <c r="D698" s="1943" t="s">
        <v>284</v>
      </c>
      <c r="E698" s="1944"/>
      <c r="F698" s="1944"/>
      <c r="G698" s="1944"/>
      <c r="H698" s="1944"/>
      <c r="I698" s="1944"/>
      <c r="J698" s="1944"/>
      <c r="K698" s="1944"/>
      <c r="L698" s="1944"/>
      <c r="M698" s="1945"/>
      <c r="N698" s="1794" t="s">
        <v>18</v>
      </c>
      <c r="O698" s="1795"/>
      <c r="P698" s="1795"/>
      <c r="Q698" s="1795"/>
      <c r="R698" s="1795" t="s">
        <v>18</v>
      </c>
      <c r="S698" s="1795"/>
      <c r="T698" s="1795"/>
      <c r="U698" s="1795"/>
      <c r="V698" s="1795" t="s">
        <v>18</v>
      </c>
      <c r="W698" s="1795"/>
      <c r="X698" s="1795"/>
      <c r="Y698" s="1939"/>
      <c r="Z698" s="1814">
        <v>0</v>
      </c>
      <c r="AA698" s="1778"/>
      <c r="AB698" s="1778"/>
      <c r="AC698" s="1779"/>
      <c r="AD698" s="1777">
        <v>0</v>
      </c>
      <c r="AE698" s="1778"/>
      <c r="AF698" s="1778"/>
      <c r="AG698" s="1779"/>
      <c r="AI698" s="606"/>
      <c r="AJ698" s="607"/>
      <c r="AK698" s="607"/>
      <c r="AL698" s="607"/>
      <c r="AM698" s="619"/>
      <c r="AO698" s="606"/>
      <c r="AP698" s="607"/>
      <c r="AQ698" s="607"/>
      <c r="AR698" s="607"/>
      <c r="AS698" s="619"/>
    </row>
    <row r="699" spans="4:45" ht="24.75" customHeight="1">
      <c r="D699" s="1943" t="s">
        <v>285</v>
      </c>
      <c r="E699" s="1944"/>
      <c r="F699" s="1944"/>
      <c r="G699" s="1944"/>
      <c r="H699" s="1944"/>
      <c r="I699" s="1944"/>
      <c r="J699" s="1944"/>
      <c r="K699" s="1944"/>
      <c r="L699" s="1944"/>
      <c r="M699" s="1945"/>
      <c r="N699" s="1794" t="s">
        <v>18</v>
      </c>
      <c r="O699" s="1795"/>
      <c r="P699" s="1795"/>
      <c r="Q699" s="1795"/>
      <c r="R699" s="1795" t="s">
        <v>18</v>
      </c>
      <c r="S699" s="1795"/>
      <c r="T699" s="1795"/>
      <c r="U699" s="1795"/>
      <c r="V699" s="1795" t="s">
        <v>18</v>
      </c>
      <c r="W699" s="1795"/>
      <c r="X699" s="1795"/>
      <c r="Y699" s="1939"/>
      <c r="Z699" s="1814">
        <v>0</v>
      </c>
      <c r="AA699" s="1778"/>
      <c r="AB699" s="1778"/>
      <c r="AC699" s="1779"/>
      <c r="AD699" s="1777">
        <v>0</v>
      </c>
      <c r="AE699" s="1778"/>
      <c r="AF699" s="1778"/>
      <c r="AG699" s="1779"/>
      <c r="AI699" s="606"/>
      <c r="AJ699" s="607"/>
      <c r="AK699" s="607"/>
      <c r="AL699" s="607"/>
      <c r="AM699" s="619"/>
      <c r="AO699" s="606"/>
      <c r="AP699" s="607"/>
      <c r="AQ699" s="607"/>
      <c r="AR699" s="607"/>
      <c r="AS699" s="619"/>
    </row>
    <row r="700" spans="4:45" ht="24.75" customHeight="1">
      <c r="D700" s="1943" t="s">
        <v>286</v>
      </c>
      <c r="E700" s="1944"/>
      <c r="F700" s="1944"/>
      <c r="G700" s="1944"/>
      <c r="H700" s="1944"/>
      <c r="I700" s="1944"/>
      <c r="J700" s="1944"/>
      <c r="K700" s="1944"/>
      <c r="L700" s="1944"/>
      <c r="M700" s="1945"/>
      <c r="N700" s="1794" t="s">
        <v>18</v>
      </c>
      <c r="O700" s="1795"/>
      <c r="P700" s="1795"/>
      <c r="Q700" s="1795"/>
      <c r="R700" s="1795" t="s">
        <v>18</v>
      </c>
      <c r="S700" s="1795"/>
      <c r="T700" s="1795"/>
      <c r="U700" s="1795"/>
      <c r="V700" s="1795" t="s">
        <v>18</v>
      </c>
      <c r="W700" s="1795"/>
      <c r="X700" s="1795"/>
      <c r="Y700" s="1939"/>
      <c r="Z700" s="1814">
        <v>0</v>
      </c>
      <c r="AA700" s="1778"/>
      <c r="AB700" s="1778"/>
      <c r="AC700" s="1779"/>
      <c r="AD700" s="1777">
        <v>0</v>
      </c>
      <c r="AE700" s="1778"/>
      <c r="AF700" s="1778"/>
      <c r="AG700" s="1779"/>
      <c r="AI700" s="606"/>
      <c r="AJ700" s="607"/>
      <c r="AK700" s="607"/>
      <c r="AL700" s="607"/>
      <c r="AM700" s="619"/>
      <c r="AO700" s="606"/>
      <c r="AP700" s="607"/>
      <c r="AQ700" s="607"/>
      <c r="AR700" s="607"/>
      <c r="AS700" s="619"/>
    </row>
    <row r="701" spans="4:45" ht="24.75" customHeight="1" thickBot="1">
      <c r="D701" s="1942" t="s">
        <v>287</v>
      </c>
      <c r="E701" s="1942"/>
      <c r="F701" s="1942"/>
      <c r="G701" s="1942"/>
      <c r="H701" s="1942"/>
      <c r="I701" s="1942"/>
      <c r="J701" s="1942"/>
      <c r="K701" s="1942"/>
      <c r="L701" s="1942"/>
      <c r="M701" s="1942"/>
      <c r="N701" s="1796" t="s">
        <v>18</v>
      </c>
      <c r="O701" s="1797"/>
      <c r="P701" s="1797"/>
      <c r="Q701" s="1798"/>
      <c r="R701" s="1932" t="s">
        <v>18</v>
      </c>
      <c r="S701" s="1797"/>
      <c r="T701" s="1797"/>
      <c r="U701" s="1933"/>
      <c r="V701" s="1796" t="s">
        <v>18</v>
      </c>
      <c r="W701" s="1797"/>
      <c r="X701" s="1797"/>
      <c r="Y701" s="1798"/>
      <c r="Z701" s="1931">
        <v>0</v>
      </c>
      <c r="AA701" s="1931"/>
      <c r="AB701" s="1931"/>
      <c r="AC701" s="1931"/>
      <c r="AD701" s="1949">
        <v>0</v>
      </c>
      <c r="AE701" s="1931"/>
      <c r="AF701" s="1931"/>
      <c r="AG701" s="1931"/>
      <c r="AI701" s="606"/>
      <c r="AJ701" s="607"/>
      <c r="AK701" s="607"/>
      <c r="AL701" s="607"/>
      <c r="AM701" s="619"/>
      <c r="AO701" s="606"/>
      <c r="AP701" s="607"/>
      <c r="AQ701" s="607"/>
      <c r="AR701" s="607"/>
      <c r="AS701" s="619"/>
    </row>
    <row r="702" spans="4:45" ht="28.5" customHeight="1" thickBot="1">
      <c r="D702" s="1941" t="s">
        <v>1386</v>
      </c>
      <c r="E702" s="1941"/>
      <c r="F702" s="1941"/>
      <c r="G702" s="1941"/>
      <c r="H702" s="1941"/>
      <c r="I702" s="1941"/>
      <c r="J702" s="1941"/>
      <c r="K702" s="1941"/>
      <c r="L702" s="1941"/>
      <c r="M702" s="1941"/>
      <c r="N702" s="1833" t="s">
        <v>18</v>
      </c>
      <c r="O702" s="1833"/>
      <c r="P702" s="1833"/>
      <c r="Q702" s="1834"/>
      <c r="R702" s="1934" t="s">
        <v>18</v>
      </c>
      <c r="S702" s="1833"/>
      <c r="T702" s="1833"/>
      <c r="U702" s="1935"/>
      <c r="V702" s="1940" t="s">
        <v>18</v>
      </c>
      <c r="W702" s="1833"/>
      <c r="X702" s="1833"/>
      <c r="Y702" s="1833"/>
      <c r="Z702" s="1820">
        <f>Z697</f>
        <v>-408</v>
      </c>
      <c r="AA702" s="1820"/>
      <c r="AB702" s="1820"/>
      <c r="AC702" s="1820"/>
      <c r="AD702" s="1820">
        <f>AD697</f>
        <v>-19885</v>
      </c>
      <c r="AE702" s="1820"/>
      <c r="AF702" s="1820"/>
      <c r="AG702" s="1820"/>
      <c r="AI702" s="633"/>
      <c r="AJ702" s="663"/>
      <c r="AK702" s="663"/>
      <c r="AL702" s="610">
        <f>SUM(Z697:AC701)-Z702</f>
        <v>0</v>
      </c>
      <c r="AM702" s="611">
        <f>SUM(AD697:AG701)-AD702</f>
        <v>0</v>
      </c>
      <c r="AO702" s="633"/>
      <c r="AP702" s="663"/>
      <c r="AQ702" s="663"/>
      <c r="AR702" s="610">
        <f>Z702-'P&amp;L'!$D$14</f>
        <v>0</v>
      </c>
      <c r="AS702" s="611">
        <f>Z702-'P&amp;L'!$D$14</f>
        <v>0</v>
      </c>
    </row>
    <row r="705" spans="1:42" ht="14.25" customHeight="1">
      <c r="D705" s="1790" t="s">
        <v>2935</v>
      </c>
      <c r="E705" s="1790"/>
      <c r="F705" s="1790"/>
      <c r="G705" s="1790"/>
      <c r="H705" s="1790"/>
      <c r="I705" s="1790"/>
      <c r="J705" s="1790"/>
      <c r="K705" s="1790"/>
      <c r="L705" s="1790"/>
      <c r="M705" s="1790"/>
      <c r="N705" s="1790"/>
      <c r="O705" s="1790"/>
      <c r="P705" s="1790"/>
      <c r="Q705" s="1790"/>
      <c r="R705" s="1790"/>
      <c r="S705" s="1790"/>
      <c r="T705" s="1790"/>
      <c r="U705" s="1790"/>
      <c r="V705" s="1790"/>
      <c r="W705" s="1790"/>
      <c r="X705" s="1790"/>
      <c r="Y705" s="1790"/>
      <c r="Z705" s="1790"/>
      <c r="AA705" s="1790"/>
      <c r="AB705" s="1790"/>
      <c r="AC705" s="1790"/>
      <c r="AD705" s="1790"/>
      <c r="AE705" s="1790"/>
      <c r="AF705" s="1790"/>
      <c r="AG705" s="1790"/>
    </row>
    <row r="706" spans="1:42" ht="14.25" customHeight="1">
      <c r="D706" s="786"/>
      <c r="E706" s="786"/>
      <c r="F706" s="786"/>
      <c r="G706" s="786"/>
      <c r="H706" s="786"/>
      <c r="I706" s="786"/>
      <c r="J706" s="786"/>
      <c r="K706" s="786"/>
      <c r="L706" s="786"/>
      <c r="M706" s="786"/>
      <c r="N706" s="786"/>
      <c r="O706" s="786"/>
      <c r="P706" s="786"/>
      <c r="Q706" s="786"/>
      <c r="R706" s="786"/>
      <c r="S706" s="786"/>
      <c r="T706" s="786"/>
      <c r="U706" s="786"/>
      <c r="V706" s="786"/>
      <c r="W706" s="786"/>
      <c r="X706" s="786"/>
      <c r="Y706" s="786"/>
      <c r="Z706" s="786"/>
      <c r="AA706" s="786"/>
      <c r="AB706" s="786"/>
      <c r="AC706" s="786"/>
      <c r="AD706" s="786"/>
      <c r="AE706" s="786"/>
      <c r="AF706" s="786"/>
      <c r="AG706" s="786"/>
    </row>
    <row r="707" spans="1:42" ht="14.25" customHeight="1">
      <c r="D707" s="2272" t="s">
        <v>2936</v>
      </c>
      <c r="E707" s="2272"/>
      <c r="F707" s="2272"/>
      <c r="G707" s="2272"/>
      <c r="H707" s="2272"/>
      <c r="I707" s="2272"/>
      <c r="J707" s="2272"/>
      <c r="K707" s="2272"/>
      <c r="L707" s="2272"/>
      <c r="M707" s="2272"/>
      <c r="N707" s="2272"/>
      <c r="O707" s="2272"/>
      <c r="P707" s="2272"/>
      <c r="Q707" s="2272"/>
      <c r="R707" s="2272"/>
      <c r="S707" s="2272"/>
      <c r="T707" s="2272"/>
      <c r="U707" s="2272"/>
      <c r="V707" s="2272"/>
      <c r="W707" s="2272"/>
      <c r="X707" s="2272"/>
      <c r="Y707" s="2272"/>
      <c r="Z707" s="2272"/>
      <c r="AA707" s="2272"/>
      <c r="AB707" s="2272"/>
      <c r="AC707" s="2272"/>
      <c r="AD707" s="2272"/>
      <c r="AE707" s="2272"/>
      <c r="AF707" s="2272"/>
      <c r="AG707" s="2272"/>
    </row>
    <row r="708" spans="1:42" ht="14.25" customHeight="1" thickBot="1"/>
    <row r="709" spans="1:42" ht="14.25" customHeight="1" thickBot="1">
      <c r="D709" s="1811" t="s">
        <v>131</v>
      </c>
      <c r="E709" s="1812"/>
      <c r="F709" s="1812"/>
      <c r="G709" s="1812"/>
      <c r="H709" s="1812"/>
      <c r="I709" s="1812"/>
      <c r="J709" s="1812"/>
      <c r="K709" s="1812"/>
      <c r="L709" s="1812"/>
      <c r="M709" s="1813"/>
      <c r="N709" s="1799" t="s">
        <v>2</v>
      </c>
      <c r="O709" s="1800"/>
      <c r="P709" s="1800"/>
      <c r="Q709" s="1800"/>
      <c r="R709" s="1800"/>
      <c r="S709" s="1800"/>
      <c r="T709" s="1800"/>
      <c r="U709" s="1800"/>
      <c r="V709" s="1800"/>
      <c r="W709" s="1800"/>
      <c r="X709" s="1799" t="s">
        <v>3</v>
      </c>
      <c r="Y709" s="1800"/>
      <c r="Z709" s="1800"/>
      <c r="AA709" s="1800"/>
      <c r="AB709" s="1800"/>
      <c r="AC709" s="1800"/>
      <c r="AD709" s="1800"/>
      <c r="AE709" s="1800"/>
      <c r="AF709" s="1800"/>
      <c r="AG709" s="1803"/>
    </row>
    <row r="710" spans="1:42" ht="14.25" customHeight="1" thickBot="1">
      <c r="D710" s="1811"/>
      <c r="E710" s="1812"/>
      <c r="F710" s="1812"/>
      <c r="G710" s="1812"/>
      <c r="H710" s="1812"/>
      <c r="I710" s="1812"/>
      <c r="J710" s="1812"/>
      <c r="K710" s="1812"/>
      <c r="L710" s="1812"/>
      <c r="M710" s="1813"/>
      <c r="N710" s="1801"/>
      <c r="O710" s="1802"/>
      <c r="P710" s="1802"/>
      <c r="Q710" s="1802"/>
      <c r="R710" s="1802"/>
      <c r="S710" s="1802"/>
      <c r="T710" s="1802"/>
      <c r="U710" s="1802"/>
      <c r="V710" s="1802"/>
      <c r="W710" s="1802"/>
      <c r="X710" s="1801"/>
      <c r="Y710" s="1802"/>
      <c r="Z710" s="1802"/>
      <c r="AA710" s="1802"/>
      <c r="AB710" s="1802"/>
      <c r="AC710" s="1802"/>
      <c r="AD710" s="1802"/>
      <c r="AE710" s="1802"/>
      <c r="AF710" s="1802"/>
      <c r="AG710" s="1804"/>
      <c r="AO710" s="666" t="s">
        <v>2</v>
      </c>
      <c r="AP710" s="667" t="s">
        <v>3</v>
      </c>
    </row>
    <row r="711" spans="1:42" s="588" customFormat="1" ht="27" customHeight="1">
      <c r="A711" s="631"/>
      <c r="D711" s="1925" t="s">
        <v>487</v>
      </c>
      <c r="E711" s="1926"/>
      <c r="F711" s="1926"/>
      <c r="G711" s="1926"/>
      <c r="H711" s="1926"/>
      <c r="I711" s="1926"/>
      <c r="J711" s="1926"/>
      <c r="K711" s="1926"/>
      <c r="L711" s="1926"/>
      <c r="M711" s="1927"/>
      <c r="N711" s="1928"/>
      <c r="O711" s="1928"/>
      <c r="P711" s="1928"/>
      <c r="Q711" s="1928"/>
      <c r="R711" s="1928"/>
      <c r="S711" s="1928"/>
      <c r="T711" s="1928"/>
      <c r="U711" s="1928"/>
      <c r="V711" s="1928"/>
      <c r="W711" s="1928"/>
      <c r="X711" s="1928"/>
      <c r="Y711" s="1928"/>
      <c r="Z711" s="1928"/>
      <c r="AA711" s="1928"/>
      <c r="AB711" s="1928"/>
      <c r="AC711" s="1928"/>
      <c r="AD711" s="1928"/>
      <c r="AE711" s="1928"/>
      <c r="AF711" s="1928"/>
      <c r="AG711" s="1928"/>
      <c r="AO711" s="668"/>
      <c r="AP711" s="669"/>
    </row>
    <row r="712" spans="1:42" s="588" customFormat="1" ht="27" customHeight="1">
      <c r="A712" s="631"/>
      <c r="D712" s="1786" t="s">
        <v>2781</v>
      </c>
      <c r="E712" s="1787"/>
      <c r="F712" s="1787"/>
      <c r="G712" s="1787"/>
      <c r="H712" s="1787"/>
      <c r="I712" s="1787"/>
      <c r="J712" s="1787"/>
      <c r="K712" s="1787"/>
      <c r="L712" s="1787"/>
      <c r="M712" s="1787"/>
      <c r="N712" s="1764">
        <v>0</v>
      </c>
      <c r="O712" s="1764"/>
      <c r="P712" s="1764"/>
      <c r="Q712" s="1764"/>
      <c r="R712" s="1764"/>
      <c r="S712" s="1764"/>
      <c r="T712" s="1764"/>
      <c r="U712" s="1764"/>
      <c r="V712" s="1764"/>
      <c r="W712" s="1764"/>
      <c r="X712" s="1764">
        <v>0</v>
      </c>
      <c r="Y712" s="1764"/>
      <c r="Z712" s="1764"/>
      <c r="AA712" s="1764"/>
      <c r="AB712" s="1764"/>
      <c r="AC712" s="1764"/>
      <c r="AD712" s="1764"/>
      <c r="AE712" s="1764"/>
      <c r="AF712" s="1764"/>
      <c r="AG712" s="1764"/>
      <c r="AO712" s="668"/>
      <c r="AP712" s="669"/>
    </row>
    <row r="713" spans="1:42" s="588" customFormat="1" ht="27" customHeight="1">
      <c r="A713" s="631"/>
      <c r="D713" s="1787"/>
      <c r="E713" s="1787"/>
      <c r="F713" s="1787"/>
      <c r="G713" s="1787"/>
      <c r="H713" s="1787"/>
      <c r="I713" s="1787"/>
      <c r="J713" s="1787"/>
      <c r="K713" s="1787"/>
      <c r="L713" s="1787"/>
      <c r="M713" s="1787"/>
      <c r="N713" s="1764"/>
      <c r="O713" s="1764"/>
      <c r="P713" s="1764"/>
      <c r="Q713" s="1764"/>
      <c r="R713" s="1764"/>
      <c r="S713" s="1764"/>
      <c r="T713" s="1764"/>
      <c r="U713" s="1764"/>
      <c r="V713" s="1764"/>
      <c r="W713" s="1764"/>
      <c r="X713" s="1764"/>
      <c r="Y713" s="1764"/>
      <c r="Z713" s="1764"/>
      <c r="AA713" s="1764"/>
      <c r="AB713" s="1764"/>
      <c r="AC713" s="1764"/>
      <c r="AD713" s="1764"/>
      <c r="AE713" s="1764"/>
      <c r="AF713" s="1764"/>
      <c r="AG713" s="1764"/>
      <c r="AO713" s="668"/>
      <c r="AP713" s="669"/>
    </row>
    <row r="714" spans="1:42" s="588" customFormat="1" ht="27" customHeight="1">
      <c r="A714" s="631"/>
      <c r="D714" s="1818" t="s">
        <v>290</v>
      </c>
      <c r="E714" s="1818"/>
      <c r="F714" s="1818"/>
      <c r="G714" s="1818"/>
      <c r="H714" s="1818"/>
      <c r="I714" s="1818"/>
      <c r="J714" s="1818"/>
      <c r="K714" s="1818"/>
      <c r="L714" s="1818"/>
      <c r="M714" s="1818"/>
      <c r="N714" s="1819">
        <f>SUM(N715:W716)</f>
        <v>77462</v>
      </c>
      <c r="O714" s="1819"/>
      <c r="P714" s="1819"/>
      <c r="Q714" s="1819"/>
      <c r="R714" s="1819"/>
      <c r="S714" s="1819"/>
      <c r="T714" s="1819"/>
      <c r="U714" s="1819"/>
      <c r="V714" s="1819"/>
      <c r="W714" s="1819"/>
      <c r="X714" s="1819">
        <f>SUM(X715:AG716)</f>
        <v>916</v>
      </c>
      <c r="Y714" s="1819"/>
      <c r="Z714" s="1819"/>
      <c r="AA714" s="1819"/>
      <c r="AB714" s="1819"/>
      <c r="AC714" s="1819"/>
      <c r="AD714" s="1819"/>
      <c r="AE714" s="1819"/>
      <c r="AF714" s="1819"/>
      <c r="AG714" s="1819"/>
      <c r="AO714" s="668"/>
      <c r="AP714" s="669"/>
    </row>
    <row r="715" spans="1:42" s="588" customFormat="1" ht="27" customHeight="1">
      <c r="A715" s="631"/>
      <c r="D715" s="1786" t="s">
        <v>2782</v>
      </c>
      <c r="E715" s="1787"/>
      <c r="F715" s="1787"/>
      <c r="G715" s="1787"/>
      <c r="H715" s="1787"/>
      <c r="I715" s="1787"/>
      <c r="J715" s="1787"/>
      <c r="K715" s="1787"/>
      <c r="L715" s="1787"/>
      <c r="M715" s="1787"/>
      <c r="N715" s="1764">
        <v>9584</v>
      </c>
      <c r="O715" s="1764"/>
      <c r="P715" s="1764"/>
      <c r="Q715" s="1764"/>
      <c r="R715" s="1764"/>
      <c r="S715" s="1764"/>
      <c r="T715" s="1764"/>
      <c r="U715" s="1764"/>
      <c r="V715" s="1764"/>
      <c r="W715" s="1764"/>
      <c r="X715" s="1764"/>
      <c r="Y715" s="1764"/>
      <c r="Z715" s="1764"/>
      <c r="AA715" s="1764"/>
      <c r="AB715" s="1764"/>
      <c r="AC715" s="1764"/>
      <c r="AD715" s="1764"/>
      <c r="AE715" s="1764"/>
      <c r="AF715" s="1764"/>
      <c r="AG715" s="1764"/>
      <c r="AO715" s="668"/>
      <c r="AP715" s="669"/>
    </row>
    <row r="716" spans="1:42" s="588" customFormat="1" ht="27" customHeight="1">
      <c r="A716" s="631"/>
      <c r="D716" s="1786" t="s">
        <v>2761</v>
      </c>
      <c r="E716" s="1787"/>
      <c r="F716" s="1787"/>
      <c r="G716" s="1787"/>
      <c r="H716" s="1787"/>
      <c r="I716" s="1787"/>
      <c r="J716" s="1787"/>
      <c r="K716" s="1787"/>
      <c r="L716" s="1787"/>
      <c r="M716" s="1787"/>
      <c r="N716" s="1764">
        <v>67878</v>
      </c>
      <c r="O716" s="1764"/>
      <c r="P716" s="1764"/>
      <c r="Q716" s="1764"/>
      <c r="R716" s="1764"/>
      <c r="S716" s="1764"/>
      <c r="T716" s="1764"/>
      <c r="U716" s="1764"/>
      <c r="V716" s="1764"/>
      <c r="W716" s="1764"/>
      <c r="X716" s="1764">
        <v>916</v>
      </c>
      <c r="Y716" s="1764"/>
      <c r="Z716" s="1764"/>
      <c r="AA716" s="1764"/>
      <c r="AB716" s="1764"/>
      <c r="AC716" s="1764"/>
      <c r="AD716" s="1764"/>
      <c r="AE716" s="1764"/>
      <c r="AF716" s="1764"/>
      <c r="AG716" s="1764"/>
      <c r="AO716" s="668"/>
      <c r="AP716" s="669"/>
    </row>
    <row r="717" spans="1:42" s="588" customFormat="1" ht="27" customHeight="1">
      <c r="A717" s="631"/>
      <c r="D717" s="1818" t="s">
        <v>291</v>
      </c>
      <c r="E717" s="1818"/>
      <c r="F717" s="1818"/>
      <c r="G717" s="1818"/>
      <c r="H717" s="1818"/>
      <c r="I717" s="1818"/>
      <c r="J717" s="1818"/>
      <c r="K717" s="1818"/>
      <c r="L717" s="1818"/>
      <c r="M717" s="1818"/>
      <c r="N717" s="1764">
        <f>SUM(N718,N720,N722)</f>
        <v>46176</v>
      </c>
      <c r="O717" s="1764"/>
      <c r="P717" s="1764"/>
      <c r="Q717" s="1764"/>
      <c r="R717" s="1764"/>
      <c r="S717" s="1764"/>
      <c r="T717" s="1764"/>
      <c r="U717" s="1764"/>
      <c r="V717" s="1764"/>
      <c r="W717" s="1764"/>
      <c r="X717" s="1764">
        <f>SUM(X718,X720,X722)</f>
        <v>29145</v>
      </c>
      <c r="Y717" s="1764"/>
      <c r="Z717" s="1764"/>
      <c r="AA717" s="1764"/>
      <c r="AB717" s="1764"/>
      <c r="AC717" s="1764"/>
      <c r="AD717" s="1764"/>
      <c r="AE717" s="1764"/>
      <c r="AF717" s="1764"/>
      <c r="AG717" s="1764"/>
      <c r="AO717" s="621">
        <f>N717-SUM('P&amp;L'!$D$38,'P&amp;L'!$D$40,'P&amp;L'!$D$41,'P&amp;L'!$D$42,'P&amp;L'!$D$43,'P&amp;L'!$D$51,'P&amp;L'!$D$47,'P&amp;L'!$D$50,'P&amp;L'!$D$52)</f>
        <v>0</v>
      </c>
      <c r="AP717" s="608">
        <f>X717-SUM('P&amp;L'!$E$38,'P&amp;L'!$E$40,'P&amp;L'!$E$41,'P&amp;L'!$E$42,'P&amp;L'!$E$43,'P&amp;L'!$E$51,'P&amp;L'!$E$47,'P&amp;L'!$E$50,'P&amp;L'!$E$52)</f>
        <v>0</v>
      </c>
    </row>
    <row r="718" spans="1:42" s="588" customFormat="1" ht="27" customHeight="1">
      <c r="A718" s="631"/>
      <c r="D718" s="1788" t="s">
        <v>292</v>
      </c>
      <c r="E718" s="1788"/>
      <c r="F718" s="1788"/>
      <c r="G718" s="1788"/>
      <c r="H718" s="1788"/>
      <c r="I718" s="1788"/>
      <c r="J718" s="1788"/>
      <c r="K718" s="1788"/>
      <c r="L718" s="1788"/>
      <c r="M718" s="1788"/>
      <c r="N718" s="1764">
        <f>SUM(N719)</f>
        <v>46176</v>
      </c>
      <c r="O718" s="1764"/>
      <c r="P718" s="1764"/>
      <c r="Q718" s="1764"/>
      <c r="R718" s="1764"/>
      <c r="S718" s="1764"/>
      <c r="T718" s="1764"/>
      <c r="U718" s="1764"/>
      <c r="V718" s="1764"/>
      <c r="W718" s="1764"/>
      <c r="X718" s="1764">
        <f>SUM(X719)</f>
        <v>29114</v>
      </c>
      <c r="Y718" s="1764"/>
      <c r="Z718" s="1764"/>
      <c r="AA718" s="1764"/>
      <c r="AB718" s="1764"/>
      <c r="AC718" s="1764"/>
      <c r="AD718" s="1764"/>
      <c r="AE718" s="1764"/>
      <c r="AF718" s="1764"/>
      <c r="AG718" s="1764"/>
      <c r="AO718" s="621">
        <f>N718-'P&amp;L'!$D$50</f>
        <v>0</v>
      </c>
      <c r="AP718" s="608">
        <f>X718-'P&amp;L'!$E$50</f>
        <v>0</v>
      </c>
    </row>
    <row r="719" spans="1:42" s="588" customFormat="1" ht="27" customHeight="1">
      <c r="A719" s="631"/>
      <c r="D719" s="1787" t="s">
        <v>293</v>
      </c>
      <c r="E719" s="1787"/>
      <c r="F719" s="1787"/>
      <c r="G719" s="1787"/>
      <c r="H719" s="1787"/>
      <c r="I719" s="1787"/>
      <c r="J719" s="1787"/>
      <c r="K719" s="1787"/>
      <c r="L719" s="1787"/>
      <c r="M719" s="1787"/>
      <c r="N719" s="1822">
        <v>46176</v>
      </c>
      <c r="O719" s="1822"/>
      <c r="P719" s="1822"/>
      <c r="Q719" s="1822"/>
      <c r="R719" s="1822"/>
      <c r="S719" s="1822"/>
      <c r="T719" s="1822"/>
      <c r="U719" s="1822"/>
      <c r="V719" s="1822"/>
      <c r="W719" s="1822"/>
      <c r="X719" s="1822">
        <v>29114</v>
      </c>
      <c r="Y719" s="1822"/>
      <c r="Z719" s="1822"/>
      <c r="AA719" s="1822"/>
      <c r="AB719" s="1822"/>
      <c r="AC719" s="1822"/>
      <c r="AD719" s="1822"/>
      <c r="AE719" s="1822"/>
      <c r="AF719" s="1822"/>
      <c r="AG719" s="1822"/>
      <c r="AO719" s="606"/>
      <c r="AP719" s="619"/>
    </row>
    <row r="720" spans="1:42" s="588" customFormat="1" ht="27" customHeight="1">
      <c r="A720" s="631"/>
      <c r="D720" s="1788" t="s">
        <v>294</v>
      </c>
      <c r="E720" s="1788"/>
      <c r="F720" s="1788"/>
      <c r="G720" s="1788"/>
      <c r="H720" s="1788"/>
      <c r="I720" s="1788"/>
      <c r="J720" s="1788"/>
      <c r="K720" s="1788"/>
      <c r="L720" s="1788"/>
      <c r="M720" s="1788"/>
      <c r="N720" s="1764">
        <f>SUM(N721)</f>
        <v>0</v>
      </c>
      <c r="O720" s="1764"/>
      <c r="P720" s="1764"/>
      <c r="Q720" s="1764"/>
      <c r="R720" s="1764"/>
      <c r="S720" s="1764"/>
      <c r="T720" s="1764"/>
      <c r="U720" s="1764"/>
      <c r="V720" s="1764"/>
      <c r="W720" s="1764"/>
      <c r="X720" s="1764">
        <f>SUM(X721)</f>
        <v>31</v>
      </c>
      <c r="Y720" s="1764"/>
      <c r="Z720" s="1764"/>
      <c r="AA720" s="1764"/>
      <c r="AB720" s="1764"/>
      <c r="AC720" s="1764"/>
      <c r="AD720" s="1764"/>
      <c r="AE720" s="1764"/>
      <c r="AF720" s="1764"/>
      <c r="AG720" s="1764"/>
      <c r="AO720" s="606"/>
      <c r="AP720" s="619"/>
    </row>
    <row r="721" spans="1:42" s="588" customFormat="1" ht="27" customHeight="1">
      <c r="A721" s="631"/>
      <c r="D721" s="1786" t="s">
        <v>2762</v>
      </c>
      <c r="E721" s="1787"/>
      <c r="F721" s="1787"/>
      <c r="G721" s="1787"/>
      <c r="H721" s="1787"/>
      <c r="I721" s="1787"/>
      <c r="J721" s="1787"/>
      <c r="K721" s="1787"/>
      <c r="L721" s="1787"/>
      <c r="M721" s="1787"/>
      <c r="N721" s="1764">
        <v>0</v>
      </c>
      <c r="O721" s="1764"/>
      <c r="P721" s="1764"/>
      <c r="Q721" s="1764"/>
      <c r="R721" s="1764"/>
      <c r="S721" s="1764"/>
      <c r="T721" s="1764"/>
      <c r="U721" s="1764"/>
      <c r="V721" s="1764"/>
      <c r="W721" s="1764"/>
      <c r="X721" s="1764">
        <v>31</v>
      </c>
      <c r="Y721" s="1764"/>
      <c r="Z721" s="1764"/>
      <c r="AA721" s="1764"/>
      <c r="AB721" s="1764"/>
      <c r="AC721" s="1764"/>
      <c r="AD721" s="1764"/>
      <c r="AE721" s="1764"/>
      <c r="AF721" s="1764"/>
      <c r="AG721" s="1764"/>
      <c r="AO721" s="606"/>
      <c r="AP721" s="619"/>
    </row>
    <row r="722" spans="1:42" s="588" customFormat="1" ht="27" customHeight="1">
      <c r="A722" s="631"/>
      <c r="D722" s="1786" t="s">
        <v>2763</v>
      </c>
      <c r="E722" s="1787"/>
      <c r="F722" s="1787"/>
      <c r="G722" s="1787"/>
      <c r="H722" s="1787"/>
      <c r="I722" s="1787"/>
      <c r="J722" s="1787"/>
      <c r="K722" s="1787"/>
      <c r="L722" s="1787"/>
      <c r="M722" s="1787"/>
      <c r="N722" s="1764">
        <v>0</v>
      </c>
      <c r="O722" s="1764"/>
      <c r="P722" s="1764"/>
      <c r="Q722" s="1764"/>
      <c r="R722" s="1764"/>
      <c r="S722" s="1764"/>
      <c r="T722" s="1764"/>
      <c r="U722" s="1764"/>
      <c r="V722" s="1764"/>
      <c r="W722" s="1764"/>
      <c r="X722" s="1764">
        <v>0</v>
      </c>
      <c r="Y722" s="1764"/>
      <c r="Z722" s="1764"/>
      <c r="AA722" s="1764"/>
      <c r="AB722" s="1764"/>
      <c r="AC722" s="1764"/>
      <c r="AD722" s="1764"/>
      <c r="AE722" s="1764"/>
      <c r="AF722" s="1764"/>
      <c r="AG722" s="1764"/>
      <c r="AO722" s="606"/>
      <c r="AP722" s="619"/>
    </row>
    <row r="723" spans="1:42" s="588" customFormat="1" ht="27" customHeight="1">
      <c r="A723" s="631"/>
      <c r="D723" s="1818" t="s">
        <v>295</v>
      </c>
      <c r="E723" s="1818"/>
      <c r="F723" s="1818"/>
      <c r="G723" s="1818"/>
      <c r="H723" s="1818"/>
      <c r="I723" s="1818"/>
      <c r="J723" s="1818"/>
      <c r="K723" s="1818"/>
      <c r="L723" s="1818"/>
      <c r="M723" s="1818"/>
      <c r="N723" s="1764"/>
      <c r="O723" s="1764"/>
      <c r="P723" s="1764"/>
      <c r="Q723" s="1764"/>
      <c r="R723" s="1764"/>
      <c r="S723" s="1764"/>
      <c r="T723" s="1764"/>
      <c r="U723" s="1764"/>
      <c r="V723" s="1764"/>
      <c r="W723" s="1764"/>
      <c r="X723" s="1764"/>
      <c r="Y723" s="1764"/>
      <c r="Z723" s="1764"/>
      <c r="AA723" s="1764"/>
      <c r="AB723" s="1764"/>
      <c r="AC723" s="1764"/>
      <c r="AD723" s="1764"/>
      <c r="AE723" s="1764"/>
      <c r="AF723" s="1764"/>
      <c r="AG723" s="1764"/>
      <c r="AO723" s="621">
        <f>N723-'P&amp;L old'!$D$60</f>
        <v>0</v>
      </c>
      <c r="AP723" s="608">
        <f>X723-'P&amp;L old'!$E$60</f>
        <v>0</v>
      </c>
    </row>
    <row r="724" spans="1:42" ht="14.25" customHeight="1">
      <c r="D724" s="665"/>
      <c r="E724" s="665"/>
      <c r="F724" s="665"/>
      <c r="G724" s="665"/>
      <c r="H724" s="665"/>
      <c r="I724" s="665"/>
      <c r="J724" s="665"/>
      <c r="K724" s="665"/>
      <c r="L724" s="665"/>
      <c r="M724" s="665"/>
    </row>
    <row r="725" spans="1:42" ht="14.25" customHeight="1">
      <c r="D725" s="1810" t="s">
        <v>1387</v>
      </c>
      <c r="E725" s="1810"/>
      <c r="F725" s="1810"/>
      <c r="G725" s="1810"/>
      <c r="H725" s="1810"/>
      <c r="I725" s="1810"/>
      <c r="J725" s="1810"/>
      <c r="K725" s="1810"/>
      <c r="L725" s="1810"/>
      <c r="M725" s="1810"/>
      <c r="N725" s="1810"/>
      <c r="O725" s="1810"/>
      <c r="P725" s="1810"/>
      <c r="Q725" s="1810"/>
      <c r="R725" s="1810"/>
      <c r="S725" s="1810"/>
      <c r="T725" s="1810"/>
      <c r="U725" s="1810"/>
      <c r="V725" s="1810"/>
      <c r="W725" s="1810"/>
      <c r="X725" s="1810"/>
      <c r="Y725" s="1810"/>
      <c r="Z725" s="1810"/>
      <c r="AA725" s="1810"/>
      <c r="AB725" s="1810"/>
      <c r="AC725" s="1810"/>
      <c r="AD725" s="1810"/>
      <c r="AE725" s="1810"/>
      <c r="AF725" s="1810"/>
      <c r="AG725" s="1810"/>
    </row>
    <row r="726" spans="1:42" ht="14.25" customHeight="1" thickBot="1">
      <c r="D726" s="665"/>
      <c r="E726" s="665"/>
      <c r="F726" s="665"/>
      <c r="G726" s="665"/>
      <c r="H726" s="665"/>
      <c r="I726" s="665"/>
      <c r="J726" s="665"/>
      <c r="K726" s="665"/>
      <c r="L726" s="665"/>
      <c r="M726" s="665"/>
    </row>
    <row r="727" spans="1:42" ht="14.25" customHeight="1" thickBot="1">
      <c r="D727" s="1811" t="s">
        <v>131</v>
      </c>
      <c r="E727" s="1812"/>
      <c r="F727" s="1812"/>
      <c r="G727" s="1812"/>
      <c r="H727" s="1812"/>
      <c r="I727" s="1812"/>
      <c r="J727" s="1812"/>
      <c r="K727" s="1812"/>
      <c r="L727" s="1812"/>
      <c r="M727" s="1813"/>
      <c r="N727" s="1799" t="s">
        <v>2</v>
      </c>
      <c r="O727" s="1800"/>
      <c r="P727" s="1800"/>
      <c r="Q727" s="1800"/>
      <c r="R727" s="1800"/>
      <c r="S727" s="1800"/>
      <c r="T727" s="1800"/>
      <c r="U727" s="1800"/>
      <c r="V727" s="1800"/>
      <c r="W727" s="1800"/>
      <c r="X727" s="1799" t="s">
        <v>3</v>
      </c>
      <c r="Y727" s="1800"/>
      <c r="Z727" s="1800"/>
      <c r="AA727" s="1800"/>
      <c r="AB727" s="1800"/>
      <c r="AC727" s="1800"/>
      <c r="AD727" s="1800"/>
      <c r="AE727" s="1800"/>
      <c r="AF727" s="1800"/>
      <c r="AG727" s="1803"/>
    </row>
    <row r="728" spans="1:42" ht="14.25" customHeight="1" thickTop="1" thickBot="1">
      <c r="D728" s="1811"/>
      <c r="E728" s="1812"/>
      <c r="F728" s="1812"/>
      <c r="G728" s="1812"/>
      <c r="H728" s="1812"/>
      <c r="I728" s="1812"/>
      <c r="J728" s="1812"/>
      <c r="K728" s="1812"/>
      <c r="L728" s="1812"/>
      <c r="M728" s="1813"/>
      <c r="N728" s="1801"/>
      <c r="O728" s="1802"/>
      <c r="P728" s="1802"/>
      <c r="Q728" s="1802"/>
      <c r="R728" s="1802"/>
      <c r="S728" s="1802"/>
      <c r="T728" s="1802"/>
      <c r="U728" s="1802"/>
      <c r="V728" s="1802"/>
      <c r="W728" s="1802"/>
      <c r="X728" s="1801"/>
      <c r="Y728" s="1802"/>
      <c r="Z728" s="1802"/>
      <c r="AA728" s="1802"/>
      <c r="AB728" s="1802"/>
      <c r="AC728" s="1802"/>
      <c r="AD728" s="1802"/>
      <c r="AE728" s="1802"/>
      <c r="AF728" s="1802"/>
      <c r="AG728" s="1804"/>
      <c r="AL728" s="656" t="s">
        <v>2</v>
      </c>
      <c r="AM728" s="658" t="s">
        <v>3</v>
      </c>
      <c r="AO728" s="656" t="s">
        <v>2</v>
      </c>
      <c r="AP728" s="658" t="s">
        <v>3</v>
      </c>
    </row>
    <row r="729" spans="1:42" ht="26.25" customHeight="1">
      <c r="D729" s="1805" t="s">
        <v>297</v>
      </c>
      <c r="E729" s="1806"/>
      <c r="F729" s="1806"/>
      <c r="G729" s="1806"/>
      <c r="H729" s="1806"/>
      <c r="I729" s="1806"/>
      <c r="J729" s="1806"/>
      <c r="K729" s="1806"/>
      <c r="L729" s="1806"/>
      <c r="M729" s="1807"/>
      <c r="N729" s="1808">
        <v>2645663</v>
      </c>
      <c r="O729" s="1808"/>
      <c r="P729" s="1808"/>
      <c r="Q729" s="1808"/>
      <c r="R729" s="1808"/>
      <c r="S729" s="1808"/>
      <c r="T729" s="1808"/>
      <c r="U729" s="1808"/>
      <c r="V729" s="1808"/>
      <c r="W729" s="1808"/>
      <c r="X729" s="1808">
        <v>2822910</v>
      </c>
      <c r="Y729" s="1808"/>
      <c r="Z729" s="1808"/>
      <c r="AA729" s="1808"/>
      <c r="AB729" s="1808"/>
      <c r="AC729" s="1808"/>
      <c r="AD729" s="1808"/>
      <c r="AE729" s="1808"/>
      <c r="AF729" s="1808"/>
      <c r="AG729" s="1808"/>
      <c r="AL729" s="640"/>
      <c r="AM729" s="638"/>
      <c r="AO729" s="630">
        <f>N729-'P&amp;L'!$D$12</f>
        <v>0</v>
      </c>
      <c r="AP729" s="614">
        <f>X729-'P&amp;L'!$E$12</f>
        <v>0</v>
      </c>
    </row>
    <row r="730" spans="1:42" ht="26.25" customHeight="1">
      <c r="D730" s="1761" t="s">
        <v>298</v>
      </c>
      <c r="E730" s="1762"/>
      <c r="F730" s="1762"/>
      <c r="G730" s="1762"/>
      <c r="H730" s="1762"/>
      <c r="I730" s="1762"/>
      <c r="J730" s="1762"/>
      <c r="K730" s="1762"/>
      <c r="L730" s="1762"/>
      <c r="M730" s="1763"/>
      <c r="N730" s="1764">
        <v>167741</v>
      </c>
      <c r="O730" s="1764"/>
      <c r="P730" s="1764"/>
      <c r="Q730" s="1764"/>
      <c r="R730" s="1764"/>
      <c r="S730" s="1764"/>
      <c r="T730" s="1764"/>
      <c r="U730" s="1764"/>
      <c r="V730" s="1764"/>
      <c r="W730" s="1764"/>
      <c r="X730" s="1764">
        <v>163886</v>
      </c>
      <c r="Y730" s="1764"/>
      <c r="Z730" s="1764"/>
      <c r="AA730" s="1764"/>
      <c r="AB730" s="1764"/>
      <c r="AC730" s="1764"/>
      <c r="AD730" s="1764"/>
      <c r="AE730" s="1764"/>
      <c r="AF730" s="1764"/>
      <c r="AG730" s="1764"/>
      <c r="AL730" s="357"/>
      <c r="AM730" s="356"/>
      <c r="AO730" s="621">
        <f>N730-'P&amp;L'!$D$13</f>
        <v>0</v>
      </c>
      <c r="AP730" s="608">
        <f>X730-'P&amp;L'!$E$13</f>
        <v>0</v>
      </c>
    </row>
    <row r="731" spans="1:42" ht="26.25" customHeight="1">
      <c r="D731" s="1761" t="s">
        <v>299</v>
      </c>
      <c r="E731" s="1762"/>
      <c r="F731" s="1762"/>
      <c r="G731" s="1762"/>
      <c r="H731" s="1762"/>
      <c r="I731" s="1762"/>
      <c r="J731" s="1762"/>
      <c r="K731" s="1762"/>
      <c r="L731" s="1762"/>
      <c r="M731" s="1763"/>
      <c r="N731" s="1764">
        <v>2493976</v>
      </c>
      <c r="O731" s="1764"/>
      <c r="P731" s="1764"/>
      <c r="Q731" s="1764"/>
      <c r="R731" s="1764"/>
      <c r="S731" s="1764"/>
      <c r="T731" s="1764"/>
      <c r="U731" s="1764"/>
      <c r="V731" s="1764"/>
      <c r="W731" s="1764"/>
      <c r="X731" s="1764">
        <v>2351345</v>
      </c>
      <c r="Y731" s="1764"/>
      <c r="Z731" s="1764"/>
      <c r="AA731" s="1764"/>
      <c r="AB731" s="1764"/>
      <c r="AC731" s="1764"/>
      <c r="AD731" s="1764"/>
      <c r="AE731" s="1764"/>
      <c r="AF731" s="1764"/>
      <c r="AG731" s="1764"/>
      <c r="AL731" s="357"/>
      <c r="AM731" s="356"/>
      <c r="AO731" s="621">
        <f>N731-'P&amp;L'!$D$11</f>
        <v>0</v>
      </c>
      <c r="AP731" s="608">
        <f>X731-'P&amp;L'!$E$11</f>
        <v>0</v>
      </c>
    </row>
    <row r="732" spans="1:42" ht="26.25" customHeight="1">
      <c r="D732" s="1761" t="s">
        <v>300</v>
      </c>
      <c r="E732" s="1762"/>
      <c r="F732" s="1762"/>
      <c r="G732" s="1762"/>
      <c r="H732" s="1762"/>
      <c r="I732" s="1762"/>
      <c r="J732" s="1762"/>
      <c r="K732" s="1762"/>
      <c r="L732" s="1762"/>
      <c r="M732" s="1763"/>
      <c r="N732" s="1765">
        <v>0</v>
      </c>
      <c r="O732" s="1765"/>
      <c r="P732" s="1765"/>
      <c r="Q732" s="1765"/>
      <c r="R732" s="1765"/>
      <c r="S732" s="1765"/>
      <c r="T732" s="1765"/>
      <c r="U732" s="1765"/>
      <c r="V732" s="1765"/>
      <c r="W732" s="1765"/>
      <c r="X732" s="1765">
        <v>0</v>
      </c>
      <c r="Y732" s="1765"/>
      <c r="Z732" s="1765"/>
      <c r="AA732" s="1765"/>
      <c r="AB732" s="1765"/>
      <c r="AC732" s="1765"/>
      <c r="AD732" s="1765"/>
      <c r="AE732" s="1765"/>
      <c r="AF732" s="1765"/>
      <c r="AG732" s="1765"/>
      <c r="AL732" s="357"/>
      <c r="AM732" s="356"/>
      <c r="AO732" s="668"/>
      <c r="AP732" s="669"/>
    </row>
    <row r="733" spans="1:42" ht="26.25" customHeight="1">
      <c r="D733" s="1761" t="s">
        <v>301</v>
      </c>
      <c r="E733" s="1762"/>
      <c r="F733" s="1762"/>
      <c r="G733" s="1762"/>
      <c r="H733" s="1762"/>
      <c r="I733" s="1762"/>
      <c r="J733" s="1762"/>
      <c r="K733" s="1762"/>
      <c r="L733" s="1762"/>
      <c r="M733" s="1763"/>
      <c r="N733" s="1765">
        <v>0</v>
      </c>
      <c r="O733" s="1765"/>
      <c r="P733" s="1765"/>
      <c r="Q733" s="1765"/>
      <c r="R733" s="1765"/>
      <c r="S733" s="1765"/>
      <c r="T733" s="1765"/>
      <c r="U733" s="1765"/>
      <c r="V733" s="1765"/>
      <c r="W733" s="1765"/>
      <c r="X733" s="1765">
        <v>0</v>
      </c>
      <c r="Y733" s="1765"/>
      <c r="Z733" s="1765"/>
      <c r="AA733" s="1765"/>
      <c r="AB733" s="1765"/>
      <c r="AC733" s="1765"/>
      <c r="AD733" s="1765"/>
      <c r="AE733" s="1765"/>
      <c r="AF733" s="1765"/>
      <c r="AG733" s="1765"/>
      <c r="AL733" s="357"/>
      <c r="AM733" s="356"/>
      <c r="AO733" s="621"/>
      <c r="AP733" s="608"/>
    </row>
    <row r="734" spans="1:42" ht="26.25" customHeight="1">
      <c r="D734" s="1761" t="s">
        <v>302</v>
      </c>
      <c r="E734" s="1762"/>
      <c r="F734" s="1762"/>
      <c r="G734" s="1762"/>
      <c r="H734" s="1762"/>
      <c r="I734" s="1762"/>
      <c r="J734" s="1762"/>
      <c r="K734" s="1762"/>
      <c r="L734" s="1762"/>
      <c r="M734" s="1763"/>
      <c r="N734" s="1769">
        <v>0</v>
      </c>
      <c r="O734" s="1769"/>
      <c r="P734" s="1769"/>
      <c r="Q734" s="1769"/>
      <c r="R734" s="1769"/>
      <c r="S734" s="1769"/>
      <c r="T734" s="1769"/>
      <c r="U734" s="1769"/>
      <c r="V734" s="1769"/>
      <c r="W734" s="1769"/>
      <c r="X734" s="1769">
        <v>0</v>
      </c>
      <c r="Y734" s="1769"/>
      <c r="Z734" s="1769"/>
      <c r="AA734" s="1769"/>
      <c r="AB734" s="1769"/>
      <c r="AC734" s="1769"/>
      <c r="AD734" s="1769"/>
      <c r="AE734" s="1769"/>
      <c r="AF734" s="1769"/>
      <c r="AG734" s="1769"/>
      <c r="AL734" s="357"/>
      <c r="AM734" s="356"/>
      <c r="AO734" s="668"/>
      <c r="AP734" s="669"/>
    </row>
    <row r="735" spans="1:42" ht="26.25" customHeight="1" thickBot="1">
      <c r="D735" s="1766" t="s">
        <v>303</v>
      </c>
      <c r="E735" s="1767"/>
      <c r="F735" s="1767"/>
      <c r="G735" s="1767"/>
      <c r="H735" s="1767"/>
      <c r="I735" s="1767"/>
      <c r="J735" s="1767"/>
      <c r="K735" s="1767"/>
      <c r="L735" s="1767"/>
      <c r="M735" s="1768"/>
      <c r="N735" s="1770">
        <f>SUM(N729:W734)</f>
        <v>5307380</v>
      </c>
      <c r="O735" s="1770"/>
      <c r="P735" s="1770"/>
      <c r="Q735" s="1770"/>
      <c r="R735" s="1770"/>
      <c r="S735" s="1770"/>
      <c r="T735" s="1770"/>
      <c r="U735" s="1770"/>
      <c r="V735" s="1770"/>
      <c r="W735" s="1770"/>
      <c r="X735" s="1770">
        <f>SUM(X729:AG734)</f>
        <v>5338141</v>
      </c>
      <c r="Y735" s="1770"/>
      <c r="Z735" s="1770"/>
      <c r="AA735" s="1770"/>
      <c r="AB735" s="1770"/>
      <c r="AC735" s="1770"/>
      <c r="AD735" s="1770"/>
      <c r="AE735" s="1770"/>
      <c r="AF735" s="1770"/>
      <c r="AG735" s="1770"/>
      <c r="AL735" s="670">
        <f>SUM(N729:W734)-N735</f>
        <v>0</v>
      </c>
      <c r="AM735" s="639">
        <f>SUM(X729:AG734)-X735</f>
        <v>0</v>
      </c>
      <c r="AO735" s="789">
        <f>N735-'P&amp;L'!D9</f>
        <v>0</v>
      </c>
      <c r="AP735" s="790">
        <f>X735-'P&amp;L'!E9</f>
        <v>0</v>
      </c>
    </row>
    <row r="737" spans="1:42" ht="14.25" customHeight="1">
      <c r="C737" s="786"/>
      <c r="D737" s="786"/>
      <c r="E737" s="786"/>
      <c r="F737" s="786"/>
      <c r="G737" s="786"/>
      <c r="H737" s="786"/>
      <c r="I737" s="786"/>
      <c r="J737" s="786"/>
      <c r="K737" s="786"/>
      <c r="L737" s="786"/>
      <c r="M737" s="786"/>
      <c r="N737" s="786"/>
      <c r="O737" s="786"/>
      <c r="P737" s="786"/>
      <c r="Q737" s="786"/>
      <c r="R737" s="786"/>
      <c r="S737" s="786"/>
      <c r="T737" s="786"/>
      <c r="U737" s="786"/>
      <c r="V737" s="786"/>
      <c r="W737" s="786"/>
      <c r="X737" s="786"/>
      <c r="Y737" s="786"/>
      <c r="Z737" s="786"/>
      <c r="AA737" s="786"/>
      <c r="AB737" s="786"/>
      <c r="AC737" s="786"/>
      <c r="AD737" s="786"/>
      <c r="AE737" s="786"/>
      <c r="AF737" s="786"/>
      <c r="AG737" s="786"/>
      <c r="AH737" s="786"/>
    </row>
    <row r="738" spans="1:42" s="1430" customFormat="1" ht="14.25" customHeight="1">
      <c r="A738" s="1431"/>
      <c r="D738" s="1790" t="s">
        <v>1388</v>
      </c>
      <c r="E738" s="1790"/>
      <c r="F738" s="1790"/>
      <c r="G738" s="1790"/>
      <c r="H738" s="1790"/>
      <c r="I738" s="1790"/>
      <c r="J738" s="1790"/>
      <c r="K738" s="1790"/>
      <c r="L738" s="1790"/>
      <c r="M738" s="1790"/>
      <c r="N738" s="1790"/>
      <c r="O738" s="1790"/>
      <c r="P738" s="1790"/>
      <c r="Q738" s="1790"/>
      <c r="R738" s="1790"/>
      <c r="S738" s="1790"/>
      <c r="T738" s="1790"/>
      <c r="U738" s="1790"/>
      <c r="V738" s="1790"/>
      <c r="W738" s="1790"/>
      <c r="X738" s="1790"/>
      <c r="Y738" s="1790"/>
      <c r="Z738" s="1790"/>
      <c r="AA738" s="1790"/>
      <c r="AB738" s="1790"/>
      <c r="AC738" s="1790"/>
      <c r="AD738" s="1790"/>
      <c r="AE738" s="1790"/>
      <c r="AF738" s="1790"/>
      <c r="AG738" s="1790"/>
    </row>
    <row r="739" spans="1:42" s="1430" customFormat="1" ht="14.25" customHeight="1">
      <c r="A739" s="1431"/>
    </row>
    <row r="740" spans="1:42" s="1430" customFormat="1" ht="14.25" customHeight="1">
      <c r="A740" s="1431"/>
      <c r="D740" s="1809" t="s">
        <v>1389</v>
      </c>
      <c r="E740" s="1809"/>
      <c r="F740" s="1809"/>
      <c r="G740" s="1809"/>
      <c r="H740" s="1809"/>
      <c r="I740" s="1809"/>
      <c r="J740" s="1809"/>
      <c r="K740" s="1809"/>
      <c r="L740" s="1809"/>
      <c r="M740" s="1809"/>
      <c r="N740" s="1809"/>
      <c r="O740" s="1809"/>
      <c r="P740" s="1809"/>
      <c r="Q740" s="1809"/>
      <c r="R740" s="1809"/>
      <c r="S740" s="1809"/>
      <c r="T740" s="1809"/>
      <c r="U740" s="1809"/>
      <c r="V740" s="1809"/>
      <c r="W740" s="1809"/>
      <c r="X740" s="1809"/>
      <c r="Y740" s="1809"/>
      <c r="Z740" s="1809"/>
      <c r="AA740" s="1809"/>
      <c r="AB740" s="1809"/>
      <c r="AC740" s="1809"/>
      <c r="AD740" s="1809"/>
      <c r="AE740" s="1809"/>
      <c r="AF740" s="1809"/>
      <c r="AG740" s="1809"/>
    </row>
    <row r="741" spans="1:42" s="1430" customFormat="1" ht="14.25" customHeight="1" thickBot="1">
      <c r="A741" s="1431"/>
    </row>
    <row r="742" spans="1:42" s="1430" customFormat="1" ht="14.25" customHeight="1" thickBot="1">
      <c r="A742" s="1431"/>
      <c r="D742" s="2233" t="s">
        <v>131</v>
      </c>
      <c r="E742" s="2234"/>
      <c r="F742" s="2234"/>
      <c r="G742" s="2234"/>
      <c r="H742" s="2234"/>
      <c r="I742" s="2234"/>
      <c r="J742" s="2234"/>
      <c r="K742" s="2234"/>
      <c r="L742" s="2234"/>
      <c r="M742" s="2235"/>
      <c r="N742" s="1799" t="s">
        <v>2</v>
      </c>
      <c r="O742" s="1800"/>
      <c r="P742" s="1800"/>
      <c r="Q742" s="1800"/>
      <c r="R742" s="1800"/>
      <c r="S742" s="1800"/>
      <c r="T742" s="1800"/>
      <c r="U742" s="1800"/>
      <c r="V742" s="1800"/>
      <c r="W742" s="1800"/>
      <c r="X742" s="1799" t="s">
        <v>3</v>
      </c>
      <c r="Y742" s="1800"/>
      <c r="Z742" s="1800"/>
      <c r="AA742" s="1800"/>
      <c r="AB742" s="1800"/>
      <c r="AC742" s="1800"/>
      <c r="AD742" s="1800"/>
      <c r="AE742" s="1800"/>
      <c r="AF742" s="1800"/>
      <c r="AG742" s="1803"/>
    </row>
    <row r="743" spans="1:42" s="1430" customFormat="1" ht="14.25" customHeight="1" thickTop="1" thickBot="1">
      <c r="A743" s="1431"/>
      <c r="D743" s="2236"/>
      <c r="E743" s="2237"/>
      <c r="F743" s="2237"/>
      <c r="G743" s="2237"/>
      <c r="H743" s="2237"/>
      <c r="I743" s="2237"/>
      <c r="J743" s="2237"/>
      <c r="K743" s="2237"/>
      <c r="L743" s="2237"/>
      <c r="M743" s="2238"/>
      <c r="N743" s="1801"/>
      <c r="O743" s="1802"/>
      <c r="P743" s="1802"/>
      <c r="Q743" s="1802"/>
      <c r="R743" s="1802"/>
      <c r="S743" s="1802"/>
      <c r="T743" s="1802"/>
      <c r="U743" s="1802"/>
      <c r="V743" s="1802"/>
      <c r="W743" s="1802"/>
      <c r="X743" s="1801"/>
      <c r="Y743" s="1802"/>
      <c r="Z743" s="1802"/>
      <c r="AA743" s="1802"/>
      <c r="AB743" s="1802"/>
      <c r="AC743" s="1802"/>
      <c r="AD743" s="1802"/>
      <c r="AE743" s="1802"/>
      <c r="AF743" s="1802"/>
      <c r="AG743" s="1804"/>
      <c r="AL743" s="1423" t="s">
        <v>2</v>
      </c>
      <c r="AM743" s="1425" t="s">
        <v>3</v>
      </c>
      <c r="AO743" s="1423" t="s">
        <v>2</v>
      </c>
      <c r="AP743" s="1425" t="s">
        <v>3</v>
      </c>
    </row>
    <row r="744" spans="1:42" s="1441" customFormat="1" ht="29.25" customHeight="1">
      <c r="A744" s="1440"/>
      <c r="D744" s="1903" t="s">
        <v>305</v>
      </c>
      <c r="E744" s="1904"/>
      <c r="F744" s="1904"/>
      <c r="G744" s="1904"/>
      <c r="H744" s="1904"/>
      <c r="I744" s="1904"/>
      <c r="J744" s="1904"/>
      <c r="K744" s="1904"/>
      <c r="L744" s="1904"/>
      <c r="M744" s="1905"/>
      <c r="N744" s="2140">
        <f>441930</f>
        <v>441930</v>
      </c>
      <c r="O744" s="2141"/>
      <c r="P744" s="2141"/>
      <c r="Q744" s="2141"/>
      <c r="R744" s="2141"/>
      <c r="S744" s="2141"/>
      <c r="T744" s="2141"/>
      <c r="U744" s="2141"/>
      <c r="V744" s="2141"/>
      <c r="W744" s="2142"/>
      <c r="X744" s="2140">
        <v>359364</v>
      </c>
      <c r="Y744" s="2141"/>
      <c r="Z744" s="2141"/>
      <c r="AA744" s="2141"/>
      <c r="AB744" s="2141"/>
      <c r="AC744" s="2141"/>
      <c r="AD744" s="2141"/>
      <c r="AE744" s="2141"/>
      <c r="AF744" s="2141"/>
      <c r="AG744" s="2142"/>
      <c r="AL744" s="1442">
        <f>N744-N745-N751</f>
        <v>0</v>
      </c>
      <c r="AM744" s="1442">
        <f>SUM(O745:O760)-O744-O751</f>
        <v>0</v>
      </c>
      <c r="AO744" s="1442">
        <f>N744-'P&amp;L'!$D$22</f>
        <v>0</v>
      </c>
      <c r="AP744" s="1443">
        <f>X744-'P&amp;L'!$E$22</f>
        <v>0</v>
      </c>
    </row>
    <row r="745" spans="1:42" s="1441" customFormat="1" ht="29.25" customHeight="1">
      <c r="A745" s="1440"/>
      <c r="D745" s="1846" t="s">
        <v>1734</v>
      </c>
      <c r="E745" s="1847"/>
      <c r="F745" s="1847"/>
      <c r="G745" s="1847"/>
      <c r="H745" s="1847"/>
      <c r="I745" s="1847"/>
      <c r="J745" s="1847"/>
      <c r="K745" s="1847"/>
      <c r="L745" s="1847"/>
      <c r="M745" s="1848"/>
      <c r="N745" s="1780">
        <f>N746+N749</f>
        <v>16000</v>
      </c>
      <c r="O745" s="1781"/>
      <c r="P745" s="1781"/>
      <c r="Q745" s="1781"/>
      <c r="R745" s="1781"/>
      <c r="S745" s="1781"/>
      <c r="T745" s="1781"/>
      <c r="U745" s="1781"/>
      <c r="V745" s="1781"/>
      <c r="W745" s="1782"/>
      <c r="X745" s="1780">
        <f>X746+X749</f>
        <v>10120</v>
      </c>
      <c r="Y745" s="1781"/>
      <c r="Z745" s="1781"/>
      <c r="AA745" s="1781"/>
      <c r="AB745" s="1781"/>
      <c r="AC745" s="1781"/>
      <c r="AD745" s="1781"/>
      <c r="AE745" s="1781"/>
      <c r="AF745" s="1781"/>
      <c r="AG745" s="1782"/>
      <c r="AJ745" s="1515"/>
      <c r="AL745" s="1444"/>
      <c r="AM745" s="1445"/>
      <c r="AO745" s="1444"/>
      <c r="AP745" s="1445"/>
    </row>
    <row r="746" spans="1:42" s="1441" customFormat="1" ht="29.25" customHeight="1">
      <c r="A746" s="1440"/>
      <c r="D746" s="1846" t="s">
        <v>307</v>
      </c>
      <c r="E746" s="1847"/>
      <c r="F746" s="1847"/>
      <c r="G746" s="1847"/>
      <c r="H746" s="1847"/>
      <c r="I746" s="1847"/>
      <c r="J746" s="1847"/>
      <c r="K746" s="1847"/>
      <c r="L746" s="1847"/>
      <c r="M746" s="1848"/>
      <c r="N746" s="1780">
        <v>16000</v>
      </c>
      <c r="O746" s="1781"/>
      <c r="P746" s="1781"/>
      <c r="Q746" s="1781"/>
      <c r="R746" s="1781"/>
      <c r="S746" s="1781"/>
      <c r="T746" s="1781"/>
      <c r="U746" s="1781"/>
      <c r="V746" s="1781"/>
      <c r="W746" s="1782"/>
      <c r="X746" s="1780">
        <v>10120</v>
      </c>
      <c r="Y746" s="1781"/>
      <c r="Z746" s="1781"/>
      <c r="AA746" s="1781"/>
      <c r="AB746" s="1781"/>
      <c r="AC746" s="1781"/>
      <c r="AD746" s="1781"/>
      <c r="AE746" s="1781"/>
      <c r="AF746" s="1781"/>
      <c r="AG746" s="1782"/>
      <c r="AL746" s="1446"/>
      <c r="AM746" s="1445"/>
      <c r="AO746" s="1447"/>
      <c r="AP746" s="1448"/>
    </row>
    <row r="747" spans="1:42" s="1441" customFormat="1" ht="29.25" customHeight="1">
      <c r="A747" s="1440"/>
      <c r="D747" s="1846" t="s">
        <v>308</v>
      </c>
      <c r="E747" s="1847"/>
      <c r="F747" s="1847"/>
      <c r="G747" s="1847"/>
      <c r="H747" s="1847"/>
      <c r="I747" s="1847"/>
      <c r="J747" s="1847"/>
      <c r="K747" s="1847"/>
      <c r="L747" s="1847"/>
      <c r="M747" s="1848"/>
      <c r="N747" s="1780">
        <v>0</v>
      </c>
      <c r="O747" s="1781"/>
      <c r="P747" s="1781"/>
      <c r="Q747" s="1781"/>
      <c r="R747" s="1781"/>
      <c r="S747" s="1781"/>
      <c r="T747" s="1781"/>
      <c r="U747" s="1781"/>
      <c r="V747" s="1781"/>
      <c r="W747" s="1782"/>
      <c r="X747" s="1780">
        <v>0</v>
      </c>
      <c r="Y747" s="1781"/>
      <c r="Z747" s="1781"/>
      <c r="AA747" s="1781"/>
      <c r="AB747" s="1781"/>
      <c r="AC747" s="1781"/>
      <c r="AD747" s="1781"/>
      <c r="AE747" s="1781"/>
      <c r="AF747" s="1781"/>
      <c r="AG747" s="1782"/>
      <c r="AL747" s="1446"/>
      <c r="AM747" s="1445"/>
      <c r="AO747" s="1449"/>
      <c r="AP747" s="1450"/>
    </row>
    <row r="748" spans="1:42" s="1441" customFormat="1" ht="29.25" customHeight="1">
      <c r="A748" s="1440"/>
      <c r="D748" s="1846" t="s">
        <v>309</v>
      </c>
      <c r="E748" s="1847"/>
      <c r="F748" s="1847"/>
      <c r="G748" s="1847"/>
      <c r="H748" s="1847"/>
      <c r="I748" s="1847"/>
      <c r="J748" s="1847"/>
      <c r="K748" s="1847"/>
      <c r="L748" s="1847"/>
      <c r="M748" s="1848"/>
      <c r="N748" s="1780">
        <v>0</v>
      </c>
      <c r="O748" s="1781"/>
      <c r="P748" s="1781"/>
      <c r="Q748" s="1781"/>
      <c r="R748" s="1781"/>
      <c r="S748" s="1781"/>
      <c r="T748" s="1781"/>
      <c r="U748" s="1781"/>
      <c r="V748" s="1781"/>
      <c r="W748" s="1782"/>
      <c r="X748" s="1780">
        <v>0</v>
      </c>
      <c r="Y748" s="1781"/>
      <c r="Z748" s="1781"/>
      <c r="AA748" s="1781"/>
      <c r="AB748" s="1781"/>
      <c r="AC748" s="1781"/>
      <c r="AD748" s="1781"/>
      <c r="AE748" s="1781"/>
      <c r="AF748" s="1781"/>
      <c r="AG748" s="1782"/>
      <c r="AL748" s="1446"/>
      <c r="AM748" s="1445"/>
      <c r="AO748" s="1447"/>
      <c r="AP748" s="1448"/>
    </row>
    <row r="749" spans="1:42" s="1441" customFormat="1" ht="29.25" customHeight="1">
      <c r="A749" s="1440"/>
      <c r="D749" s="1846" t="s">
        <v>310</v>
      </c>
      <c r="E749" s="1847"/>
      <c r="F749" s="1847"/>
      <c r="G749" s="1847"/>
      <c r="H749" s="1847"/>
      <c r="I749" s="1847"/>
      <c r="J749" s="1847"/>
      <c r="K749" s="1847"/>
      <c r="L749" s="1847"/>
      <c r="M749" s="1848"/>
      <c r="N749" s="1780">
        <v>0</v>
      </c>
      <c r="O749" s="1781"/>
      <c r="P749" s="1781"/>
      <c r="Q749" s="1781"/>
      <c r="R749" s="1781"/>
      <c r="S749" s="1781"/>
      <c r="T749" s="1781"/>
      <c r="U749" s="1781"/>
      <c r="V749" s="1781"/>
      <c r="W749" s="1782"/>
      <c r="X749" s="1780">
        <v>0</v>
      </c>
      <c r="Y749" s="1781"/>
      <c r="Z749" s="1781"/>
      <c r="AA749" s="1781"/>
      <c r="AB749" s="1781"/>
      <c r="AC749" s="1781"/>
      <c r="AD749" s="1781"/>
      <c r="AE749" s="1781"/>
      <c r="AF749" s="1781"/>
      <c r="AG749" s="1782"/>
      <c r="AL749" s="1446"/>
      <c r="AM749" s="1445"/>
      <c r="AO749" s="1449"/>
      <c r="AP749" s="1450"/>
    </row>
    <row r="750" spans="1:42" s="1441" customFormat="1" ht="29.25" customHeight="1" thickBot="1">
      <c r="A750" s="1440"/>
      <c r="D750" s="2011" t="s">
        <v>311</v>
      </c>
      <c r="E750" s="2012"/>
      <c r="F750" s="2012"/>
      <c r="G750" s="2012"/>
      <c r="H750" s="2012"/>
      <c r="I750" s="2012"/>
      <c r="J750" s="2012"/>
      <c r="K750" s="2012"/>
      <c r="L750" s="2012"/>
      <c r="M750" s="2013"/>
      <c r="N750" s="1780">
        <v>0</v>
      </c>
      <c r="O750" s="1781"/>
      <c r="P750" s="1781"/>
      <c r="Q750" s="1781"/>
      <c r="R750" s="1781"/>
      <c r="S750" s="1781"/>
      <c r="T750" s="1781"/>
      <c r="U750" s="1781"/>
      <c r="V750" s="1781"/>
      <c r="W750" s="1782"/>
      <c r="X750" s="1780">
        <v>0</v>
      </c>
      <c r="Y750" s="1781"/>
      <c r="Z750" s="1781"/>
      <c r="AA750" s="1781"/>
      <c r="AB750" s="1781"/>
      <c r="AC750" s="1781"/>
      <c r="AD750" s="1781"/>
      <c r="AE750" s="1781"/>
      <c r="AF750" s="1781"/>
      <c r="AG750" s="1782"/>
      <c r="AL750" s="1444"/>
      <c r="AM750" s="1445"/>
      <c r="AO750" s="1449"/>
      <c r="AP750" s="1450"/>
    </row>
    <row r="751" spans="1:42" s="1441" customFormat="1" ht="29.25" customHeight="1">
      <c r="A751" s="1440"/>
      <c r="D751" s="1903" t="s">
        <v>2764</v>
      </c>
      <c r="E751" s="1904"/>
      <c r="F751" s="1904"/>
      <c r="G751" s="1904"/>
      <c r="H751" s="1904"/>
      <c r="I751" s="1904"/>
      <c r="J751" s="1904"/>
      <c r="K751" s="1904"/>
      <c r="L751" s="1904"/>
      <c r="M751" s="1905"/>
      <c r="N751" s="1780">
        <f>N744-N745</f>
        <v>425930</v>
      </c>
      <c r="O751" s="1781"/>
      <c r="P751" s="1781"/>
      <c r="Q751" s="1781"/>
      <c r="R751" s="1781"/>
      <c r="S751" s="1781"/>
      <c r="T751" s="1781"/>
      <c r="U751" s="1781"/>
      <c r="V751" s="1781"/>
      <c r="W751" s="1782"/>
      <c r="X751" s="1780">
        <f>SUM(X752:AG760)</f>
        <v>349244</v>
      </c>
      <c r="Y751" s="1781"/>
      <c r="Z751" s="1781"/>
      <c r="AA751" s="1781"/>
      <c r="AB751" s="1781"/>
      <c r="AC751" s="1781"/>
      <c r="AD751" s="1781"/>
      <c r="AE751" s="1781"/>
      <c r="AF751" s="1781"/>
      <c r="AG751" s="1782"/>
      <c r="AI751" s="1515"/>
      <c r="AJ751" s="1515"/>
      <c r="AL751" s="1444"/>
      <c r="AM751" s="1445"/>
      <c r="AO751" s="1447"/>
      <c r="AP751" s="1448"/>
    </row>
    <row r="752" spans="1:42" s="1441" customFormat="1" ht="29.25" customHeight="1">
      <c r="A752" s="1440"/>
      <c r="D752" s="1846" t="s">
        <v>2766</v>
      </c>
      <c r="E752" s="1847"/>
      <c r="F752" s="1847"/>
      <c r="G752" s="1847"/>
      <c r="H752" s="1847"/>
      <c r="I752" s="1847"/>
      <c r="J752" s="1847"/>
      <c r="K752" s="1847"/>
      <c r="L752" s="1847"/>
      <c r="M752" s="1848"/>
      <c r="N752" s="2161">
        <v>23798</v>
      </c>
      <c r="O752" s="2162"/>
      <c r="P752" s="2162"/>
      <c r="Q752" s="2162"/>
      <c r="R752" s="2162"/>
      <c r="S752" s="2162"/>
      <c r="T752" s="2162"/>
      <c r="U752" s="2162"/>
      <c r="V752" s="2162"/>
      <c r="W752" s="2163"/>
      <c r="X752" s="2161">
        <v>19930</v>
      </c>
      <c r="Y752" s="2162"/>
      <c r="Z752" s="2162"/>
      <c r="AA752" s="2162"/>
      <c r="AB752" s="2162"/>
      <c r="AC752" s="2162"/>
      <c r="AD752" s="2162"/>
      <c r="AE752" s="2162"/>
      <c r="AF752" s="2162"/>
      <c r="AG752" s="2163"/>
      <c r="AJ752" s="1515"/>
      <c r="AL752" s="1446"/>
      <c r="AM752" s="1445"/>
      <c r="AO752" s="1446"/>
      <c r="AP752" s="1451"/>
    </row>
    <row r="753" spans="1:42" s="1441" customFormat="1" ht="29.25" customHeight="1">
      <c r="A753" s="1440"/>
      <c r="D753" s="1846" t="s">
        <v>2767</v>
      </c>
      <c r="E753" s="1847"/>
      <c r="F753" s="1847"/>
      <c r="G753" s="1847"/>
      <c r="H753" s="1847"/>
      <c r="I753" s="1847"/>
      <c r="J753" s="1847"/>
      <c r="K753" s="1847"/>
      <c r="L753" s="1847"/>
      <c r="M753" s="1848"/>
      <c r="N753" s="2161">
        <v>9822</v>
      </c>
      <c r="O753" s="2162"/>
      <c r="P753" s="2162"/>
      <c r="Q753" s="2162"/>
      <c r="R753" s="2162"/>
      <c r="S753" s="2162"/>
      <c r="T753" s="2162"/>
      <c r="U753" s="2162"/>
      <c r="V753" s="2162"/>
      <c r="W753" s="2163"/>
      <c r="X753" s="2161">
        <v>8827</v>
      </c>
      <c r="Y753" s="2162"/>
      <c r="Z753" s="2162"/>
      <c r="AA753" s="2162"/>
      <c r="AB753" s="2162"/>
      <c r="AC753" s="2162"/>
      <c r="AD753" s="2162"/>
      <c r="AE753" s="2162"/>
      <c r="AF753" s="2162"/>
      <c r="AG753" s="2163"/>
      <c r="AL753" s="1446"/>
      <c r="AM753" s="1445"/>
      <c r="AO753" s="1446"/>
      <c r="AP753" s="1451"/>
    </row>
    <row r="754" spans="1:42" s="1441" customFormat="1" ht="29.25" customHeight="1">
      <c r="A754" s="1440"/>
      <c r="D754" s="2228" t="s">
        <v>285</v>
      </c>
      <c r="E754" s="2229"/>
      <c r="F754" s="2229"/>
      <c r="G754" s="2229"/>
      <c r="H754" s="2229"/>
      <c r="I754" s="2229"/>
      <c r="J754" s="2229"/>
      <c r="K754" s="2229"/>
      <c r="L754" s="2229"/>
      <c r="M754" s="2230"/>
      <c r="N754" s="1780">
        <v>6643</v>
      </c>
      <c r="O754" s="1781"/>
      <c r="P754" s="1781"/>
      <c r="Q754" s="1781"/>
      <c r="R754" s="1781"/>
      <c r="S754" s="1781"/>
      <c r="T754" s="1781"/>
      <c r="U754" s="1781"/>
      <c r="V754" s="1781"/>
      <c r="W754" s="1782"/>
      <c r="X754" s="1780">
        <v>5088</v>
      </c>
      <c r="Y754" s="1781"/>
      <c r="Z754" s="1781"/>
      <c r="AA754" s="1781"/>
      <c r="AB754" s="1781"/>
      <c r="AC754" s="1781"/>
      <c r="AD754" s="1781"/>
      <c r="AE754" s="1781"/>
      <c r="AF754" s="1781"/>
      <c r="AG754" s="1782"/>
      <c r="AL754" s="1446"/>
      <c r="AM754" s="1445"/>
      <c r="AO754" s="1446"/>
      <c r="AP754" s="1451"/>
    </row>
    <row r="755" spans="1:42" s="1441" customFormat="1" ht="29.25" customHeight="1">
      <c r="A755" s="1440"/>
      <c r="D755" s="1846" t="s">
        <v>2765</v>
      </c>
      <c r="E755" s="1847"/>
      <c r="F755" s="1847"/>
      <c r="G755" s="1847"/>
      <c r="H755" s="1847"/>
      <c r="I755" s="1847"/>
      <c r="J755" s="1847"/>
      <c r="K755" s="1847"/>
      <c r="L755" s="1847"/>
      <c r="M755" s="1848"/>
      <c r="N755" s="1780">
        <v>46928</v>
      </c>
      <c r="O755" s="1781"/>
      <c r="P755" s="1781"/>
      <c r="Q755" s="1781"/>
      <c r="R755" s="1781"/>
      <c r="S755" s="1781"/>
      <c r="T755" s="1781"/>
      <c r="U755" s="1781"/>
      <c r="V755" s="1781"/>
      <c r="W755" s="1782"/>
      <c r="X755" s="1780">
        <v>29098</v>
      </c>
      <c r="Y755" s="1781"/>
      <c r="Z755" s="1781"/>
      <c r="AA755" s="1781"/>
      <c r="AB755" s="1781"/>
      <c r="AC755" s="1781"/>
      <c r="AD755" s="1781"/>
      <c r="AE755" s="1781"/>
      <c r="AF755" s="1781"/>
      <c r="AG755" s="1782"/>
      <c r="AL755" s="1446"/>
      <c r="AM755" s="1445"/>
      <c r="AO755" s="1446"/>
      <c r="AP755" s="1451"/>
    </row>
    <row r="756" spans="1:42" s="1441" customFormat="1" ht="29.25" customHeight="1">
      <c r="A756" s="1440"/>
      <c r="D756" s="1846" t="s">
        <v>2768</v>
      </c>
      <c r="E756" s="1847"/>
      <c r="F756" s="1847"/>
      <c r="G756" s="1847"/>
      <c r="H756" s="1847"/>
      <c r="I756" s="1847"/>
      <c r="J756" s="1847"/>
      <c r="K756" s="1847"/>
      <c r="L756" s="1847"/>
      <c r="M756" s="1848"/>
      <c r="N756" s="1780">
        <f>33661+3395</f>
        <v>37056</v>
      </c>
      <c r="O756" s="1781"/>
      <c r="P756" s="1781"/>
      <c r="Q756" s="1781"/>
      <c r="R756" s="1781"/>
      <c r="S756" s="1781"/>
      <c r="T756" s="1781"/>
      <c r="U756" s="1781"/>
      <c r="V756" s="1781"/>
      <c r="W756" s="1782"/>
      <c r="X756" s="1780">
        <v>39291</v>
      </c>
      <c r="Y756" s="1781"/>
      <c r="Z756" s="1781"/>
      <c r="AA756" s="1781"/>
      <c r="AB756" s="1781"/>
      <c r="AC756" s="1781"/>
      <c r="AD756" s="1781"/>
      <c r="AE756" s="1781"/>
      <c r="AF756" s="1781"/>
      <c r="AG756" s="1782"/>
      <c r="AL756" s="1446"/>
      <c r="AM756" s="1445"/>
      <c r="AO756" s="1446"/>
      <c r="AP756" s="1451"/>
    </row>
    <row r="757" spans="1:42" s="1441" customFormat="1" ht="29.25" customHeight="1">
      <c r="A757" s="1440"/>
      <c r="D757" s="1846" t="s">
        <v>2769</v>
      </c>
      <c r="E757" s="1847"/>
      <c r="F757" s="1847"/>
      <c r="G757" s="1847"/>
      <c r="H757" s="1847"/>
      <c r="I757" s="1847"/>
      <c r="J757" s="1847"/>
      <c r="K757" s="1847"/>
      <c r="L757" s="1847"/>
      <c r="M757" s="1848"/>
      <c r="N757" s="1780">
        <v>766</v>
      </c>
      <c r="O757" s="1781"/>
      <c r="P757" s="1781"/>
      <c r="Q757" s="1781"/>
      <c r="R757" s="1781"/>
      <c r="S757" s="1781"/>
      <c r="T757" s="1781"/>
      <c r="U757" s="1781"/>
      <c r="V757" s="1781"/>
      <c r="W757" s="1782"/>
      <c r="X757" s="1780">
        <v>0</v>
      </c>
      <c r="Y757" s="1781"/>
      <c r="Z757" s="1781"/>
      <c r="AA757" s="1781"/>
      <c r="AB757" s="1781"/>
      <c r="AC757" s="1781"/>
      <c r="AD757" s="1781"/>
      <c r="AE757" s="1781"/>
      <c r="AF757" s="1781"/>
      <c r="AG757" s="1782"/>
      <c r="AL757" s="1446"/>
      <c r="AM757" s="1445"/>
      <c r="AO757" s="1446"/>
      <c r="AP757" s="1451"/>
    </row>
    <row r="758" spans="1:42" s="1441" customFormat="1" ht="29.25" customHeight="1">
      <c r="A758" s="1440"/>
      <c r="D758" s="1846" t="s">
        <v>2770</v>
      </c>
      <c r="E758" s="1847"/>
      <c r="F758" s="1847"/>
      <c r="G758" s="1847"/>
      <c r="H758" s="1847"/>
      <c r="I758" s="1847"/>
      <c r="J758" s="1847"/>
      <c r="K758" s="1847"/>
      <c r="L758" s="1847"/>
      <c r="M758" s="1848"/>
      <c r="N758" s="1780">
        <v>236407</v>
      </c>
      <c r="O758" s="1781"/>
      <c r="P758" s="1781"/>
      <c r="Q758" s="1781"/>
      <c r="R758" s="1781"/>
      <c r="S758" s="1781"/>
      <c r="T758" s="1781"/>
      <c r="U758" s="1781"/>
      <c r="V758" s="1781"/>
      <c r="W758" s="1782"/>
      <c r="X758" s="1780">
        <v>184710</v>
      </c>
      <c r="Y758" s="1781"/>
      <c r="Z758" s="1781"/>
      <c r="AA758" s="1781"/>
      <c r="AB758" s="1781"/>
      <c r="AC758" s="1781"/>
      <c r="AD758" s="1781"/>
      <c r="AE758" s="1781"/>
      <c r="AF758" s="1781"/>
      <c r="AG758" s="1782"/>
      <c r="AL758" s="1446"/>
      <c r="AM758" s="1445"/>
      <c r="AO758" s="1446"/>
      <c r="AP758" s="1451"/>
    </row>
    <row r="759" spans="1:42" s="1441" customFormat="1" ht="29.25" customHeight="1">
      <c r="A759" s="1440"/>
      <c r="D759" s="1846" t="s">
        <v>2775</v>
      </c>
      <c r="E759" s="1847"/>
      <c r="F759" s="1847"/>
      <c r="G759" s="1847"/>
      <c r="H759" s="1847"/>
      <c r="I759" s="1847"/>
      <c r="J759" s="1847"/>
      <c r="K759" s="1847"/>
      <c r="L759" s="1847"/>
      <c r="M759" s="1848"/>
      <c r="N759" s="1780">
        <v>3146</v>
      </c>
      <c r="O759" s="1781"/>
      <c r="P759" s="1781"/>
      <c r="Q759" s="1781"/>
      <c r="R759" s="1781"/>
      <c r="S759" s="1781"/>
      <c r="T759" s="1781"/>
      <c r="U759" s="1781"/>
      <c r="V759" s="1781"/>
      <c r="W759" s="1782"/>
      <c r="X759" s="1780">
        <v>1496</v>
      </c>
      <c r="Y759" s="1781"/>
      <c r="Z759" s="1781"/>
      <c r="AA759" s="1781"/>
      <c r="AB759" s="1781"/>
      <c r="AC759" s="1781"/>
      <c r="AD759" s="1781"/>
      <c r="AE759" s="1781"/>
      <c r="AF759" s="1781"/>
      <c r="AG759" s="1782"/>
      <c r="AL759" s="1446"/>
      <c r="AM759" s="1445"/>
      <c r="AO759" s="1446"/>
      <c r="AP759" s="1451"/>
    </row>
    <row r="760" spans="1:42" s="1441" customFormat="1" ht="29.25" customHeight="1">
      <c r="A760" s="1440"/>
      <c r="D760" s="1846" t="s">
        <v>2755</v>
      </c>
      <c r="E760" s="1847"/>
      <c r="F760" s="1847"/>
      <c r="G760" s="1847"/>
      <c r="H760" s="1847"/>
      <c r="I760" s="1847"/>
      <c r="J760" s="1847"/>
      <c r="K760" s="1847"/>
      <c r="L760" s="1847"/>
      <c r="M760" s="1848"/>
      <c r="N760" s="1780">
        <f>N751-N752-N753-N754-N755-N756-N757-N758-N759</f>
        <v>61364</v>
      </c>
      <c r="O760" s="1781"/>
      <c r="P760" s="1781"/>
      <c r="Q760" s="1781"/>
      <c r="R760" s="1781"/>
      <c r="S760" s="1781"/>
      <c r="T760" s="1781"/>
      <c r="U760" s="1781"/>
      <c r="V760" s="1781"/>
      <c r="W760" s="1782"/>
      <c r="X760" s="1780">
        <v>60804</v>
      </c>
      <c r="Y760" s="1781"/>
      <c r="Z760" s="1781"/>
      <c r="AA760" s="1781"/>
      <c r="AB760" s="1781"/>
      <c r="AC760" s="1781"/>
      <c r="AD760" s="1781"/>
      <c r="AE760" s="1781"/>
      <c r="AF760" s="1781"/>
      <c r="AG760" s="1782"/>
      <c r="AL760" s="1444">
        <f>N744-N745-N751</f>
        <v>0</v>
      </c>
      <c r="AM760" s="1445">
        <f>SUM(X761:AG767)-X760</f>
        <v>-41664</v>
      </c>
      <c r="AO760" s="1446"/>
      <c r="AP760" s="1451"/>
    </row>
    <row r="761" spans="1:42" s="1441" customFormat="1" ht="29.25" customHeight="1">
      <c r="A761" s="1440"/>
      <c r="D761" s="1818" t="s">
        <v>313</v>
      </c>
      <c r="E761" s="1818"/>
      <c r="F761" s="1818"/>
      <c r="G761" s="1818"/>
      <c r="H761" s="1818"/>
      <c r="I761" s="1818"/>
      <c r="J761" s="1818"/>
      <c r="K761" s="1818"/>
      <c r="L761" s="1818"/>
      <c r="M761" s="1818"/>
      <c r="N761" s="1769">
        <f>SUM(N762:W767)</f>
        <v>86546</v>
      </c>
      <c r="O761" s="1769"/>
      <c r="P761" s="1769"/>
      <c r="Q761" s="1769"/>
      <c r="R761" s="1769"/>
      <c r="S761" s="1769"/>
      <c r="T761" s="1769"/>
      <c r="U761" s="1769"/>
      <c r="V761" s="1769"/>
      <c r="W761" s="1769"/>
      <c r="X761" s="1769">
        <f>SUM(X762:AG767)</f>
        <v>9570</v>
      </c>
      <c r="Y761" s="1769"/>
      <c r="Z761" s="1769"/>
      <c r="AA761" s="1769"/>
      <c r="AB761" s="1769"/>
      <c r="AC761" s="1769"/>
      <c r="AD761" s="1769"/>
      <c r="AE761" s="1769"/>
      <c r="AF761" s="1769"/>
      <c r="AG761" s="1769"/>
      <c r="AL761" s="1446"/>
      <c r="AM761" s="1445"/>
      <c r="AO761" s="1446"/>
      <c r="AP761" s="1451"/>
    </row>
    <row r="762" spans="1:42" s="1441" customFormat="1" ht="29.25" customHeight="1">
      <c r="A762" s="1440"/>
      <c r="D762" s="1846" t="s">
        <v>2771</v>
      </c>
      <c r="E762" s="1847"/>
      <c r="F762" s="1847"/>
      <c r="G762" s="1847"/>
      <c r="H762" s="1847"/>
      <c r="I762" s="1847"/>
      <c r="J762" s="1847"/>
      <c r="K762" s="1847"/>
      <c r="L762" s="1847"/>
      <c r="M762" s="1848"/>
      <c r="N762" s="1769">
        <v>0</v>
      </c>
      <c r="O762" s="1769"/>
      <c r="P762" s="1769"/>
      <c r="Q762" s="1769"/>
      <c r="R762" s="1769"/>
      <c r="S762" s="1769"/>
      <c r="T762" s="1769"/>
      <c r="U762" s="1769"/>
      <c r="V762" s="1769"/>
      <c r="W762" s="1769"/>
      <c r="X762" s="1769">
        <v>0</v>
      </c>
      <c r="Y762" s="1769"/>
      <c r="Z762" s="1769"/>
      <c r="AA762" s="1769"/>
      <c r="AB762" s="1769"/>
      <c r="AC762" s="1769"/>
      <c r="AD762" s="1769"/>
      <c r="AE762" s="1769"/>
      <c r="AF762" s="1769"/>
      <c r="AG762" s="1769"/>
      <c r="AL762" s="1446"/>
      <c r="AM762" s="1445"/>
      <c r="AO762" s="1446"/>
      <c r="AP762" s="1451"/>
    </row>
    <row r="763" spans="1:42" s="1441" customFormat="1" ht="29.25" customHeight="1">
      <c r="A763" s="1440"/>
      <c r="D763" s="1846" t="s">
        <v>286</v>
      </c>
      <c r="E763" s="1847"/>
      <c r="F763" s="1847"/>
      <c r="G763" s="1847"/>
      <c r="H763" s="1847"/>
      <c r="I763" s="1847"/>
      <c r="J763" s="1847"/>
      <c r="K763" s="1847"/>
      <c r="L763" s="1847"/>
      <c r="M763" s="1848"/>
      <c r="N763" s="2161">
        <v>0</v>
      </c>
      <c r="O763" s="2162"/>
      <c r="P763" s="2162"/>
      <c r="Q763" s="2162"/>
      <c r="R763" s="2162"/>
      <c r="S763" s="2162"/>
      <c r="T763" s="2162"/>
      <c r="U763" s="2162"/>
      <c r="V763" s="2162"/>
      <c r="W763" s="2163"/>
      <c r="X763" s="2161">
        <v>150</v>
      </c>
      <c r="Y763" s="2162"/>
      <c r="Z763" s="2162"/>
      <c r="AA763" s="2162"/>
      <c r="AB763" s="2162"/>
      <c r="AC763" s="2162"/>
      <c r="AD763" s="2162"/>
      <c r="AE763" s="2162"/>
      <c r="AF763" s="2162"/>
      <c r="AG763" s="2163"/>
      <c r="AL763" s="1446"/>
      <c r="AM763" s="1445"/>
      <c r="AO763" s="1446"/>
      <c r="AP763" s="1451"/>
    </row>
    <row r="764" spans="1:42" s="1441" customFormat="1" ht="29.25" customHeight="1">
      <c r="A764" s="1440"/>
      <c r="D764" s="1846" t="s">
        <v>2772</v>
      </c>
      <c r="E764" s="1847"/>
      <c r="F764" s="1847"/>
      <c r="G764" s="1847"/>
      <c r="H764" s="1847"/>
      <c r="I764" s="1847"/>
      <c r="J764" s="1847"/>
      <c r="K764" s="1847"/>
      <c r="L764" s="1847"/>
      <c r="M764" s="1848"/>
      <c r="N764" s="2161">
        <v>428</v>
      </c>
      <c r="O764" s="2162"/>
      <c r="P764" s="2162"/>
      <c r="Q764" s="2162"/>
      <c r="R764" s="2162"/>
      <c r="S764" s="2162"/>
      <c r="T764" s="2162"/>
      <c r="U764" s="2162"/>
      <c r="V764" s="2162"/>
      <c r="W764" s="2163"/>
      <c r="X764" s="2161">
        <v>15</v>
      </c>
      <c r="Y764" s="2162"/>
      <c r="Z764" s="2162"/>
      <c r="AA764" s="2162"/>
      <c r="AB764" s="2162"/>
      <c r="AC764" s="2162"/>
      <c r="AD764" s="2162"/>
      <c r="AE764" s="2162"/>
      <c r="AF764" s="2162"/>
      <c r="AG764" s="2163"/>
      <c r="AL764" s="1446"/>
      <c r="AM764" s="1445"/>
      <c r="AO764" s="1446"/>
      <c r="AP764" s="1451"/>
    </row>
    <row r="765" spans="1:42" s="1441" customFormat="1" ht="29.25" customHeight="1">
      <c r="A765" s="1440"/>
      <c r="D765" s="1846" t="s">
        <v>2773</v>
      </c>
      <c r="E765" s="1847"/>
      <c r="F765" s="1847"/>
      <c r="G765" s="1847"/>
      <c r="H765" s="1847"/>
      <c r="I765" s="1847"/>
      <c r="J765" s="1847"/>
      <c r="K765" s="1847"/>
      <c r="L765" s="1847"/>
      <c r="M765" s="1848"/>
      <c r="N765" s="2161">
        <v>326</v>
      </c>
      <c r="O765" s="2162"/>
      <c r="P765" s="2162"/>
      <c r="Q765" s="2162"/>
      <c r="R765" s="2162"/>
      <c r="S765" s="2162"/>
      <c r="T765" s="2162"/>
      <c r="U765" s="2162"/>
      <c r="V765" s="2162"/>
      <c r="W765" s="2163"/>
      <c r="X765" s="2161">
        <v>118</v>
      </c>
      <c r="Y765" s="2162"/>
      <c r="Z765" s="2162"/>
      <c r="AA765" s="2162"/>
      <c r="AB765" s="2162"/>
      <c r="AC765" s="2162"/>
      <c r="AD765" s="2162"/>
      <c r="AE765" s="2162"/>
      <c r="AF765" s="2162"/>
      <c r="AG765" s="2163"/>
      <c r="AL765" s="1446"/>
      <c r="AM765" s="1445"/>
      <c r="AO765" s="1446"/>
      <c r="AP765" s="1451"/>
    </row>
    <row r="766" spans="1:42" s="1441" customFormat="1" ht="29.25" customHeight="1">
      <c r="A766" s="1440"/>
      <c r="D766" s="1846" t="s">
        <v>2900</v>
      </c>
      <c r="E766" s="1847"/>
      <c r="F766" s="1847"/>
      <c r="G766" s="1847"/>
      <c r="H766" s="1847"/>
      <c r="I766" s="1847"/>
      <c r="J766" s="1847"/>
      <c r="K766" s="1847"/>
      <c r="L766" s="1847"/>
      <c r="M766" s="1848"/>
      <c r="N766" s="2161">
        <v>65210</v>
      </c>
      <c r="O766" s="2162"/>
      <c r="P766" s="2162"/>
      <c r="Q766" s="2162"/>
      <c r="R766" s="2162"/>
      <c r="S766" s="2162"/>
      <c r="T766" s="2162"/>
      <c r="U766" s="2162"/>
      <c r="V766" s="2162"/>
      <c r="W766" s="2163"/>
      <c r="X766" s="2161"/>
      <c r="Y766" s="2162"/>
      <c r="Z766" s="2162"/>
      <c r="AA766" s="2162"/>
      <c r="AB766" s="2162"/>
      <c r="AC766" s="2162"/>
      <c r="AD766" s="2162"/>
      <c r="AE766" s="2162"/>
      <c r="AF766" s="2162"/>
      <c r="AG766" s="2163"/>
      <c r="AL766" s="1446"/>
      <c r="AM766" s="1445"/>
      <c r="AO766" s="1446"/>
      <c r="AP766" s="1451"/>
    </row>
    <row r="767" spans="1:42" s="1441" customFormat="1" ht="29.25" customHeight="1">
      <c r="A767" s="1440"/>
      <c r="D767" s="1846" t="s">
        <v>2774</v>
      </c>
      <c r="E767" s="1847"/>
      <c r="F767" s="1847"/>
      <c r="G767" s="1847"/>
      <c r="H767" s="1847"/>
      <c r="I767" s="1847"/>
      <c r="J767" s="1847"/>
      <c r="K767" s="1847"/>
      <c r="L767" s="1847"/>
      <c r="M767" s="1848"/>
      <c r="N767" s="1780">
        <v>20582</v>
      </c>
      <c r="O767" s="1781"/>
      <c r="P767" s="1781"/>
      <c r="Q767" s="1781"/>
      <c r="R767" s="1781"/>
      <c r="S767" s="1781"/>
      <c r="T767" s="1781"/>
      <c r="U767" s="1781"/>
      <c r="V767" s="1781"/>
      <c r="W767" s="1782"/>
      <c r="X767" s="2161">
        <v>9287</v>
      </c>
      <c r="Y767" s="2162"/>
      <c r="Z767" s="2162"/>
      <c r="AA767" s="2162"/>
      <c r="AB767" s="2162"/>
      <c r="AC767" s="2162"/>
      <c r="AD767" s="2162"/>
      <c r="AE767" s="2162"/>
      <c r="AF767" s="2162"/>
      <c r="AG767" s="2163"/>
      <c r="AL767" s="1444"/>
      <c r="AM767" s="1445"/>
      <c r="AO767" s="1446"/>
      <c r="AP767" s="1451"/>
    </row>
    <row r="768" spans="1:42" s="1441" customFormat="1" ht="29.25" customHeight="1">
      <c r="A768" s="1440"/>
      <c r="D768" s="2204" t="s">
        <v>314</v>
      </c>
      <c r="E768" s="2205"/>
      <c r="F768" s="2205"/>
      <c r="G768" s="2205"/>
      <c r="H768" s="2205"/>
      <c r="I768" s="2205"/>
      <c r="J768" s="2205"/>
      <c r="K768" s="2205"/>
      <c r="L768" s="2205"/>
      <c r="M768" s="2290"/>
      <c r="N768" s="1769">
        <f>SUM(N769,N771)</f>
        <v>33910</v>
      </c>
      <c r="O768" s="1769"/>
      <c r="P768" s="1769"/>
      <c r="Q768" s="1769"/>
      <c r="R768" s="1769"/>
      <c r="S768" s="1769"/>
      <c r="T768" s="1769"/>
      <c r="U768" s="1769"/>
      <c r="V768" s="1769"/>
      <c r="W768" s="1769"/>
      <c r="X768" s="2161">
        <f>SUM(X769,X771)</f>
        <v>40476</v>
      </c>
      <c r="Y768" s="2162"/>
      <c r="Z768" s="2162"/>
      <c r="AA768" s="2162"/>
      <c r="AB768" s="2162"/>
      <c r="AC768" s="2162"/>
      <c r="AD768" s="2162"/>
      <c r="AE768" s="2162"/>
      <c r="AF768" s="2162"/>
      <c r="AG768" s="2163"/>
      <c r="AL768" s="1444">
        <f>SUM(N769,N771)-N768</f>
        <v>0</v>
      </c>
      <c r="AM768" s="1445">
        <f>SUM(X769,X771)-X768</f>
        <v>0</v>
      </c>
      <c r="AO768" s="1444">
        <f>N768-SUM('P&amp;L'!$D$54,'P&amp;L'!$D$55,'P&amp;L'!$D$61,'P&amp;L'!$D$56,'P&amp;L'!$D$58,'P&amp;L'!$D$59,'P&amp;L'!$D$60,'P&amp;L'!$D$62)</f>
        <v>0</v>
      </c>
      <c r="AP768" s="1445">
        <f>X768-SUM('P&amp;L'!$E$54,'P&amp;L'!$E$55,'P&amp;L'!$E$61,'P&amp;L'!$E$56,'P&amp;L'!$E$58,'P&amp;L'!$E$59,'P&amp;L'!$E$60,'P&amp;L'!$E$62)</f>
        <v>0</v>
      </c>
    </row>
    <row r="769" spans="1:42" s="1441" customFormat="1" ht="29.25" customHeight="1">
      <c r="A769" s="1440"/>
      <c r="D769" s="1783" t="s">
        <v>315</v>
      </c>
      <c r="E769" s="1784"/>
      <c r="F769" s="1784"/>
      <c r="G769" s="1784"/>
      <c r="H769" s="1784"/>
      <c r="I769" s="1784"/>
      <c r="J769" s="1784"/>
      <c r="K769" s="1784"/>
      <c r="L769" s="1784"/>
      <c r="M769" s="1785"/>
      <c r="N769" s="1769">
        <f>SUM(N770)</f>
        <v>28482</v>
      </c>
      <c r="O769" s="1769"/>
      <c r="P769" s="1769"/>
      <c r="Q769" s="1769"/>
      <c r="R769" s="1769"/>
      <c r="S769" s="1769"/>
      <c r="T769" s="1769"/>
      <c r="U769" s="1769"/>
      <c r="V769" s="1769"/>
      <c r="W769" s="1769"/>
      <c r="X769" s="1769">
        <f>SUM(X770)</f>
        <v>35174</v>
      </c>
      <c r="Y769" s="1769"/>
      <c r="Z769" s="1769"/>
      <c r="AA769" s="1769"/>
      <c r="AB769" s="1769"/>
      <c r="AC769" s="1769"/>
      <c r="AD769" s="1769"/>
      <c r="AE769" s="1769"/>
      <c r="AF769" s="1769"/>
      <c r="AG769" s="1769"/>
      <c r="AL769" s="1444"/>
      <c r="AM769" s="1445"/>
      <c r="AO769" s="1444">
        <f>N769-'P&amp;L'!$D$60</f>
        <v>0</v>
      </c>
      <c r="AP769" s="1445">
        <f>X769-'P&amp;L'!$E$60</f>
        <v>0</v>
      </c>
    </row>
    <row r="770" spans="1:42" s="1441" customFormat="1" ht="29.25" customHeight="1">
      <c r="A770" s="1440"/>
      <c r="D770" s="1846" t="s">
        <v>316</v>
      </c>
      <c r="E770" s="1847"/>
      <c r="F770" s="1847"/>
      <c r="G770" s="1847"/>
      <c r="H770" s="1847"/>
      <c r="I770" s="1847"/>
      <c r="J770" s="1847"/>
      <c r="K770" s="1847"/>
      <c r="L770" s="1847"/>
      <c r="M770" s="1848"/>
      <c r="N770" s="1836">
        <v>28482</v>
      </c>
      <c r="O770" s="1836"/>
      <c r="P770" s="1836"/>
      <c r="Q770" s="1836"/>
      <c r="R770" s="1836"/>
      <c r="S770" s="1836"/>
      <c r="T770" s="1836"/>
      <c r="U770" s="1836"/>
      <c r="V770" s="1836"/>
      <c r="W770" s="1836"/>
      <c r="X770" s="1836">
        <v>35174</v>
      </c>
      <c r="Y770" s="1836"/>
      <c r="Z770" s="1836"/>
      <c r="AA770" s="1836"/>
      <c r="AB770" s="1836"/>
      <c r="AC770" s="1836"/>
      <c r="AD770" s="1836"/>
      <c r="AE770" s="1836"/>
      <c r="AF770" s="1836"/>
      <c r="AG770" s="1836"/>
      <c r="AL770" s="1446"/>
      <c r="AM770" s="1445"/>
      <c r="AO770" s="1446"/>
      <c r="AP770" s="1451"/>
    </row>
    <row r="771" spans="1:42" s="1441" customFormat="1" ht="29.25" customHeight="1">
      <c r="A771" s="1440"/>
      <c r="D771" s="1783" t="s">
        <v>317</v>
      </c>
      <c r="E771" s="1784"/>
      <c r="F771" s="1784"/>
      <c r="G771" s="1784"/>
      <c r="H771" s="1784"/>
      <c r="I771" s="1784"/>
      <c r="J771" s="1784"/>
      <c r="K771" s="1784"/>
      <c r="L771" s="1784"/>
      <c r="M771" s="1785"/>
      <c r="N771" s="1769">
        <f>SUM(N772)</f>
        <v>5428</v>
      </c>
      <c r="O771" s="1769"/>
      <c r="P771" s="1769"/>
      <c r="Q771" s="1769"/>
      <c r="R771" s="1769"/>
      <c r="S771" s="1769"/>
      <c r="T771" s="1769"/>
      <c r="U771" s="1769"/>
      <c r="V771" s="1769"/>
      <c r="W771" s="1769"/>
      <c r="X771" s="1769">
        <f>SUM(X772)</f>
        <v>5302</v>
      </c>
      <c r="Y771" s="1769"/>
      <c r="Z771" s="1769"/>
      <c r="AA771" s="1769"/>
      <c r="AB771" s="1769"/>
      <c r="AC771" s="1769"/>
      <c r="AD771" s="1769"/>
      <c r="AE771" s="1769"/>
      <c r="AF771" s="1769"/>
      <c r="AG771" s="1769"/>
      <c r="AL771" s="1444">
        <f>SUM(N772:W772)-N771</f>
        <v>0</v>
      </c>
      <c r="AM771" s="1445">
        <f>SUM(X772:AG772)-X771</f>
        <v>0</v>
      </c>
      <c r="AO771" s="1446"/>
      <c r="AP771" s="1451"/>
    </row>
    <row r="772" spans="1:42" s="1441" customFormat="1" ht="29.25" customHeight="1">
      <c r="A772" s="1440"/>
      <c r="D772" s="1846" t="s">
        <v>2901</v>
      </c>
      <c r="E772" s="1847"/>
      <c r="F772" s="1847"/>
      <c r="G772" s="1847"/>
      <c r="H772" s="1847"/>
      <c r="I772" s="1847"/>
      <c r="J772" s="1847"/>
      <c r="K772" s="1847"/>
      <c r="L772" s="1847"/>
      <c r="M772" s="1848"/>
      <c r="N772" s="1769">
        <v>5428</v>
      </c>
      <c r="O772" s="1769"/>
      <c r="P772" s="1769"/>
      <c r="Q772" s="1769"/>
      <c r="R772" s="1769"/>
      <c r="S772" s="1769"/>
      <c r="T772" s="1769"/>
      <c r="U772" s="1769"/>
      <c r="V772" s="1769"/>
      <c r="W772" s="1769"/>
      <c r="X772" s="1769">
        <v>5302</v>
      </c>
      <c r="Y772" s="1769"/>
      <c r="Z772" s="1769"/>
      <c r="AA772" s="1769"/>
      <c r="AB772" s="1769"/>
      <c r="AC772" s="1769"/>
      <c r="AD772" s="1769"/>
      <c r="AE772" s="1769"/>
      <c r="AF772" s="1769"/>
      <c r="AG772" s="1769"/>
      <c r="AL772" s="1446"/>
      <c r="AM772" s="1445"/>
      <c r="AO772" s="1446"/>
      <c r="AP772" s="1451"/>
    </row>
    <row r="773" spans="1:42" s="1430" customFormat="1" ht="14.25" customHeight="1">
      <c r="A773" s="1431"/>
      <c r="D773" s="671"/>
      <c r="E773" s="671"/>
      <c r="F773" s="671"/>
      <c r="G773" s="671"/>
      <c r="H773" s="671"/>
      <c r="I773" s="671"/>
      <c r="J773" s="671"/>
      <c r="K773" s="671"/>
      <c r="L773" s="671"/>
      <c r="M773" s="671"/>
      <c r="N773" s="1454"/>
      <c r="O773" s="1454"/>
      <c r="P773" s="1454"/>
      <c r="Q773" s="1454"/>
      <c r="R773" s="1454"/>
      <c r="S773" s="1454"/>
      <c r="T773" s="1454"/>
      <c r="U773" s="1454"/>
      <c r="V773" s="1454"/>
      <c r="W773" s="1454"/>
      <c r="X773" s="1454"/>
      <c r="Y773" s="1454"/>
      <c r="Z773" s="1454"/>
      <c r="AA773" s="1454"/>
      <c r="AB773" s="1454"/>
      <c r="AC773" s="1454"/>
      <c r="AD773" s="1454"/>
      <c r="AE773" s="1454"/>
      <c r="AF773" s="1454"/>
      <c r="AG773" s="1454"/>
    </row>
    <row r="774" spans="1:42" s="1430" customFormat="1" ht="14.25" customHeight="1">
      <c r="A774" s="1527"/>
      <c r="D774" s="1809" t="s">
        <v>2940</v>
      </c>
      <c r="E774" s="1809"/>
      <c r="F774" s="1809"/>
      <c r="G774" s="1809"/>
      <c r="H774" s="1809"/>
      <c r="I774" s="1809"/>
      <c r="J774" s="1809"/>
      <c r="K774" s="1809"/>
      <c r="L774" s="1809"/>
      <c r="M774" s="1809"/>
      <c r="N774" s="1809"/>
      <c r="O774" s="1809"/>
      <c r="P774" s="1809"/>
      <c r="Q774" s="1809"/>
      <c r="R774" s="1809"/>
      <c r="S774" s="1809"/>
      <c r="T774" s="1809"/>
      <c r="U774" s="1809"/>
      <c r="V774" s="1809"/>
      <c r="W774" s="1809"/>
      <c r="X774" s="1809"/>
      <c r="Y774" s="1809"/>
      <c r="Z774" s="1809"/>
      <c r="AA774" s="1809"/>
      <c r="AB774" s="1809"/>
      <c r="AC774" s="1809"/>
      <c r="AD774" s="1809"/>
      <c r="AE774" s="1809"/>
      <c r="AF774" s="1809"/>
      <c r="AG774" s="1809"/>
    </row>
    <row r="775" spans="1:42" s="1430" customFormat="1" ht="9" customHeight="1" thickBot="1">
      <c r="A775" s="1527"/>
      <c r="D775" s="1525"/>
      <c r="E775" s="1525"/>
      <c r="F775" s="1525"/>
      <c r="G775" s="1525"/>
      <c r="H775" s="1525"/>
      <c r="I775" s="1525"/>
      <c r="J775" s="1525"/>
      <c r="K775" s="1525"/>
      <c r="L775" s="1525"/>
      <c r="M775" s="1525"/>
      <c r="N775" s="1525"/>
      <c r="O775" s="1525"/>
      <c r="P775" s="1525"/>
      <c r="Q775" s="1525"/>
      <c r="R775" s="1525"/>
      <c r="S775" s="1525"/>
      <c r="T775" s="1525"/>
      <c r="U775" s="1525"/>
      <c r="V775" s="1525"/>
      <c r="W775" s="1525"/>
      <c r="X775" s="1525"/>
      <c r="Y775" s="1525"/>
      <c r="Z775" s="1525"/>
      <c r="AA775" s="1525"/>
      <c r="AB775" s="1525"/>
      <c r="AC775" s="1525"/>
      <c r="AD775" s="1525"/>
      <c r="AE775" s="1525"/>
      <c r="AF775" s="1525"/>
      <c r="AG775" s="1525"/>
    </row>
    <row r="776" spans="1:42" s="1430" customFormat="1" ht="14.25" customHeight="1">
      <c r="A776" s="1527"/>
      <c r="D776" s="2233" t="s">
        <v>131</v>
      </c>
      <c r="E776" s="2234"/>
      <c r="F776" s="2234"/>
      <c r="G776" s="2234"/>
      <c r="H776" s="2234"/>
      <c r="I776" s="2234"/>
      <c r="J776" s="2234"/>
      <c r="K776" s="2234"/>
      <c r="L776" s="2234"/>
      <c r="M776" s="2235"/>
      <c r="N776" s="1799" t="s">
        <v>2</v>
      </c>
      <c r="O776" s="1800"/>
      <c r="P776" s="1800"/>
      <c r="Q776" s="1800"/>
      <c r="R776" s="1800"/>
      <c r="S776" s="1800"/>
      <c r="T776" s="1800"/>
      <c r="U776" s="1800"/>
      <c r="V776" s="1800"/>
      <c r="W776" s="1800"/>
      <c r="X776" s="1799" t="s">
        <v>3</v>
      </c>
      <c r="Y776" s="1800"/>
      <c r="Z776" s="1800"/>
      <c r="AA776" s="1800"/>
      <c r="AB776" s="1800"/>
      <c r="AC776" s="1800"/>
      <c r="AD776" s="1800"/>
      <c r="AE776" s="1800"/>
      <c r="AF776" s="1800"/>
      <c r="AG776" s="1803"/>
    </row>
    <row r="777" spans="1:42" s="1430" customFormat="1" ht="14.25" customHeight="1" thickBot="1">
      <c r="A777" s="1527"/>
      <c r="D777" s="2236"/>
      <c r="E777" s="2237"/>
      <c r="F777" s="2237"/>
      <c r="G777" s="2237"/>
      <c r="H777" s="2237"/>
      <c r="I777" s="2237"/>
      <c r="J777" s="2237"/>
      <c r="K777" s="2237"/>
      <c r="L777" s="2237"/>
      <c r="M777" s="2238"/>
      <c r="N777" s="1801"/>
      <c r="O777" s="1802"/>
      <c r="P777" s="1802"/>
      <c r="Q777" s="1802"/>
      <c r="R777" s="1802"/>
      <c r="S777" s="1802"/>
      <c r="T777" s="1802"/>
      <c r="U777" s="1802"/>
      <c r="V777" s="1802"/>
      <c r="W777" s="1802"/>
      <c r="X777" s="1801"/>
      <c r="Y777" s="1802"/>
      <c r="Z777" s="1802"/>
      <c r="AA777" s="1802"/>
      <c r="AB777" s="1802"/>
      <c r="AC777" s="1802"/>
      <c r="AD777" s="1802"/>
      <c r="AE777" s="1802"/>
      <c r="AF777" s="1802"/>
      <c r="AG777" s="1804"/>
    </row>
    <row r="778" spans="1:42" s="1430" customFormat="1" ht="14.25" customHeight="1">
      <c r="A778" s="1527"/>
      <c r="D778" s="1903" t="s">
        <v>2941</v>
      </c>
      <c r="E778" s="1904"/>
      <c r="F778" s="1904"/>
      <c r="G778" s="1904"/>
      <c r="H778" s="1904"/>
      <c r="I778" s="1904"/>
      <c r="J778" s="1904"/>
      <c r="K778" s="1904"/>
      <c r="L778" s="1904"/>
      <c r="M778" s="1905"/>
      <c r="N778" s="2284">
        <v>1097102</v>
      </c>
      <c r="O778" s="2285"/>
      <c r="P778" s="2285"/>
      <c r="Q778" s="2285"/>
      <c r="R778" s="2285"/>
      <c r="S778" s="2285"/>
      <c r="T778" s="2285"/>
      <c r="U778" s="2285"/>
      <c r="V778" s="2285"/>
      <c r="W778" s="2286"/>
      <c r="X778" s="2284">
        <v>1086166</v>
      </c>
      <c r="Y778" s="2285"/>
      <c r="Z778" s="2285"/>
      <c r="AA778" s="2285"/>
      <c r="AB778" s="2285"/>
      <c r="AC778" s="2285"/>
      <c r="AD778" s="2285"/>
      <c r="AE778" s="2285"/>
      <c r="AF778" s="2285"/>
      <c r="AG778" s="2286"/>
    </row>
    <row r="779" spans="1:42" s="1430" customFormat="1" ht="14.25" customHeight="1">
      <c r="A779" s="1527"/>
      <c r="D779" s="1846" t="s">
        <v>2942</v>
      </c>
      <c r="E779" s="1847"/>
      <c r="F779" s="1847"/>
      <c r="G779" s="1847"/>
      <c r="H779" s="1847"/>
      <c r="I779" s="1847"/>
      <c r="J779" s="1847"/>
      <c r="K779" s="1847"/>
      <c r="L779" s="1847"/>
      <c r="M779" s="1848"/>
      <c r="N779" s="1780">
        <v>781249</v>
      </c>
      <c r="O779" s="1781"/>
      <c r="P779" s="1781"/>
      <c r="Q779" s="1781"/>
      <c r="R779" s="1781"/>
      <c r="S779" s="1781"/>
      <c r="T779" s="1781"/>
      <c r="U779" s="1781"/>
      <c r="V779" s="1781"/>
      <c r="W779" s="1782"/>
      <c r="X779" s="1780">
        <v>788625</v>
      </c>
      <c r="Y779" s="1781"/>
      <c r="Z779" s="1781"/>
      <c r="AA779" s="1781"/>
      <c r="AB779" s="1781"/>
      <c r="AC779" s="1781"/>
      <c r="AD779" s="1781"/>
      <c r="AE779" s="1781"/>
      <c r="AF779" s="1781"/>
      <c r="AG779" s="1782"/>
    </row>
    <row r="780" spans="1:42" s="1430" customFormat="1" ht="14.25" customHeight="1">
      <c r="A780" s="1527"/>
      <c r="D780" s="1846" t="s">
        <v>2944</v>
      </c>
      <c r="E780" s="1847"/>
      <c r="F780" s="1847"/>
      <c r="G780" s="1847"/>
      <c r="H780" s="1847"/>
      <c r="I780" s="1847"/>
      <c r="J780" s="1847"/>
      <c r="K780" s="1847"/>
      <c r="L780" s="1847"/>
      <c r="M780" s="1848"/>
      <c r="N780" s="1780">
        <v>266859</v>
      </c>
      <c r="O780" s="1781"/>
      <c r="P780" s="1781"/>
      <c r="Q780" s="1781"/>
      <c r="R780" s="1781"/>
      <c r="S780" s="1781"/>
      <c r="T780" s="1781"/>
      <c r="U780" s="1781"/>
      <c r="V780" s="1781"/>
      <c r="W780" s="1782"/>
      <c r="X780" s="1780">
        <v>249918</v>
      </c>
      <c r="Y780" s="1781"/>
      <c r="Z780" s="1781"/>
      <c r="AA780" s="1781"/>
      <c r="AB780" s="1781"/>
      <c r="AC780" s="1781"/>
      <c r="AD780" s="1781"/>
      <c r="AE780" s="1781"/>
      <c r="AF780" s="1781"/>
      <c r="AG780" s="1782"/>
    </row>
    <row r="781" spans="1:42" s="1430" customFormat="1" ht="14.25" customHeight="1" thickBot="1">
      <c r="A781" s="1527"/>
      <c r="D781" s="2011" t="s">
        <v>2943</v>
      </c>
      <c r="E781" s="2012"/>
      <c r="F781" s="2012"/>
      <c r="G781" s="2012"/>
      <c r="H781" s="2012"/>
      <c r="I781" s="2012"/>
      <c r="J781" s="2012"/>
      <c r="K781" s="2012"/>
      <c r="L781" s="2012"/>
      <c r="M781" s="2013"/>
      <c r="N781" s="2291">
        <v>48994</v>
      </c>
      <c r="O781" s="2292"/>
      <c r="P781" s="2292"/>
      <c r="Q781" s="2292"/>
      <c r="R781" s="2292"/>
      <c r="S781" s="2292"/>
      <c r="T781" s="2292"/>
      <c r="U781" s="2292"/>
      <c r="V781" s="2292"/>
      <c r="W781" s="2293"/>
      <c r="X781" s="2291">
        <v>47623</v>
      </c>
      <c r="Y781" s="2292"/>
      <c r="Z781" s="2292"/>
      <c r="AA781" s="2292"/>
      <c r="AB781" s="2292"/>
      <c r="AC781" s="2292"/>
      <c r="AD781" s="2292"/>
      <c r="AE781" s="2292"/>
      <c r="AF781" s="2292"/>
      <c r="AG781" s="2293"/>
    </row>
    <row r="782" spans="1:42" s="1522" customFormat="1" ht="14.25" customHeight="1">
      <c r="A782" s="1529"/>
      <c r="D782" s="1533"/>
      <c r="E782" s="1533"/>
      <c r="F782" s="1533"/>
      <c r="G782" s="1533"/>
      <c r="H782" s="1533"/>
      <c r="I782" s="1533"/>
      <c r="J782" s="1533"/>
      <c r="K782" s="1533"/>
      <c r="L782" s="1533"/>
      <c r="M782" s="1533"/>
      <c r="N782" s="1534"/>
      <c r="O782" s="1534"/>
      <c r="P782" s="1534"/>
      <c r="Q782" s="1534"/>
      <c r="R782" s="1534"/>
      <c r="S782" s="1534"/>
      <c r="T782" s="1534"/>
      <c r="U782" s="1534"/>
      <c r="V782" s="1534"/>
      <c r="W782" s="1534"/>
      <c r="X782" s="1534"/>
      <c r="Y782" s="1534"/>
      <c r="Z782" s="1534"/>
      <c r="AA782" s="1534"/>
      <c r="AB782" s="1534"/>
      <c r="AC782" s="1534"/>
      <c r="AD782" s="1534"/>
      <c r="AE782" s="1534"/>
      <c r="AF782" s="1534"/>
      <c r="AG782" s="1534"/>
    </row>
    <row r="783" spans="1:42" s="1430" customFormat="1" ht="14.25" hidden="1" customHeight="1">
      <c r="A783" s="1431"/>
      <c r="D783" s="2233" t="s">
        <v>131</v>
      </c>
      <c r="E783" s="2234"/>
      <c r="F783" s="2234"/>
      <c r="G783" s="2234"/>
      <c r="H783" s="2234"/>
      <c r="I783" s="2234"/>
      <c r="J783" s="2234"/>
      <c r="K783" s="2234"/>
      <c r="L783" s="2234"/>
      <c r="M783" s="2235"/>
      <c r="N783" s="1799" t="s">
        <v>2</v>
      </c>
      <c r="O783" s="1800"/>
      <c r="P783" s="1800"/>
      <c r="Q783" s="1800"/>
      <c r="R783" s="1800"/>
      <c r="S783" s="1800"/>
      <c r="T783" s="1800"/>
      <c r="U783" s="1800"/>
      <c r="V783" s="1800"/>
      <c r="W783" s="1803"/>
      <c r="X783" s="1799" t="s">
        <v>3</v>
      </c>
      <c r="Y783" s="1800"/>
      <c r="Z783" s="1800"/>
      <c r="AA783" s="1800"/>
      <c r="AB783" s="1800"/>
      <c r="AC783" s="1800"/>
      <c r="AD783" s="1800"/>
      <c r="AE783" s="1800"/>
      <c r="AF783" s="1800"/>
      <c r="AG783" s="1803"/>
    </row>
    <row r="784" spans="1:42" s="1430" customFormat="1" ht="14.25" hidden="1" customHeight="1" thickBot="1">
      <c r="A784" s="1431"/>
      <c r="D784" s="2236"/>
      <c r="E784" s="2237"/>
      <c r="F784" s="2237"/>
      <c r="G784" s="2237"/>
      <c r="H784" s="2237"/>
      <c r="I784" s="2237"/>
      <c r="J784" s="2237"/>
      <c r="K784" s="2237"/>
      <c r="L784" s="2237"/>
      <c r="M784" s="2238"/>
      <c r="N784" s="1801"/>
      <c r="O784" s="1802"/>
      <c r="P784" s="1802"/>
      <c r="Q784" s="1802"/>
      <c r="R784" s="1802"/>
      <c r="S784" s="1802"/>
      <c r="T784" s="1802"/>
      <c r="U784" s="1802"/>
      <c r="V784" s="1802"/>
      <c r="W784" s="1804"/>
      <c r="X784" s="1801"/>
      <c r="Y784" s="1802"/>
      <c r="Z784" s="1802"/>
      <c r="AA784" s="1802"/>
      <c r="AB784" s="1802"/>
      <c r="AC784" s="1802"/>
      <c r="AD784" s="1802"/>
      <c r="AE784" s="1802"/>
      <c r="AF784" s="1802"/>
      <c r="AG784" s="1804"/>
      <c r="AL784" s="1423" t="s">
        <v>2</v>
      </c>
      <c r="AM784" s="1425" t="s">
        <v>3</v>
      </c>
      <c r="AO784" s="1423" t="s">
        <v>2</v>
      </c>
      <c r="AP784" s="1425" t="s">
        <v>3</v>
      </c>
    </row>
    <row r="785" spans="1:42" s="1441" customFormat="1" ht="29.25" hidden="1" customHeight="1" thickTop="1" thickBot="1">
      <c r="A785" s="1440"/>
      <c r="D785" s="1903" t="s">
        <v>1733</v>
      </c>
      <c r="E785" s="1904"/>
      <c r="F785" s="1904"/>
      <c r="G785" s="1904"/>
      <c r="H785" s="1904"/>
      <c r="I785" s="1904"/>
      <c r="J785" s="1904"/>
      <c r="K785" s="1904"/>
      <c r="L785" s="1904"/>
      <c r="M785" s="1905"/>
      <c r="N785" s="1769"/>
      <c r="O785" s="1769"/>
      <c r="P785" s="1769"/>
      <c r="Q785" s="1769"/>
      <c r="R785" s="1769"/>
      <c r="S785" s="1769"/>
      <c r="T785" s="1769"/>
      <c r="U785" s="1769"/>
      <c r="V785" s="1769"/>
      <c r="W785" s="1769"/>
      <c r="X785" s="1769"/>
      <c r="Y785" s="1769"/>
      <c r="Z785" s="1769"/>
      <c r="AA785" s="1769"/>
      <c r="AB785" s="1769"/>
      <c r="AC785" s="1769"/>
      <c r="AD785" s="1769"/>
      <c r="AE785" s="1769"/>
      <c r="AF785" s="1769"/>
      <c r="AG785" s="1769"/>
      <c r="AL785" s="1442">
        <f>SUM(N786:W790)-N785</f>
        <v>0</v>
      </c>
      <c r="AM785" s="1443">
        <f>SUM(X786:AG790)-X785</f>
        <v>0</v>
      </c>
      <c r="AO785" s="1442">
        <f>N785-N745</f>
        <v>-16000</v>
      </c>
      <c r="AP785" s="1442">
        <f>X785-X745</f>
        <v>-10120</v>
      </c>
    </row>
    <row r="786" spans="1:42" s="1441" customFormat="1" ht="29.25" hidden="1" customHeight="1">
      <c r="A786" s="1440"/>
      <c r="D786" s="1846" t="s">
        <v>307</v>
      </c>
      <c r="E786" s="1847"/>
      <c r="F786" s="1847"/>
      <c r="G786" s="1847"/>
      <c r="H786" s="1847"/>
      <c r="I786" s="1847"/>
      <c r="J786" s="1847"/>
      <c r="K786" s="1847"/>
      <c r="L786" s="1847"/>
      <c r="M786" s="1848"/>
      <c r="N786" s="1819"/>
      <c r="O786" s="1819"/>
      <c r="P786" s="1819"/>
      <c r="Q786" s="1819"/>
      <c r="R786" s="1819"/>
      <c r="S786" s="1819"/>
      <c r="T786" s="1819"/>
      <c r="U786" s="1819"/>
      <c r="V786" s="1819"/>
      <c r="W786" s="1819"/>
      <c r="X786" s="1819"/>
      <c r="Y786" s="1819"/>
      <c r="Z786" s="1819"/>
      <c r="AA786" s="1819"/>
      <c r="AB786" s="1819"/>
      <c r="AC786" s="1819"/>
      <c r="AD786" s="1819"/>
      <c r="AE786" s="1819"/>
      <c r="AF786" s="1819"/>
      <c r="AG786" s="1819"/>
      <c r="AL786" s="1446"/>
      <c r="AM786" s="1445"/>
      <c r="AO786" s="1447"/>
      <c r="AP786" s="1448"/>
    </row>
    <row r="787" spans="1:42" s="1441" customFormat="1" ht="29.25" hidden="1" customHeight="1">
      <c r="A787" s="1440"/>
      <c r="D787" s="1846" t="s">
        <v>308</v>
      </c>
      <c r="E787" s="1847"/>
      <c r="F787" s="1847"/>
      <c r="G787" s="1847"/>
      <c r="H787" s="1847"/>
      <c r="I787" s="1847"/>
      <c r="J787" s="1847"/>
      <c r="K787" s="1847"/>
      <c r="L787" s="1847"/>
      <c r="M787" s="1848"/>
      <c r="N787" s="1769"/>
      <c r="O787" s="1769"/>
      <c r="P787" s="1769"/>
      <c r="Q787" s="1769"/>
      <c r="R787" s="1769"/>
      <c r="S787" s="1769"/>
      <c r="T787" s="1769"/>
      <c r="U787" s="1769"/>
      <c r="V787" s="1769"/>
      <c r="W787" s="1769"/>
      <c r="X787" s="1769"/>
      <c r="Y787" s="1769"/>
      <c r="Z787" s="1769"/>
      <c r="AA787" s="1769"/>
      <c r="AB787" s="1769"/>
      <c r="AC787" s="1769"/>
      <c r="AD787" s="1769"/>
      <c r="AE787" s="1769"/>
      <c r="AF787" s="1769"/>
      <c r="AG787" s="1769"/>
      <c r="AL787" s="1446"/>
      <c r="AM787" s="1445"/>
      <c r="AO787" s="1449"/>
      <c r="AP787" s="1450"/>
    </row>
    <row r="788" spans="1:42" s="1441" customFormat="1" ht="29.25" hidden="1" customHeight="1">
      <c r="A788" s="1440"/>
      <c r="D788" s="1846" t="s">
        <v>309</v>
      </c>
      <c r="E788" s="1847"/>
      <c r="F788" s="1847"/>
      <c r="G788" s="1847"/>
      <c r="H788" s="1847"/>
      <c r="I788" s="1847"/>
      <c r="J788" s="1847"/>
      <c r="K788" s="1847"/>
      <c r="L788" s="1847"/>
      <c r="M788" s="1848"/>
      <c r="N788" s="1769"/>
      <c r="O788" s="1769"/>
      <c r="P788" s="1769"/>
      <c r="Q788" s="1769"/>
      <c r="R788" s="1769"/>
      <c r="S788" s="1769"/>
      <c r="T788" s="1769"/>
      <c r="U788" s="1769"/>
      <c r="V788" s="1769"/>
      <c r="W788" s="1769"/>
      <c r="X788" s="1769"/>
      <c r="Y788" s="1769"/>
      <c r="Z788" s="1769"/>
      <c r="AA788" s="1769"/>
      <c r="AB788" s="1769"/>
      <c r="AC788" s="1769"/>
      <c r="AD788" s="1769"/>
      <c r="AE788" s="1769"/>
      <c r="AF788" s="1769"/>
      <c r="AG788" s="1769"/>
      <c r="AL788" s="1446"/>
      <c r="AM788" s="1445"/>
      <c r="AO788" s="1447"/>
      <c r="AP788" s="1448"/>
    </row>
    <row r="789" spans="1:42" s="1441" customFormat="1" ht="29.25" hidden="1" customHeight="1">
      <c r="A789" s="1440"/>
      <c r="D789" s="1846" t="s">
        <v>310</v>
      </c>
      <c r="E789" s="1847"/>
      <c r="F789" s="1847"/>
      <c r="G789" s="1847"/>
      <c r="H789" s="1847"/>
      <c r="I789" s="1847"/>
      <c r="J789" s="1847"/>
      <c r="K789" s="1847"/>
      <c r="L789" s="1847"/>
      <c r="M789" s="1848"/>
      <c r="N789" s="1769"/>
      <c r="O789" s="1769"/>
      <c r="P789" s="1769"/>
      <c r="Q789" s="1769"/>
      <c r="R789" s="1769"/>
      <c r="S789" s="1769"/>
      <c r="T789" s="1769"/>
      <c r="U789" s="1769"/>
      <c r="V789" s="1769"/>
      <c r="W789" s="1769"/>
      <c r="X789" s="1769"/>
      <c r="Y789" s="1769"/>
      <c r="Z789" s="1769"/>
      <c r="AA789" s="1769"/>
      <c r="AB789" s="1769"/>
      <c r="AC789" s="1769"/>
      <c r="AD789" s="1769"/>
      <c r="AE789" s="1769"/>
      <c r="AF789" s="1769"/>
      <c r="AG789" s="1769"/>
      <c r="AL789" s="1446"/>
      <c r="AM789" s="1445"/>
      <c r="AO789" s="1449"/>
      <c r="AP789" s="1450"/>
    </row>
    <row r="790" spans="1:42" s="1441" customFormat="1" ht="29.25" hidden="1" customHeight="1">
      <c r="A790" s="1440"/>
      <c r="D790" s="2011" t="s">
        <v>311</v>
      </c>
      <c r="E790" s="2012"/>
      <c r="F790" s="2012"/>
      <c r="G790" s="2012"/>
      <c r="H790" s="2012"/>
      <c r="I790" s="2012"/>
      <c r="J790" s="2012"/>
      <c r="K790" s="2012"/>
      <c r="L790" s="2012"/>
      <c r="M790" s="2013"/>
      <c r="N790" s="1844"/>
      <c r="O790" s="1844"/>
      <c r="P790" s="1844"/>
      <c r="Q790" s="1844"/>
      <c r="R790" s="1844"/>
      <c r="S790" s="1844"/>
      <c r="T790" s="1844"/>
      <c r="U790" s="1844"/>
      <c r="V790" s="1844"/>
      <c r="W790" s="1844"/>
      <c r="X790" s="1844"/>
      <c r="Y790" s="1844"/>
      <c r="Z790" s="1844"/>
      <c r="AA790" s="1844"/>
      <c r="AB790" s="1844"/>
      <c r="AC790" s="1844"/>
      <c r="AD790" s="1844"/>
      <c r="AE790" s="1844"/>
      <c r="AF790" s="1844"/>
      <c r="AG790" s="1844"/>
      <c r="AL790" s="1444"/>
      <c r="AM790" s="1445"/>
      <c r="AO790" s="1449"/>
      <c r="AP790" s="1450"/>
    </row>
    <row r="791" spans="1:42" s="1430" customFormat="1" ht="14.25" hidden="1" customHeight="1" thickBot="1">
      <c r="A791" s="1431"/>
      <c r="D791" s="671"/>
      <c r="E791" s="671"/>
      <c r="F791" s="671"/>
      <c r="G791" s="671"/>
      <c r="H791" s="671"/>
      <c r="I791" s="671"/>
      <c r="J791" s="671"/>
      <c r="K791" s="671"/>
      <c r="L791" s="671"/>
      <c r="M791" s="671"/>
      <c r="N791" s="1454"/>
      <c r="O791" s="1454"/>
      <c r="P791" s="1454"/>
      <c r="Q791" s="1454"/>
      <c r="R791" s="1454"/>
      <c r="S791" s="1454"/>
      <c r="T791" s="1454"/>
      <c r="U791" s="1454"/>
      <c r="V791" s="1454"/>
      <c r="W791" s="1454"/>
      <c r="X791" s="1454"/>
      <c r="Y791" s="1454"/>
      <c r="Z791" s="1454"/>
      <c r="AA791" s="1454"/>
      <c r="AB791" s="1454"/>
      <c r="AC791" s="1454"/>
      <c r="AD791" s="1454"/>
      <c r="AE791" s="1454"/>
      <c r="AF791" s="1454"/>
      <c r="AG791" s="1454"/>
    </row>
    <row r="792" spans="1:42" s="1430" customFormat="1" ht="14.25" hidden="1" customHeight="1">
      <c r="A792" s="1431"/>
      <c r="D792" s="671"/>
      <c r="E792" s="671"/>
      <c r="F792" s="671"/>
      <c r="G792" s="671"/>
      <c r="H792" s="671"/>
      <c r="I792" s="671"/>
      <c r="J792" s="671"/>
      <c r="K792" s="671"/>
      <c r="L792" s="671"/>
      <c r="M792" s="671"/>
      <c r="N792" s="1454"/>
      <c r="O792" s="1454"/>
      <c r="P792" s="1454"/>
      <c r="Q792" s="1454"/>
      <c r="R792" s="1454"/>
      <c r="S792" s="1454"/>
      <c r="T792" s="1454"/>
      <c r="U792" s="1454"/>
      <c r="V792" s="1454"/>
      <c r="W792" s="1454"/>
      <c r="X792" s="1454"/>
      <c r="Y792" s="1454"/>
      <c r="Z792" s="1454"/>
      <c r="AA792" s="1454"/>
      <c r="AB792" s="1454"/>
      <c r="AC792" s="1454"/>
      <c r="AD792" s="1454"/>
      <c r="AE792" s="1454"/>
      <c r="AF792" s="1454"/>
      <c r="AG792" s="1454"/>
    </row>
    <row r="793" spans="1:42" s="1430" customFormat="1" ht="14.25" customHeight="1">
      <c r="A793" s="1431"/>
      <c r="D793" s="1924" t="s">
        <v>1390</v>
      </c>
      <c r="E793" s="1924"/>
      <c r="F793" s="1924"/>
      <c r="G793" s="1924"/>
      <c r="H793" s="1924"/>
      <c r="I793" s="1924"/>
      <c r="J793" s="1924"/>
      <c r="K793" s="1924"/>
      <c r="L793" s="1924"/>
      <c r="M793" s="1924"/>
      <c r="N793" s="1924"/>
      <c r="O793" s="1924"/>
      <c r="P793" s="1924"/>
      <c r="Q793" s="1924"/>
      <c r="R793" s="1924"/>
      <c r="S793" s="1924"/>
      <c r="T793" s="1924"/>
      <c r="U793" s="1924"/>
      <c r="V793" s="1924"/>
      <c r="W793" s="1924"/>
      <c r="X793" s="1924"/>
      <c r="Y793" s="1924"/>
      <c r="Z793" s="1924"/>
      <c r="AA793" s="1924"/>
      <c r="AB793" s="1924"/>
      <c r="AC793" s="1924"/>
      <c r="AD793" s="1924"/>
      <c r="AE793" s="1924"/>
      <c r="AF793" s="1924"/>
      <c r="AG793" s="1924"/>
    </row>
    <row r="794" spans="1:42" s="1430" customFormat="1" ht="14.25" customHeight="1">
      <c r="A794" s="1431"/>
    </row>
    <row r="795" spans="1:42" s="1430" customFormat="1" ht="14.25" customHeight="1" thickBot="1">
      <c r="A795" s="1514"/>
      <c r="D795" s="1809" t="s">
        <v>2872</v>
      </c>
      <c r="E795" s="1809"/>
      <c r="F795" s="1809"/>
      <c r="G795" s="1809"/>
      <c r="H795" s="1809"/>
      <c r="I795" s="1809"/>
      <c r="J795" s="1809"/>
      <c r="K795" s="1809"/>
      <c r="L795" s="1809"/>
      <c r="M795" s="1809"/>
      <c r="N795" s="1809"/>
      <c r="O795" s="1809"/>
      <c r="P795" s="1809"/>
      <c r="Q795" s="1809"/>
      <c r="R795" s="1809"/>
      <c r="S795" s="1809"/>
      <c r="T795" s="1809"/>
      <c r="U795" s="1809"/>
      <c r="V795" s="1809"/>
      <c r="W795" s="1809"/>
      <c r="X795" s="1809"/>
      <c r="Y795" s="1809"/>
      <c r="Z795" s="1809"/>
      <c r="AA795" s="1809"/>
      <c r="AB795" s="1809"/>
      <c r="AC795" s="1809"/>
      <c r="AD795" s="1809"/>
      <c r="AE795" s="1809"/>
      <c r="AF795" s="1809"/>
      <c r="AG795" s="1809"/>
    </row>
    <row r="796" spans="1:42" s="1430" customFormat="1" ht="28.5" customHeight="1" thickBot="1">
      <c r="A796" s="1514"/>
      <c r="D796" s="1838" t="s">
        <v>131</v>
      </c>
      <c r="E796" s="1838"/>
      <c r="F796" s="1838"/>
      <c r="G796" s="1838"/>
      <c r="H796" s="1838"/>
      <c r="I796" s="1838"/>
      <c r="J796" s="1838"/>
      <c r="K796" s="1838"/>
      <c r="L796" s="1838"/>
      <c r="M796" s="1838"/>
      <c r="N796" s="1838"/>
      <c r="O796" s="1838"/>
      <c r="P796" s="1838" t="s">
        <v>2</v>
      </c>
      <c r="Q796" s="1838"/>
      <c r="R796" s="1838"/>
      <c r="S796" s="1838"/>
      <c r="T796" s="1838"/>
      <c r="U796" s="1838"/>
      <c r="V796" s="1838"/>
      <c r="W796" s="1838"/>
      <c r="X796" s="1838"/>
      <c r="Y796" s="1838" t="s">
        <v>3</v>
      </c>
      <c r="Z796" s="1838"/>
      <c r="AA796" s="1838"/>
      <c r="AB796" s="1838"/>
      <c r="AC796" s="1838"/>
      <c r="AD796" s="1838"/>
      <c r="AE796" s="1838"/>
      <c r="AF796" s="1838"/>
      <c r="AG796" s="1838"/>
    </row>
    <row r="797" spans="1:42" s="1430" customFormat="1" ht="46.5" customHeight="1">
      <c r="A797" s="1514"/>
      <c r="D797" s="2278" t="s">
        <v>320</v>
      </c>
      <c r="E797" s="2278"/>
      <c r="F797" s="2278"/>
      <c r="G797" s="2278"/>
      <c r="H797" s="2278"/>
      <c r="I797" s="2278"/>
      <c r="J797" s="2278"/>
      <c r="K797" s="2278"/>
      <c r="L797" s="2278"/>
      <c r="M797" s="2278"/>
      <c r="N797" s="2278"/>
      <c r="O797" s="2278"/>
      <c r="P797" s="1870">
        <v>0</v>
      </c>
      <c r="Q797" s="1870"/>
      <c r="R797" s="1870"/>
      <c r="S797" s="1870"/>
      <c r="T797" s="1870"/>
      <c r="U797" s="1870"/>
      <c r="V797" s="1870"/>
      <c r="W797" s="1870"/>
      <c r="X797" s="1870"/>
      <c r="Y797" s="2103">
        <v>0</v>
      </c>
      <c r="Z797" s="2103"/>
      <c r="AA797" s="2103"/>
      <c r="AB797" s="2103"/>
      <c r="AC797" s="2103"/>
      <c r="AD797" s="2103"/>
      <c r="AE797" s="2103"/>
      <c r="AF797" s="2103"/>
      <c r="AG797" s="2103"/>
    </row>
    <row r="798" spans="1:42" s="1430" customFormat="1" ht="45.75" customHeight="1">
      <c r="A798" s="1514"/>
      <c r="D798" s="1786" t="s">
        <v>321</v>
      </c>
      <c r="E798" s="1786"/>
      <c r="F798" s="1786"/>
      <c r="G798" s="1786"/>
      <c r="H798" s="1786"/>
      <c r="I798" s="1786"/>
      <c r="J798" s="1786"/>
      <c r="K798" s="1786"/>
      <c r="L798" s="1786"/>
      <c r="M798" s="1786"/>
      <c r="N798" s="1786"/>
      <c r="O798" s="1786"/>
      <c r="P798" s="1835">
        <v>0</v>
      </c>
      <c r="Q798" s="1835"/>
      <c r="R798" s="1835"/>
      <c r="S798" s="1835"/>
      <c r="T798" s="1835"/>
      <c r="U798" s="1835"/>
      <c r="V798" s="1835"/>
      <c r="W798" s="1835"/>
      <c r="X798" s="1835"/>
      <c r="Y798" s="1835">
        <v>17755</v>
      </c>
      <c r="Z798" s="1835"/>
      <c r="AA798" s="1835"/>
      <c r="AB798" s="1835"/>
      <c r="AC798" s="1835"/>
      <c r="AD798" s="1835"/>
      <c r="AE798" s="1835"/>
      <c r="AF798" s="1835"/>
      <c r="AG798" s="1835"/>
    </row>
    <row r="799" spans="1:42" s="1430" customFormat="1" ht="72" customHeight="1">
      <c r="A799" s="1514"/>
      <c r="D799" s="1786" t="s">
        <v>322</v>
      </c>
      <c r="E799" s="1786"/>
      <c r="F799" s="1786"/>
      <c r="G799" s="1786"/>
      <c r="H799" s="1786"/>
      <c r="I799" s="1786"/>
      <c r="J799" s="1786"/>
      <c r="K799" s="1786"/>
      <c r="L799" s="1786"/>
      <c r="M799" s="1786"/>
      <c r="N799" s="1786"/>
      <c r="O799" s="1786"/>
      <c r="P799" s="1835">
        <v>0</v>
      </c>
      <c r="Q799" s="1835"/>
      <c r="R799" s="1835"/>
      <c r="S799" s="1835"/>
      <c r="T799" s="1835"/>
      <c r="U799" s="1835"/>
      <c r="V799" s="1835"/>
      <c r="W799" s="1835"/>
      <c r="X799" s="1835"/>
      <c r="Y799" s="1842">
        <v>0</v>
      </c>
      <c r="Z799" s="1842"/>
      <c r="AA799" s="1842"/>
      <c r="AB799" s="1842"/>
      <c r="AC799" s="1842"/>
      <c r="AD799" s="1842"/>
      <c r="AE799" s="1842"/>
      <c r="AF799" s="1842"/>
      <c r="AG799" s="1842"/>
    </row>
    <row r="800" spans="1:42" s="1430" customFormat="1" ht="55.5" customHeight="1">
      <c r="A800" s="1514"/>
      <c r="D800" s="1786" t="s">
        <v>323</v>
      </c>
      <c r="E800" s="1786"/>
      <c r="F800" s="1786"/>
      <c r="G800" s="1786"/>
      <c r="H800" s="1786"/>
      <c r="I800" s="1786"/>
      <c r="J800" s="1786"/>
      <c r="K800" s="1786"/>
      <c r="L800" s="1786"/>
      <c r="M800" s="1786"/>
      <c r="N800" s="1786"/>
      <c r="O800" s="1786"/>
      <c r="P800" s="1835">
        <v>0</v>
      </c>
      <c r="Q800" s="1835"/>
      <c r="R800" s="1835"/>
      <c r="S800" s="1835"/>
      <c r="T800" s="1835"/>
      <c r="U800" s="1835"/>
      <c r="V800" s="1835"/>
      <c r="W800" s="1835"/>
      <c r="X800" s="1835"/>
      <c r="Y800" s="1842">
        <v>0</v>
      </c>
      <c r="Z800" s="1842"/>
      <c r="AA800" s="1842"/>
      <c r="AB800" s="1842"/>
      <c r="AC800" s="1842"/>
      <c r="AD800" s="1842"/>
      <c r="AE800" s="1842"/>
      <c r="AF800" s="1842"/>
      <c r="AG800" s="1842"/>
    </row>
    <row r="801" spans="1:42" s="1430" customFormat="1" ht="55.5" customHeight="1">
      <c r="A801" s="1514"/>
      <c r="D801" s="1786" t="s">
        <v>324</v>
      </c>
      <c r="E801" s="1786"/>
      <c r="F801" s="1786"/>
      <c r="G801" s="1786"/>
      <c r="H801" s="1786"/>
      <c r="I801" s="1786"/>
      <c r="J801" s="1786"/>
      <c r="K801" s="1786"/>
      <c r="L801" s="1786"/>
      <c r="M801" s="1786"/>
      <c r="N801" s="1786"/>
      <c r="O801" s="1786"/>
      <c r="P801" s="1835">
        <v>0</v>
      </c>
      <c r="Q801" s="1835"/>
      <c r="R801" s="1835"/>
      <c r="S801" s="1835"/>
      <c r="T801" s="1835"/>
      <c r="U801" s="1835"/>
      <c r="V801" s="1835"/>
      <c r="W801" s="1835"/>
      <c r="X801" s="1835"/>
      <c r="Y801" s="1842">
        <v>0</v>
      </c>
      <c r="Z801" s="1842"/>
      <c r="AA801" s="1842"/>
      <c r="AB801" s="1842"/>
      <c r="AC801" s="1842"/>
      <c r="AD801" s="1842"/>
      <c r="AE801" s="1842"/>
      <c r="AF801" s="1842"/>
      <c r="AG801" s="1842"/>
    </row>
    <row r="802" spans="1:42" s="1430" customFormat="1" ht="44.25" customHeight="1" thickBot="1">
      <c r="A802" s="1514"/>
      <c r="D802" s="2276" t="s">
        <v>325</v>
      </c>
      <c r="E802" s="2276"/>
      <c r="F802" s="2276"/>
      <c r="G802" s="2276"/>
      <c r="H802" s="2276"/>
      <c r="I802" s="2276"/>
      <c r="J802" s="2276"/>
      <c r="K802" s="2276"/>
      <c r="L802" s="2276"/>
      <c r="M802" s="2276"/>
      <c r="N802" s="2276"/>
      <c r="O802" s="2276"/>
      <c r="P802" s="2277">
        <v>0</v>
      </c>
      <c r="Q802" s="2277"/>
      <c r="R802" s="2277"/>
      <c r="S802" s="2277"/>
      <c r="T802" s="2277"/>
      <c r="U802" s="2277"/>
      <c r="V802" s="2277"/>
      <c r="W802" s="2277"/>
      <c r="X802" s="2277"/>
      <c r="Y802" s="2085">
        <v>0</v>
      </c>
      <c r="Z802" s="2085"/>
      <c r="AA802" s="2085"/>
      <c r="AB802" s="2085"/>
      <c r="AC802" s="2085"/>
      <c r="AD802" s="2085"/>
      <c r="AE802" s="2085"/>
      <c r="AF802" s="2085"/>
      <c r="AG802" s="2085"/>
    </row>
    <row r="803" spans="1:42" s="1430" customFormat="1" ht="14.25" customHeight="1">
      <c r="A803" s="1431"/>
      <c r="D803" s="2133"/>
      <c r="E803" s="2133"/>
      <c r="F803" s="2133"/>
      <c r="G803" s="2133"/>
      <c r="H803" s="2133"/>
      <c r="I803" s="2133"/>
      <c r="J803" s="2133"/>
      <c r="K803" s="2133"/>
      <c r="L803" s="2133"/>
      <c r="M803" s="2133"/>
      <c r="N803" s="2133"/>
      <c r="O803" s="2133"/>
      <c r="P803" s="2133"/>
      <c r="Q803" s="2133"/>
      <c r="R803" s="2133"/>
      <c r="S803" s="2133"/>
      <c r="T803" s="2133"/>
      <c r="U803" s="2133"/>
      <c r="V803" s="2133"/>
      <c r="W803" s="2133"/>
      <c r="X803" s="2133"/>
      <c r="Y803" s="2133"/>
      <c r="Z803" s="2133"/>
      <c r="AA803" s="2133"/>
      <c r="AB803" s="2133"/>
      <c r="AC803" s="2133"/>
      <c r="AD803" s="2133"/>
      <c r="AE803" s="2133"/>
      <c r="AF803" s="2133"/>
      <c r="AG803" s="2133"/>
    </row>
    <row r="804" spans="1:42" s="1430" customFormat="1" ht="14.25" customHeight="1" thickBot="1">
      <c r="A804" s="1431"/>
      <c r="D804" s="1809" t="s">
        <v>2872</v>
      </c>
      <c r="E804" s="1809"/>
      <c r="F804" s="1809"/>
      <c r="G804" s="1809"/>
      <c r="H804" s="1809"/>
      <c r="I804" s="1809"/>
      <c r="J804" s="1809"/>
      <c r="K804" s="1809"/>
      <c r="L804" s="1809"/>
      <c r="M804" s="1809"/>
      <c r="N804" s="1809"/>
      <c r="O804" s="1809"/>
      <c r="P804" s="1809"/>
      <c r="Q804" s="1809"/>
      <c r="R804" s="1809"/>
      <c r="S804" s="1809"/>
      <c r="T804" s="1809"/>
      <c r="U804" s="1809"/>
      <c r="V804" s="1809"/>
      <c r="W804" s="1809"/>
      <c r="X804" s="1809"/>
      <c r="Y804" s="1809"/>
      <c r="Z804" s="1809"/>
      <c r="AA804" s="1809"/>
      <c r="AB804" s="1809"/>
      <c r="AC804" s="1809"/>
      <c r="AD804" s="1809"/>
      <c r="AE804" s="1809"/>
      <c r="AF804" s="1809"/>
      <c r="AG804" s="1809"/>
    </row>
    <row r="805" spans="1:42" s="1430" customFormat="1" ht="14.25" customHeight="1" thickBot="1">
      <c r="A805" s="1431"/>
      <c r="D805" s="1859" t="s">
        <v>1</v>
      </c>
      <c r="E805" s="1859"/>
      <c r="F805" s="1859"/>
      <c r="G805" s="1859"/>
      <c r="H805" s="1859"/>
      <c r="I805" s="1859"/>
      <c r="J805" s="2239" t="s">
        <v>2</v>
      </c>
      <c r="K805" s="2240"/>
      <c r="L805" s="2240"/>
      <c r="M805" s="2240"/>
      <c r="N805" s="2240"/>
      <c r="O805" s="2240"/>
      <c r="P805" s="2240"/>
      <c r="Q805" s="2240"/>
      <c r="R805" s="2240"/>
      <c r="S805" s="2240"/>
      <c r="T805" s="2240"/>
      <c r="U805" s="2241"/>
      <c r="V805" s="1799" t="s">
        <v>3</v>
      </c>
      <c r="W805" s="1800"/>
      <c r="X805" s="1800"/>
      <c r="Y805" s="1800"/>
      <c r="Z805" s="1800"/>
      <c r="AA805" s="1800"/>
      <c r="AB805" s="1800"/>
      <c r="AC805" s="1800"/>
      <c r="AD805" s="1800"/>
      <c r="AE805" s="1800"/>
      <c r="AF805" s="1800"/>
      <c r="AG805" s="1803"/>
    </row>
    <row r="806" spans="1:42" s="1430" customFormat="1" ht="14.25" customHeight="1" thickTop="1" thickBot="1">
      <c r="A806" s="1431"/>
      <c r="D806" s="1859"/>
      <c r="E806" s="1859"/>
      <c r="F806" s="1859"/>
      <c r="G806" s="1859"/>
      <c r="H806" s="1859"/>
      <c r="I806" s="1859"/>
      <c r="J806" s="2242"/>
      <c r="K806" s="2243"/>
      <c r="L806" s="2243"/>
      <c r="M806" s="2243"/>
      <c r="N806" s="2243"/>
      <c r="O806" s="2243"/>
      <c r="P806" s="2243"/>
      <c r="Q806" s="2243"/>
      <c r="R806" s="2243"/>
      <c r="S806" s="2243"/>
      <c r="T806" s="2243"/>
      <c r="U806" s="2244"/>
      <c r="V806" s="1801"/>
      <c r="W806" s="1802"/>
      <c r="X806" s="1802"/>
      <c r="Y806" s="1802"/>
      <c r="Z806" s="1802"/>
      <c r="AA806" s="1802"/>
      <c r="AB806" s="1802"/>
      <c r="AC806" s="1802"/>
      <c r="AD806" s="1802"/>
      <c r="AE806" s="1802"/>
      <c r="AF806" s="1802"/>
      <c r="AG806" s="1804"/>
      <c r="AO806" s="1424" t="s">
        <v>2</v>
      </c>
      <c r="AP806" s="1423" t="s">
        <v>3</v>
      </c>
    </row>
    <row r="807" spans="1:42" s="1430" customFormat="1" ht="14.25" customHeight="1" thickBot="1">
      <c r="A807" s="1431"/>
      <c r="D807" s="1859"/>
      <c r="E807" s="1859"/>
      <c r="F807" s="1859"/>
      <c r="G807" s="1859"/>
      <c r="H807" s="1859"/>
      <c r="I807" s="1859"/>
      <c r="J807" s="1838" t="s">
        <v>327</v>
      </c>
      <c r="K807" s="1838"/>
      <c r="L807" s="1838"/>
      <c r="M807" s="1838"/>
      <c r="N807" s="1838" t="s">
        <v>328</v>
      </c>
      <c r="O807" s="1838"/>
      <c r="P807" s="1838"/>
      <c r="Q807" s="1838"/>
      <c r="R807" s="1838" t="s">
        <v>1391</v>
      </c>
      <c r="S807" s="1838"/>
      <c r="T807" s="1838"/>
      <c r="U807" s="1838"/>
      <c r="V807" s="1838" t="s">
        <v>327</v>
      </c>
      <c r="W807" s="1838"/>
      <c r="X807" s="1838"/>
      <c r="Y807" s="1838"/>
      <c r="Z807" s="1838" t="s">
        <v>328</v>
      </c>
      <c r="AA807" s="1838"/>
      <c r="AB807" s="1838"/>
      <c r="AC807" s="1838"/>
      <c r="AD807" s="1838" t="s">
        <v>1391</v>
      </c>
      <c r="AE807" s="1838"/>
      <c r="AF807" s="1838"/>
      <c r="AG807" s="1838"/>
      <c r="AO807" s="1455"/>
      <c r="AP807" s="1456"/>
    </row>
    <row r="808" spans="1:42" s="1430" customFormat="1" ht="34.5" customHeight="1">
      <c r="A808" s="1431"/>
      <c r="D808" s="2021" t="s">
        <v>330</v>
      </c>
      <c r="E808" s="2267"/>
      <c r="F808" s="2267"/>
      <c r="G808" s="2267"/>
      <c r="H808" s="2267"/>
      <c r="I808" s="2267"/>
      <c r="J808" s="1870">
        <f>'P&amp;L'!D64</f>
        <v>212837</v>
      </c>
      <c r="K808" s="1870"/>
      <c r="L808" s="1870"/>
      <c r="M808" s="2266"/>
      <c r="N808" s="2215" t="s">
        <v>18</v>
      </c>
      <c r="O808" s="2216"/>
      <c r="P808" s="2216"/>
      <c r="Q808" s="2217"/>
      <c r="R808" s="2218" t="s">
        <v>18</v>
      </c>
      <c r="S808" s="2216"/>
      <c r="T808" s="2216"/>
      <c r="U808" s="2216"/>
      <c r="V808" s="2103">
        <f>'P&amp;L'!E64</f>
        <v>338656</v>
      </c>
      <c r="W808" s="2103"/>
      <c r="X808" s="2103"/>
      <c r="Y808" s="2219"/>
      <c r="Z808" s="2220" t="s">
        <v>18</v>
      </c>
      <c r="AA808" s="2196"/>
      <c r="AB808" s="2196"/>
      <c r="AC808" s="2221"/>
      <c r="AD808" s="2231" t="s">
        <v>18</v>
      </c>
      <c r="AE808" s="2196"/>
      <c r="AF808" s="2196"/>
      <c r="AG808" s="2196"/>
      <c r="AO808" s="1444">
        <f>J808-('P&amp;L'!$D$35+'P&amp;L'!$D$63)</f>
        <v>0</v>
      </c>
      <c r="AP808" s="1445">
        <f>V808-('P&amp;L'!$E$35+'P&amp;L'!$E$63)</f>
        <v>0</v>
      </c>
    </row>
    <row r="809" spans="1:42" s="1430" customFormat="1" ht="27.75" customHeight="1">
      <c r="A809" s="1431"/>
      <c r="D809" s="1846" t="s">
        <v>331</v>
      </c>
      <c r="E809" s="1847"/>
      <c r="F809" s="1847"/>
      <c r="G809" s="1847"/>
      <c r="H809" s="1847"/>
      <c r="I809" s="1847"/>
      <c r="J809" s="2176" t="s">
        <v>18</v>
      </c>
      <c r="K809" s="2176"/>
      <c r="L809" s="2176"/>
      <c r="M809" s="2177"/>
      <c r="N809" s="2155">
        <f>J808*21%</f>
        <v>44695.77</v>
      </c>
      <c r="O809" s="1835"/>
      <c r="P809" s="1835"/>
      <c r="Q809" s="2156"/>
      <c r="R809" s="2172">
        <v>21</v>
      </c>
      <c r="S809" s="2173"/>
      <c r="T809" s="2173"/>
      <c r="U809" s="2173"/>
      <c r="V809" s="2157" t="s">
        <v>18</v>
      </c>
      <c r="W809" s="2157"/>
      <c r="X809" s="2157"/>
      <c r="Y809" s="2158"/>
      <c r="Z809" s="2159">
        <f>V808*22%</f>
        <v>74504.320000000007</v>
      </c>
      <c r="AA809" s="1842"/>
      <c r="AB809" s="1842"/>
      <c r="AC809" s="2160"/>
      <c r="AD809" s="2174">
        <v>22</v>
      </c>
      <c r="AE809" s="2175"/>
      <c r="AF809" s="2175"/>
      <c r="AG809" s="2175"/>
      <c r="AO809" s="1446"/>
      <c r="AP809" s="1451"/>
    </row>
    <row r="810" spans="1:42" s="1430" customFormat="1" ht="27.75" customHeight="1">
      <c r="A810" s="1431"/>
      <c r="D810" s="1846" t="s">
        <v>332</v>
      </c>
      <c r="E810" s="1847"/>
      <c r="F810" s="1847"/>
      <c r="G810" s="1847"/>
      <c r="H810" s="1847"/>
      <c r="I810" s="1847"/>
      <c r="J810" s="2156">
        <v>20565</v>
      </c>
      <c r="K810" s="2032"/>
      <c r="L810" s="2032"/>
      <c r="M810" s="2032"/>
      <c r="N810" s="2155">
        <f>J810*0.21</f>
        <v>4318.6499999999996</v>
      </c>
      <c r="O810" s="1835"/>
      <c r="P810" s="1835"/>
      <c r="Q810" s="2156"/>
      <c r="R810" s="2222"/>
      <c r="S810" s="2173"/>
      <c r="T810" s="2173"/>
      <c r="U810" s="2173"/>
      <c r="V810" s="2160">
        <v>18907</v>
      </c>
      <c r="W810" s="2166"/>
      <c r="X810" s="2166"/>
      <c r="Y810" s="2166"/>
      <c r="Z810" s="2223">
        <f>V810*0.22</f>
        <v>4159.54</v>
      </c>
      <c r="AA810" s="2224"/>
      <c r="AB810" s="2224"/>
      <c r="AC810" s="2225"/>
      <c r="AD810" s="2232"/>
      <c r="AE810" s="2175"/>
      <c r="AF810" s="2175"/>
      <c r="AG810" s="2175"/>
      <c r="AO810" s="1446"/>
      <c r="AP810" s="1451"/>
    </row>
    <row r="811" spans="1:42" s="1430" customFormat="1" ht="27.75" customHeight="1">
      <c r="A811" s="1431"/>
      <c r="D811" s="1846" t="s">
        <v>333</v>
      </c>
      <c r="E811" s="1847"/>
      <c r="F811" s="1847"/>
      <c r="G811" s="1847"/>
      <c r="H811" s="1847"/>
      <c r="I811" s="1847"/>
      <c r="J811" s="2156"/>
      <c r="K811" s="2032"/>
      <c r="L811" s="2032"/>
      <c r="M811" s="2032"/>
      <c r="N811" s="2155"/>
      <c r="O811" s="1835"/>
      <c r="P811" s="1835"/>
      <c r="Q811" s="2156"/>
      <c r="R811" s="2164"/>
      <c r="S811" s="2165"/>
      <c r="T811" s="2165"/>
      <c r="U811" s="2165"/>
      <c r="V811" s="2160"/>
      <c r="W811" s="2166"/>
      <c r="X811" s="2166"/>
      <c r="Y811" s="2166"/>
      <c r="Z811" s="2167"/>
      <c r="AA811" s="2168"/>
      <c r="AB811" s="2168"/>
      <c r="AC811" s="2169"/>
      <c r="AD811" s="2170"/>
      <c r="AE811" s="2171"/>
      <c r="AF811" s="2171"/>
      <c r="AG811" s="2171"/>
      <c r="AO811" s="1446"/>
      <c r="AP811" s="1451"/>
    </row>
    <row r="812" spans="1:42" s="1430" customFormat="1" ht="35.25" customHeight="1">
      <c r="A812" s="1431"/>
      <c r="D812" s="1846" t="s">
        <v>1730</v>
      </c>
      <c r="E812" s="1847"/>
      <c r="F812" s="1847"/>
      <c r="G812" s="1847"/>
      <c r="H812" s="1847"/>
      <c r="I812" s="1847"/>
      <c r="J812" s="1835"/>
      <c r="K812" s="1835"/>
      <c r="L812" s="1835"/>
      <c r="M812" s="1875"/>
      <c r="N812" s="2155"/>
      <c r="O812" s="1835"/>
      <c r="P812" s="1835"/>
      <c r="Q812" s="2156"/>
      <c r="R812" s="2172"/>
      <c r="S812" s="2173"/>
      <c r="T812" s="2173"/>
      <c r="U812" s="2173"/>
      <c r="V812" s="1842"/>
      <c r="W812" s="1842"/>
      <c r="X812" s="1842"/>
      <c r="Y812" s="1893"/>
      <c r="Z812" s="2159"/>
      <c r="AA812" s="1842"/>
      <c r="AB812" s="1842"/>
      <c r="AC812" s="2160"/>
      <c r="AD812" s="2174"/>
      <c r="AE812" s="2175"/>
      <c r="AF812" s="2175"/>
      <c r="AG812" s="2175"/>
      <c r="AO812" s="1446"/>
      <c r="AP812" s="1451"/>
    </row>
    <row r="813" spans="1:42" s="1430" customFormat="1" ht="27.75" customHeight="1">
      <c r="A813" s="1431"/>
      <c r="D813" s="1846" t="s">
        <v>334</v>
      </c>
      <c r="E813" s="1847"/>
      <c r="F813" s="1847"/>
      <c r="G813" s="1847"/>
      <c r="H813" s="1847"/>
      <c r="I813" s="1847"/>
      <c r="J813" s="1835"/>
      <c r="K813" s="1835"/>
      <c r="L813" s="1835"/>
      <c r="M813" s="1875"/>
      <c r="N813" s="2155"/>
      <c r="O813" s="1835"/>
      <c r="P813" s="1835"/>
      <c r="Q813" s="2156"/>
      <c r="R813" s="2172"/>
      <c r="S813" s="2173"/>
      <c r="T813" s="2173"/>
      <c r="U813" s="2173"/>
      <c r="V813" s="1842"/>
      <c r="W813" s="1842"/>
      <c r="X813" s="1842"/>
      <c r="Y813" s="1893"/>
      <c r="Z813" s="2159"/>
      <c r="AA813" s="1842"/>
      <c r="AB813" s="1842"/>
      <c r="AC813" s="2160"/>
      <c r="AD813" s="2174"/>
      <c r="AE813" s="2175"/>
      <c r="AF813" s="2175"/>
      <c r="AG813" s="2175"/>
      <c r="AO813" s="1446"/>
      <c r="AP813" s="1451"/>
    </row>
    <row r="814" spans="1:42" s="1430" customFormat="1" ht="27.75" customHeight="1">
      <c r="A814" s="1431"/>
      <c r="D814" s="1846" t="s">
        <v>1731</v>
      </c>
      <c r="E814" s="1847"/>
      <c r="F814" s="1847"/>
      <c r="G814" s="1847"/>
      <c r="H814" s="1847"/>
      <c r="I814" s="1847"/>
      <c r="J814" s="1835"/>
      <c r="K814" s="1835"/>
      <c r="L814" s="1835"/>
      <c r="M814" s="1875"/>
      <c r="N814" s="2155"/>
      <c r="O814" s="1835"/>
      <c r="P814" s="1835"/>
      <c r="Q814" s="2156"/>
      <c r="R814" s="2172"/>
      <c r="S814" s="2173"/>
      <c r="T814" s="2173"/>
      <c r="U814" s="2173"/>
      <c r="V814" s="1842"/>
      <c r="W814" s="1842"/>
      <c r="X814" s="1842"/>
      <c r="Y814" s="1893"/>
      <c r="Z814" s="2159"/>
      <c r="AA814" s="1842"/>
      <c r="AB814" s="1842"/>
      <c r="AC814" s="2160"/>
      <c r="AD814" s="2174"/>
      <c r="AE814" s="2175"/>
      <c r="AF814" s="2175"/>
      <c r="AG814" s="2175"/>
      <c r="AO814" s="1446"/>
      <c r="AP814" s="1451"/>
    </row>
    <row r="815" spans="1:42" s="1430" customFormat="1" ht="27.75" customHeight="1">
      <c r="A815" s="1431"/>
      <c r="D815" s="1846" t="s">
        <v>287</v>
      </c>
      <c r="E815" s="1847"/>
      <c r="F815" s="1847"/>
      <c r="G815" s="1847"/>
      <c r="H815" s="1847"/>
      <c r="I815" s="1847"/>
      <c r="J815" s="1835">
        <v>20229</v>
      </c>
      <c r="K815" s="1835"/>
      <c r="L815" s="1835"/>
      <c r="M815" s="1875"/>
      <c r="N815" s="2155">
        <f>J815*0.21-1</f>
        <v>4247.09</v>
      </c>
      <c r="O815" s="1835"/>
      <c r="P815" s="1835"/>
      <c r="Q815" s="2156"/>
      <c r="R815" s="2164"/>
      <c r="S815" s="2165"/>
      <c r="T815" s="2165"/>
      <c r="U815" s="2165"/>
      <c r="V815" s="1842">
        <v>-61108</v>
      </c>
      <c r="W815" s="1842"/>
      <c r="X815" s="1842"/>
      <c r="Y815" s="1893"/>
      <c r="Z815" s="2159">
        <f>V815*22%</f>
        <v>-13443.76</v>
      </c>
      <c r="AA815" s="1842"/>
      <c r="AB815" s="1842"/>
      <c r="AC815" s="2160"/>
      <c r="AD815" s="1895"/>
      <c r="AE815" s="2175"/>
      <c r="AF815" s="2175"/>
      <c r="AG815" s="2175"/>
      <c r="AO815" s="1446"/>
      <c r="AP815" s="1451"/>
    </row>
    <row r="816" spans="1:42" s="1430" customFormat="1" ht="27.75" customHeight="1">
      <c r="A816" s="1431"/>
      <c r="D816" s="2204" t="s">
        <v>14</v>
      </c>
      <c r="E816" s="2205"/>
      <c r="F816" s="2205"/>
      <c r="G816" s="2205"/>
      <c r="H816" s="2205"/>
      <c r="I816" s="2205"/>
      <c r="J816" s="2176" t="s">
        <v>18</v>
      </c>
      <c r="K816" s="2176"/>
      <c r="L816" s="2176"/>
      <c r="M816" s="2177"/>
      <c r="N816" s="2199">
        <f>SUM(N809:Q815)</f>
        <v>53261.509999999995</v>
      </c>
      <c r="O816" s="1958"/>
      <c r="P816" s="1958"/>
      <c r="Q816" s="2200"/>
      <c r="R816" s="1984">
        <f>N816/J808*100</f>
        <v>25.024554001418924</v>
      </c>
      <c r="S816" s="1958"/>
      <c r="T816" s="1958"/>
      <c r="U816" s="1958"/>
      <c r="V816" s="2157" t="s">
        <v>18</v>
      </c>
      <c r="W816" s="2157"/>
      <c r="X816" s="2157"/>
      <c r="Y816" s="2158"/>
      <c r="Z816" s="2201">
        <f>SUM(Z809:AC815)</f>
        <v>65220.1</v>
      </c>
      <c r="AA816" s="2202"/>
      <c r="AB816" s="2202"/>
      <c r="AC816" s="2203"/>
      <c r="AD816" s="1981">
        <f>Z816/V808*100</f>
        <v>19.258510110554663</v>
      </c>
      <c r="AE816" s="2202"/>
      <c r="AF816" s="2202"/>
      <c r="AG816" s="2202"/>
      <c r="AO816" s="1446"/>
      <c r="AP816" s="1451"/>
    </row>
    <row r="817" spans="1:42" s="1430" customFormat="1" ht="27.75" customHeight="1">
      <c r="A817" s="1431"/>
      <c r="D817" s="1846" t="s">
        <v>335</v>
      </c>
      <c r="E817" s="1847"/>
      <c r="F817" s="1847"/>
      <c r="G817" s="1847"/>
      <c r="H817" s="1847"/>
      <c r="I817" s="1847"/>
      <c r="J817" s="2176" t="s">
        <v>18</v>
      </c>
      <c r="K817" s="2176"/>
      <c r="L817" s="2176"/>
      <c r="M817" s="2177"/>
      <c r="N817" s="2155">
        <f>'P&amp;L'!D66</f>
        <v>125102</v>
      </c>
      <c r="O817" s="1835"/>
      <c r="P817" s="1835"/>
      <c r="Q817" s="2156"/>
      <c r="R817" s="2178">
        <f>N817/J808*100</f>
        <v>58.778313920981788</v>
      </c>
      <c r="S817" s="2179"/>
      <c r="T817" s="2179"/>
      <c r="U817" s="2179"/>
      <c r="V817" s="2157" t="s">
        <v>18</v>
      </c>
      <c r="W817" s="2157"/>
      <c r="X817" s="2157"/>
      <c r="Y817" s="2158"/>
      <c r="Z817" s="2159">
        <f>'P&amp;L'!E66</f>
        <v>156065</v>
      </c>
      <c r="AA817" s="1842"/>
      <c r="AB817" s="1842"/>
      <c r="AC817" s="2160"/>
      <c r="AD817" s="1895">
        <f>Z817/V808*100</f>
        <v>46.083636492487948</v>
      </c>
      <c r="AE817" s="1842"/>
      <c r="AF817" s="1842"/>
      <c r="AG817" s="1842"/>
      <c r="AO817" s="1444">
        <f>N817-'P&amp;L'!$D$66</f>
        <v>0</v>
      </c>
      <c r="AP817" s="1445">
        <f>Z817-'P&amp;L'!$E$66</f>
        <v>0</v>
      </c>
    </row>
    <row r="818" spans="1:42" s="1430" customFormat="1" ht="27.75" customHeight="1">
      <c r="A818" s="1431"/>
      <c r="D818" s="1846" t="s">
        <v>336</v>
      </c>
      <c r="E818" s="1847"/>
      <c r="F818" s="1847"/>
      <c r="G818" s="1847"/>
      <c r="H818" s="1847"/>
      <c r="I818" s="1847"/>
      <c r="J818" s="2176" t="s">
        <v>18</v>
      </c>
      <c r="K818" s="2176"/>
      <c r="L818" s="2176"/>
      <c r="M818" s="2177"/>
      <c r="N818" s="2155">
        <v>-71840</v>
      </c>
      <c r="O818" s="1835"/>
      <c r="P818" s="1835"/>
      <c r="Q818" s="2156"/>
      <c r="R818" s="1877">
        <f>N818/J808*100</f>
        <v>-33.753529696434356</v>
      </c>
      <c r="S818" s="1835"/>
      <c r="T818" s="1835"/>
      <c r="U818" s="1835"/>
      <c r="V818" s="2157" t="s">
        <v>18</v>
      </c>
      <c r="W818" s="2157"/>
      <c r="X818" s="2157"/>
      <c r="Y818" s="2158"/>
      <c r="Z818" s="2159">
        <f>'P&amp;L'!E67</f>
        <v>-90845</v>
      </c>
      <c r="AA818" s="1842"/>
      <c r="AB818" s="1842"/>
      <c r="AC818" s="2160"/>
      <c r="AD818" s="1877">
        <f>Z818/V808*100</f>
        <v>-26.825155910422378</v>
      </c>
      <c r="AE818" s="1835"/>
      <c r="AF818" s="1835"/>
      <c r="AG818" s="1835"/>
      <c r="AO818" s="1444">
        <f>N818-'P&amp;L'!$D$67</f>
        <v>0</v>
      </c>
      <c r="AP818" s="1445">
        <f>Z818-'P&amp;L'!$E$67</f>
        <v>0</v>
      </c>
    </row>
    <row r="819" spans="1:42" s="1430" customFormat="1" ht="27.75" customHeight="1" thickBot="1">
      <c r="A819" s="1431"/>
      <c r="D819" s="1899" t="s">
        <v>337</v>
      </c>
      <c r="E819" s="1900"/>
      <c r="F819" s="1900"/>
      <c r="G819" s="1900"/>
      <c r="H819" s="1900"/>
      <c r="I819" s="1900"/>
      <c r="J819" s="2197" t="s">
        <v>18</v>
      </c>
      <c r="K819" s="2197"/>
      <c r="L819" s="2197"/>
      <c r="M819" s="2198"/>
      <c r="N819" s="2182">
        <f>N817+N818</f>
        <v>53262</v>
      </c>
      <c r="O819" s="2183"/>
      <c r="P819" s="2183"/>
      <c r="Q819" s="2184"/>
      <c r="R819" s="2187">
        <f>SUM(R817:U818)</f>
        <v>25.024784224547432</v>
      </c>
      <c r="S819" s="2188"/>
      <c r="T819" s="2188"/>
      <c r="U819" s="2188"/>
      <c r="V819" s="2180" t="s">
        <v>18</v>
      </c>
      <c r="W819" s="2180"/>
      <c r="X819" s="2180"/>
      <c r="Y819" s="2181"/>
      <c r="Z819" s="2182">
        <f>Z817+Z818</f>
        <v>65220</v>
      </c>
      <c r="AA819" s="2183"/>
      <c r="AB819" s="2183"/>
      <c r="AC819" s="2184"/>
      <c r="AD819" s="2185">
        <f>SUM(AD817:AG818)</f>
        <v>19.25848058206557</v>
      </c>
      <c r="AE819" s="2186"/>
      <c r="AF819" s="2186"/>
      <c r="AG819" s="2186"/>
      <c r="AO819" s="1457">
        <f>N819-'P&amp;L'!$D$65</f>
        <v>0</v>
      </c>
      <c r="AP819" s="1453">
        <f>Z819-'P&amp;L'!$E$65</f>
        <v>0</v>
      </c>
    </row>
    <row r="820" spans="1:42" s="1430" customFormat="1" ht="14.25" customHeight="1">
      <c r="A820" s="1431"/>
    </row>
    <row r="821" spans="1:42" s="1430" customFormat="1" ht="14.25" customHeight="1">
      <c r="A821" s="1431"/>
    </row>
    <row r="822" spans="1:42" s="1430" customFormat="1" ht="14.25" customHeight="1">
      <c r="A822" s="1431"/>
      <c r="D822" s="1924" t="s">
        <v>1392</v>
      </c>
      <c r="E822" s="1924"/>
      <c r="F822" s="1924"/>
      <c r="G822" s="1924"/>
      <c r="H822" s="1924"/>
      <c r="I822" s="1924"/>
      <c r="J822" s="1924"/>
      <c r="K822" s="1924"/>
      <c r="L822" s="1924"/>
      <c r="M822" s="1924"/>
      <c r="N822" s="1924"/>
      <c r="O822" s="1924"/>
      <c r="P822" s="1924"/>
      <c r="Q822" s="1924"/>
      <c r="R822" s="1924"/>
      <c r="S822" s="1924"/>
      <c r="T822" s="1924"/>
      <c r="U822" s="1924"/>
      <c r="V822" s="1924"/>
      <c r="W822" s="1924"/>
      <c r="X822" s="1924"/>
      <c r="Y822" s="1924"/>
      <c r="Z822" s="1924"/>
      <c r="AA822" s="1924"/>
      <c r="AB822" s="1924"/>
      <c r="AC822" s="1924"/>
      <c r="AD822" s="1924"/>
      <c r="AE822" s="1924"/>
      <c r="AF822" s="1924"/>
      <c r="AG822" s="1924"/>
    </row>
    <row r="823" spans="1:42" s="1430" customFormat="1" ht="14.25" customHeight="1">
      <c r="A823" s="1431"/>
    </row>
    <row r="824" spans="1:42" s="1430" customFormat="1" ht="26.25" customHeight="1">
      <c r="A824" s="1431"/>
      <c r="C824" s="908"/>
      <c r="D824" s="2272" t="s">
        <v>2982</v>
      </c>
      <c r="E824" s="2272"/>
      <c r="F824" s="2272"/>
      <c r="G824" s="2272"/>
      <c r="H824" s="2272"/>
      <c r="I824" s="2272"/>
      <c r="J824" s="2272"/>
      <c r="K824" s="2272"/>
      <c r="L824" s="2272"/>
      <c r="M824" s="2272"/>
      <c r="N824" s="2272"/>
      <c r="O824" s="2272"/>
      <c r="P824" s="2272"/>
      <c r="Q824" s="2272"/>
      <c r="R824" s="2272"/>
      <c r="S824" s="2272"/>
      <c r="T824" s="2272"/>
      <c r="U824" s="2272"/>
      <c r="V824" s="2272"/>
      <c r="W824" s="2272"/>
      <c r="X824" s="2272"/>
      <c r="Y824" s="2272"/>
      <c r="Z824" s="2272"/>
      <c r="AA824" s="2272"/>
      <c r="AB824" s="2272"/>
      <c r="AC824" s="2272"/>
      <c r="AD824" s="2272"/>
      <c r="AE824" s="2272"/>
      <c r="AF824" s="2272"/>
      <c r="AG824" s="2272"/>
    </row>
    <row r="825" spans="1:42" s="1522" customFormat="1" ht="13.5" customHeight="1">
      <c r="A825" s="1529"/>
      <c r="C825" s="1521"/>
      <c r="D825" s="1528"/>
      <c r="E825" s="1528"/>
      <c r="F825" s="1528"/>
      <c r="G825" s="1528"/>
      <c r="H825" s="1528"/>
      <c r="I825" s="1528"/>
      <c r="J825" s="1528"/>
      <c r="K825" s="1528"/>
      <c r="L825" s="1528"/>
      <c r="M825" s="1528"/>
      <c r="N825" s="1528"/>
      <c r="O825" s="1528"/>
      <c r="P825" s="1528"/>
      <c r="Q825" s="1528"/>
      <c r="R825" s="1528"/>
      <c r="S825" s="1528"/>
      <c r="T825" s="1528"/>
      <c r="U825" s="1528"/>
      <c r="V825" s="1528"/>
      <c r="W825" s="1528"/>
      <c r="X825" s="1528"/>
      <c r="Y825" s="1528"/>
      <c r="Z825" s="1528"/>
      <c r="AA825" s="1528"/>
      <c r="AB825" s="1528"/>
      <c r="AC825" s="1528"/>
      <c r="AD825" s="1528"/>
      <c r="AE825" s="1528"/>
      <c r="AF825" s="1528"/>
      <c r="AG825" s="1528"/>
    </row>
    <row r="826" spans="1:42" s="1430" customFormat="1" ht="14.25" customHeight="1">
      <c r="A826" s="1431"/>
      <c r="D826" s="582" t="s">
        <v>3013</v>
      </c>
    </row>
    <row r="827" spans="1:42" s="1430" customFormat="1" ht="14.25" customHeight="1">
      <c r="A827" s="1431"/>
    </row>
    <row r="828" spans="1:42" s="1430" customFormat="1" ht="27" customHeight="1">
      <c r="A828" s="1431"/>
      <c r="D828" s="2083" t="s">
        <v>1735</v>
      </c>
      <c r="E828" s="2083"/>
      <c r="F828" s="2083"/>
      <c r="G828" s="2083"/>
      <c r="H828" s="2083"/>
      <c r="I828" s="2083"/>
      <c r="J828" s="2083"/>
      <c r="K828" s="2083"/>
      <c r="L828" s="2083"/>
      <c r="M828" s="2083"/>
      <c r="N828" s="2083"/>
      <c r="O828" s="2083"/>
      <c r="P828" s="2083"/>
      <c r="Q828" s="2083"/>
      <c r="R828" s="2083"/>
      <c r="S828" s="2083"/>
      <c r="T828" s="2083"/>
      <c r="U828" s="2083"/>
      <c r="V828" s="2083"/>
      <c r="W828" s="2083"/>
      <c r="X828" s="2083"/>
      <c r="Y828" s="2083"/>
      <c r="Z828" s="2083"/>
      <c r="AA828" s="2083"/>
      <c r="AB828" s="2083"/>
      <c r="AC828" s="2083"/>
      <c r="AD828" s="2083"/>
      <c r="AE828" s="2083"/>
      <c r="AF828" s="2083"/>
      <c r="AG828" s="2083"/>
    </row>
    <row r="829" spans="1:42" s="1430" customFormat="1" ht="14.25" customHeight="1" thickBot="1">
      <c r="A829" s="1431"/>
    </row>
    <row r="830" spans="1:42" s="1430" customFormat="1" ht="14.25" customHeight="1" thickBot="1">
      <c r="A830" s="1431"/>
      <c r="D830" s="1859" t="s">
        <v>387</v>
      </c>
      <c r="E830" s="1859"/>
      <c r="F830" s="1859"/>
      <c r="G830" s="1859"/>
      <c r="H830" s="1859"/>
      <c r="I830" s="1859"/>
      <c r="J830" s="1859"/>
      <c r="K830" s="1859"/>
      <c r="L830" s="1859"/>
      <c r="M830" s="1838" t="s">
        <v>388</v>
      </c>
      <c r="N830" s="1838"/>
      <c r="O830" s="1838"/>
      <c r="P830" s="1838"/>
      <c r="Q830" s="1838"/>
      <c r="R830" s="1838" t="s">
        <v>389</v>
      </c>
      <c r="S830" s="1838"/>
      <c r="T830" s="1838"/>
      <c r="U830" s="1838"/>
      <c r="V830" s="1838"/>
      <c r="W830" s="1838"/>
      <c r="X830" s="1838"/>
      <c r="Y830" s="1838"/>
      <c r="Z830" s="1838"/>
      <c r="AA830" s="1838"/>
      <c r="AB830" s="1838"/>
      <c r="AC830" s="1838"/>
      <c r="AD830" s="1838"/>
      <c r="AE830" s="1838"/>
      <c r="AF830" s="1838"/>
      <c r="AG830" s="1838"/>
    </row>
    <row r="831" spans="1:42" s="1430" customFormat="1" ht="26.25" customHeight="1" thickBot="1">
      <c r="A831" s="1431"/>
      <c r="D831" s="1859"/>
      <c r="E831" s="1859"/>
      <c r="F831" s="1859"/>
      <c r="G831" s="1859"/>
      <c r="H831" s="1859"/>
      <c r="I831" s="1859"/>
      <c r="J831" s="1859"/>
      <c r="K831" s="1859"/>
      <c r="L831" s="1859"/>
      <c r="M831" s="1838"/>
      <c r="N831" s="1838"/>
      <c r="O831" s="1838"/>
      <c r="P831" s="1838"/>
      <c r="Q831" s="1838"/>
      <c r="R831" s="1838" t="s">
        <v>2</v>
      </c>
      <c r="S831" s="1838"/>
      <c r="T831" s="1838"/>
      <c r="U831" s="1838"/>
      <c r="V831" s="1838"/>
      <c r="W831" s="1838"/>
      <c r="X831" s="1838"/>
      <c r="Y831" s="1838"/>
      <c r="Z831" s="1838" t="s">
        <v>390</v>
      </c>
      <c r="AA831" s="1838"/>
      <c r="AB831" s="1838"/>
      <c r="AC831" s="1838"/>
      <c r="AD831" s="1838"/>
      <c r="AE831" s="1838"/>
      <c r="AF831" s="1838"/>
      <c r="AG831" s="1838"/>
    </row>
    <row r="832" spans="1:42" s="1430" customFormat="1" ht="18.75" customHeight="1">
      <c r="A832" s="1431"/>
      <c r="D832" s="2260" t="s">
        <v>2776</v>
      </c>
      <c r="E832" s="2261"/>
      <c r="F832" s="2261"/>
      <c r="G832" s="2261"/>
      <c r="H832" s="2261"/>
      <c r="I832" s="2261"/>
      <c r="J832" s="2261"/>
      <c r="K832" s="2261"/>
      <c r="L832" s="2262"/>
      <c r="M832" s="2196">
        <v>1</v>
      </c>
      <c r="N832" s="2196"/>
      <c r="O832" s="2196"/>
      <c r="P832" s="2196"/>
      <c r="Q832" s="2196"/>
      <c r="R832" s="2190">
        <v>283032</v>
      </c>
      <c r="S832" s="2191"/>
      <c r="T832" s="2191"/>
      <c r="U832" s="2191"/>
      <c r="V832" s="2191"/>
      <c r="W832" s="2191"/>
      <c r="X832" s="2191"/>
      <c r="Y832" s="2192"/>
      <c r="Z832" s="2190">
        <v>143414</v>
      </c>
      <c r="AA832" s="2191"/>
      <c r="AB832" s="2191"/>
      <c r="AC832" s="2191"/>
      <c r="AD832" s="2191"/>
      <c r="AE832" s="2191"/>
      <c r="AF832" s="2191"/>
      <c r="AG832" s="2192"/>
    </row>
    <row r="833" spans="1:41" s="1430" customFormat="1" ht="18.75" customHeight="1">
      <c r="A833" s="1431"/>
      <c r="D833" s="1890" t="s">
        <v>2776</v>
      </c>
      <c r="E833" s="1891"/>
      <c r="F833" s="1891"/>
      <c r="G833" s="1891"/>
      <c r="H833" s="1891"/>
      <c r="I833" s="1891"/>
      <c r="J833" s="1891"/>
      <c r="K833" s="1891"/>
      <c r="L833" s="1892"/>
      <c r="M833" s="2157">
        <v>2</v>
      </c>
      <c r="N833" s="2157"/>
      <c r="O833" s="2157"/>
      <c r="P833" s="2157"/>
      <c r="Q833" s="2157"/>
      <c r="R833" s="2193">
        <v>1054240</v>
      </c>
      <c r="S833" s="2194"/>
      <c r="T833" s="2194"/>
      <c r="U833" s="2194"/>
      <c r="V833" s="2194"/>
      <c r="W833" s="2194"/>
      <c r="X833" s="2194"/>
      <c r="Y833" s="2195"/>
      <c r="Z833" s="2193">
        <v>1440920</v>
      </c>
      <c r="AA833" s="2194"/>
      <c r="AB833" s="2194"/>
      <c r="AC833" s="2194"/>
      <c r="AD833" s="2194"/>
      <c r="AE833" s="2194"/>
      <c r="AF833" s="2194"/>
      <c r="AG833" s="2195"/>
    </row>
    <row r="834" spans="1:41" s="1430" customFormat="1" ht="23.25" customHeight="1">
      <c r="A834" s="1431"/>
      <c r="D834" s="2263" t="s">
        <v>2776</v>
      </c>
      <c r="E834" s="2264"/>
      <c r="F834" s="2264"/>
      <c r="G834" s="2264"/>
      <c r="H834" s="2264"/>
      <c r="I834" s="2264"/>
      <c r="J834" s="2264"/>
      <c r="K834" s="2264"/>
      <c r="L834" s="2265"/>
      <c r="M834" s="2273" t="s">
        <v>2938</v>
      </c>
      <c r="N834" s="2273"/>
      <c r="O834" s="2273"/>
      <c r="P834" s="2273"/>
      <c r="Q834" s="2273"/>
      <c r="R834" s="1835">
        <v>134342</v>
      </c>
      <c r="S834" s="1835"/>
      <c r="T834" s="1835"/>
      <c r="U834" s="1835"/>
      <c r="V834" s="1835"/>
      <c r="W834" s="1835"/>
      <c r="X834" s="1835"/>
      <c r="Y834" s="1835"/>
      <c r="Z834" s="1835">
        <v>83568</v>
      </c>
      <c r="AA834" s="1835"/>
      <c r="AB834" s="1835"/>
      <c r="AC834" s="1835"/>
      <c r="AD834" s="1835"/>
      <c r="AE834" s="1835"/>
      <c r="AF834" s="1835"/>
      <c r="AG834" s="1835"/>
    </row>
    <row r="835" spans="1:41" s="1430" customFormat="1" ht="18.75" customHeight="1">
      <c r="A835" s="1431"/>
      <c r="D835" s="2263" t="s">
        <v>2776</v>
      </c>
      <c r="E835" s="2264"/>
      <c r="F835" s="2264"/>
      <c r="G835" s="2264"/>
      <c r="H835" s="2264"/>
      <c r="I835" s="2264"/>
      <c r="J835" s="2264"/>
      <c r="K835" s="2264"/>
      <c r="L835" s="2265"/>
      <c r="M835" s="2273" t="s">
        <v>2939</v>
      </c>
      <c r="N835" s="2273"/>
      <c r="O835" s="2273"/>
      <c r="P835" s="2273"/>
      <c r="Q835" s="2273"/>
      <c r="R835" s="1835">
        <v>19992</v>
      </c>
      <c r="S835" s="1835"/>
      <c r="T835" s="1835"/>
      <c r="U835" s="1835"/>
      <c r="V835" s="1835"/>
      <c r="W835" s="1835"/>
      <c r="X835" s="1835"/>
      <c r="Y835" s="1835"/>
      <c r="Z835" s="1835">
        <v>4427</v>
      </c>
      <c r="AA835" s="1835"/>
      <c r="AB835" s="1835"/>
      <c r="AC835" s="1835"/>
      <c r="AD835" s="1835"/>
      <c r="AE835" s="1835"/>
      <c r="AF835" s="1835"/>
      <c r="AG835" s="1835"/>
    </row>
    <row r="836" spans="1:41" s="1430" customFormat="1" ht="18.75" customHeight="1">
      <c r="A836" s="1431"/>
      <c r="D836" s="2157"/>
      <c r="E836" s="2157"/>
      <c r="F836" s="2157"/>
      <c r="G836" s="2157"/>
      <c r="H836" s="2157"/>
      <c r="I836" s="2157"/>
      <c r="J836" s="2157"/>
      <c r="K836" s="2157"/>
      <c r="L836" s="2157"/>
      <c r="M836" s="2157"/>
      <c r="N836" s="2157"/>
      <c r="O836" s="2157"/>
      <c r="P836" s="2157"/>
      <c r="Q836" s="2157"/>
      <c r="R836" s="1842"/>
      <c r="S836" s="1842"/>
      <c r="T836" s="1842"/>
      <c r="U836" s="1842"/>
      <c r="V836" s="1842"/>
      <c r="W836" s="1842"/>
      <c r="X836" s="1842"/>
      <c r="Y836" s="1842"/>
      <c r="Z836" s="1842"/>
      <c r="AA836" s="1842"/>
      <c r="AB836" s="1842"/>
      <c r="AC836" s="1842"/>
      <c r="AD836" s="1842"/>
      <c r="AE836" s="1842"/>
      <c r="AF836" s="1842"/>
      <c r="AG836" s="1842"/>
    </row>
    <row r="837" spans="1:41" s="1430" customFormat="1" ht="18.75" customHeight="1">
      <c r="A837" s="1431"/>
      <c r="D837" s="2157"/>
      <c r="E837" s="2157"/>
      <c r="F837" s="2157"/>
      <c r="G837" s="2157"/>
      <c r="H837" s="2157"/>
      <c r="I837" s="2157"/>
      <c r="J837" s="2157"/>
      <c r="K837" s="2157"/>
      <c r="L837" s="2157"/>
      <c r="M837" s="2157"/>
      <c r="N837" s="2157"/>
      <c r="O837" s="2157"/>
      <c r="P837" s="2157"/>
      <c r="Q837" s="2157"/>
      <c r="R837" s="1842"/>
      <c r="S837" s="1842"/>
      <c r="T837" s="1842"/>
      <c r="U837" s="1842"/>
      <c r="V837" s="1842"/>
      <c r="W837" s="1842"/>
      <c r="X837" s="1842"/>
      <c r="Y837" s="1842"/>
      <c r="Z837" s="1842"/>
      <c r="AA837" s="1842"/>
      <c r="AB837" s="1842"/>
      <c r="AC837" s="1842"/>
      <c r="AD837" s="1842"/>
      <c r="AE837" s="1842"/>
      <c r="AF837" s="1842"/>
      <c r="AG837" s="1842"/>
    </row>
    <row r="838" spans="1:41" s="1430" customFormat="1" ht="18.75" customHeight="1">
      <c r="A838" s="1431"/>
      <c r="D838" s="2157"/>
      <c r="E838" s="2157"/>
      <c r="F838" s="2157"/>
      <c r="G838" s="2157"/>
      <c r="H838" s="2157"/>
      <c r="I838" s="2157"/>
      <c r="J838" s="2157"/>
      <c r="K838" s="2157"/>
      <c r="L838" s="2157"/>
      <c r="M838" s="2157"/>
      <c r="N838" s="2157"/>
      <c r="O838" s="2157"/>
      <c r="P838" s="2157"/>
      <c r="Q838" s="2157"/>
      <c r="R838" s="1842"/>
      <c r="S838" s="1842"/>
      <c r="T838" s="1842"/>
      <c r="U838" s="1842"/>
      <c r="V838" s="1842"/>
      <c r="W838" s="1842"/>
      <c r="X838" s="1842"/>
      <c r="Y838" s="1842"/>
      <c r="Z838" s="1842"/>
      <c r="AA838" s="1842"/>
      <c r="AB838" s="1842"/>
      <c r="AC838" s="1842"/>
      <c r="AD838" s="1842"/>
      <c r="AE838" s="1842"/>
      <c r="AF838" s="1842"/>
      <c r="AG838" s="1842"/>
    </row>
    <row r="839" spans="1:41" s="1430" customFormat="1" ht="18.75" customHeight="1">
      <c r="A839" s="1431"/>
      <c r="D839" s="2157"/>
      <c r="E839" s="2157"/>
      <c r="F839" s="2157"/>
      <c r="G839" s="2157"/>
      <c r="H839" s="2157"/>
      <c r="I839" s="2157"/>
      <c r="J839" s="2157"/>
      <c r="K839" s="2157"/>
      <c r="L839" s="2157"/>
      <c r="M839" s="2157"/>
      <c r="N839" s="2157"/>
      <c r="O839" s="2157"/>
      <c r="P839" s="2157"/>
      <c r="Q839" s="2157"/>
      <c r="R839" s="1842"/>
      <c r="S839" s="1842"/>
      <c r="T839" s="1842"/>
      <c r="U839" s="1842"/>
      <c r="V839" s="1842"/>
      <c r="W839" s="1842"/>
      <c r="X839" s="1842"/>
      <c r="Y839" s="1842"/>
      <c r="Z839" s="1842"/>
      <c r="AA839" s="1842"/>
      <c r="AB839" s="1842"/>
      <c r="AC839" s="1842"/>
      <c r="AD839" s="1842"/>
      <c r="AE839" s="1842"/>
      <c r="AF839" s="1842"/>
      <c r="AG839" s="1842"/>
    </row>
    <row r="840" spans="1:41" s="1430" customFormat="1" ht="18.75" customHeight="1">
      <c r="A840" s="1431"/>
      <c r="D840" s="2157"/>
      <c r="E840" s="2157"/>
      <c r="F840" s="2157"/>
      <c r="G840" s="2157"/>
      <c r="H840" s="2157"/>
      <c r="I840" s="2157"/>
      <c r="J840" s="2157"/>
      <c r="K840" s="2157"/>
      <c r="L840" s="2157"/>
      <c r="M840" s="2157"/>
      <c r="N840" s="2157"/>
      <c r="O840" s="2157"/>
      <c r="P840" s="2157"/>
      <c r="Q840" s="2157"/>
      <c r="R840" s="1842"/>
      <c r="S840" s="1842"/>
      <c r="T840" s="1842"/>
      <c r="U840" s="1842"/>
      <c r="V840" s="1842"/>
      <c r="W840" s="1842"/>
      <c r="X840" s="1842"/>
      <c r="Y840" s="1842"/>
      <c r="Z840" s="1842"/>
      <c r="AA840" s="1842"/>
      <c r="AB840" s="1842"/>
      <c r="AC840" s="1842"/>
      <c r="AD840" s="1842"/>
      <c r="AE840" s="1842"/>
      <c r="AF840" s="1842"/>
      <c r="AG840" s="1842"/>
    </row>
    <row r="841" spans="1:41" s="1430" customFormat="1" ht="18.75" customHeight="1" thickBot="1">
      <c r="A841" s="1431"/>
      <c r="D841" s="2189"/>
      <c r="E841" s="2189"/>
      <c r="F841" s="2189"/>
      <c r="G841" s="2189"/>
      <c r="H841" s="2189"/>
      <c r="I841" s="2189"/>
      <c r="J841" s="2189"/>
      <c r="K841" s="2189"/>
      <c r="L841" s="2189"/>
      <c r="M841" s="2189"/>
      <c r="N841" s="2189"/>
      <c r="O841" s="2189"/>
      <c r="P841" s="2189"/>
      <c r="Q841" s="2189"/>
      <c r="R841" s="2085"/>
      <c r="S841" s="2085"/>
      <c r="T841" s="2085"/>
      <c r="U841" s="2085"/>
      <c r="V841" s="2085"/>
      <c r="W841" s="2085"/>
      <c r="X841" s="2085"/>
      <c r="Y841" s="2085"/>
      <c r="Z841" s="2085"/>
      <c r="AA841" s="2085"/>
      <c r="AB841" s="2085"/>
      <c r="AC841" s="2085"/>
      <c r="AD841" s="2085"/>
      <c r="AE841" s="2085"/>
      <c r="AF841" s="2085"/>
      <c r="AG841" s="2085"/>
    </row>
    <row r="842" spans="1:41" s="1430" customFormat="1" ht="14.25" customHeight="1">
      <c r="A842" s="1431"/>
    </row>
    <row r="843" spans="1:41" s="1430" customFormat="1" ht="22.5" customHeight="1">
      <c r="A843" s="1431"/>
      <c r="D843" s="2270" t="s">
        <v>2777</v>
      </c>
      <c r="E843" s="2271"/>
      <c r="F843" s="2271"/>
      <c r="G843" s="2271"/>
      <c r="H843" s="2271"/>
      <c r="I843" s="2271"/>
      <c r="J843" s="2271"/>
      <c r="K843" s="2271"/>
      <c r="L843" s="2271"/>
      <c r="M843" s="2271"/>
      <c r="N843" s="2271"/>
      <c r="O843" s="2271"/>
      <c r="P843" s="2271"/>
      <c r="Q843" s="2271"/>
      <c r="R843" s="2271"/>
      <c r="S843" s="2271"/>
      <c r="T843" s="2271"/>
      <c r="U843" s="2271"/>
      <c r="V843" s="2271"/>
      <c r="W843" s="2271"/>
      <c r="X843" s="2271"/>
      <c r="Y843" s="2271"/>
      <c r="Z843" s="2271"/>
      <c r="AA843" s="2271"/>
      <c r="AB843" s="2271"/>
      <c r="AC843" s="2271"/>
      <c r="AD843" s="2271"/>
      <c r="AE843" s="2271"/>
      <c r="AF843" s="2271"/>
      <c r="AG843" s="2271"/>
    </row>
    <row r="844" spans="1:41" s="1430" customFormat="1" ht="14.25" customHeight="1">
      <c r="A844" s="1431"/>
    </row>
    <row r="845" spans="1:41" s="1430" customFormat="1" ht="14.25" customHeight="1">
      <c r="A845" s="1431"/>
      <c r="D845" s="2274" t="s">
        <v>3014</v>
      </c>
      <c r="E845" s="2274"/>
      <c r="F845" s="2274"/>
      <c r="G845" s="2274"/>
      <c r="H845" s="2274"/>
      <c r="I845" s="2274"/>
      <c r="J845" s="2274"/>
      <c r="K845" s="2274"/>
      <c r="L845" s="2274"/>
      <c r="M845" s="2274"/>
      <c r="N845" s="2274"/>
      <c r="O845" s="2274"/>
      <c r="P845" s="2274"/>
      <c r="Q845" s="2274"/>
      <c r="R845" s="2274"/>
      <c r="S845" s="2274"/>
      <c r="T845" s="2274"/>
      <c r="U845" s="2274"/>
      <c r="V845" s="2274"/>
      <c r="W845" s="2274"/>
      <c r="X845" s="2274"/>
      <c r="Y845" s="2274"/>
      <c r="Z845" s="2274"/>
      <c r="AA845" s="2274"/>
      <c r="AB845" s="2274"/>
      <c r="AC845" s="2274"/>
      <c r="AD845" s="2274"/>
      <c r="AE845" s="2274"/>
      <c r="AF845" s="2274"/>
      <c r="AG845" s="2274"/>
    </row>
    <row r="846" spans="1:41" s="1430" customFormat="1" ht="14.25" customHeight="1" thickBot="1">
      <c r="A846" s="1431"/>
    </row>
    <row r="847" spans="1:41" s="1430" customFormat="1" ht="14.25" customHeight="1" thickBot="1">
      <c r="A847" s="1431"/>
      <c r="D847" s="1859" t="s">
        <v>465</v>
      </c>
      <c r="E847" s="1859"/>
      <c r="F847" s="1859"/>
      <c r="G847" s="1859"/>
      <c r="H847" s="1859"/>
      <c r="I847" s="1859"/>
      <c r="J847" s="1859"/>
      <c r="K847" s="1859"/>
      <c r="L847" s="1859"/>
      <c r="M847" s="1859"/>
      <c r="N847" s="1859" t="s">
        <v>2</v>
      </c>
      <c r="O847" s="1859"/>
      <c r="P847" s="1859"/>
      <c r="Q847" s="1859"/>
      <c r="R847" s="1859"/>
      <c r="S847" s="1859"/>
      <c r="T847" s="1859"/>
      <c r="U847" s="1859"/>
      <c r="V847" s="1859"/>
      <c r="W847" s="1859"/>
      <c r="X847" s="1859"/>
      <c r="Y847" s="1859"/>
      <c r="Z847" s="1859"/>
      <c r="AA847" s="1859"/>
      <c r="AB847" s="1859"/>
      <c r="AC847" s="1859"/>
      <c r="AD847" s="1859"/>
      <c r="AE847" s="1859"/>
      <c r="AF847" s="1859"/>
      <c r="AG847" s="1859"/>
    </row>
    <row r="848" spans="1:41" s="1430" customFormat="1" ht="35.25" customHeight="1" thickTop="1" thickBot="1">
      <c r="A848" s="1431"/>
      <c r="D848" s="1859"/>
      <c r="E848" s="1859"/>
      <c r="F848" s="1859"/>
      <c r="G848" s="1859"/>
      <c r="H848" s="1859"/>
      <c r="I848" s="1859"/>
      <c r="J848" s="1859"/>
      <c r="K848" s="1859"/>
      <c r="L848" s="1859"/>
      <c r="M848" s="1859"/>
      <c r="N848" s="1838" t="s">
        <v>2007</v>
      </c>
      <c r="O848" s="1838"/>
      <c r="P848" s="1838"/>
      <c r="Q848" s="1838"/>
      <c r="R848" s="1838" t="s">
        <v>27</v>
      </c>
      <c r="S848" s="1838"/>
      <c r="T848" s="1838"/>
      <c r="U848" s="1838"/>
      <c r="V848" s="1838" t="s">
        <v>28</v>
      </c>
      <c r="W848" s="1838"/>
      <c r="X848" s="1838"/>
      <c r="Y848" s="1838"/>
      <c r="Z848" s="1838" t="s">
        <v>29</v>
      </c>
      <c r="AA848" s="1838"/>
      <c r="AB848" s="1838"/>
      <c r="AC848" s="1838"/>
      <c r="AD848" s="1838" t="s">
        <v>392</v>
      </c>
      <c r="AE848" s="1838"/>
      <c r="AF848" s="1838"/>
      <c r="AG848" s="1838"/>
      <c r="AL848" s="1423" t="s">
        <v>472</v>
      </c>
      <c r="AM848" s="1423" t="s">
        <v>392</v>
      </c>
      <c r="AO848" s="1423" t="s">
        <v>392</v>
      </c>
    </row>
    <row r="849" spans="1:41" s="1430" customFormat="1" ht="19.899999999999999" customHeight="1">
      <c r="A849" s="1431"/>
      <c r="D849" s="2259" t="s">
        <v>393</v>
      </c>
      <c r="E849" s="2259"/>
      <c r="F849" s="2259"/>
      <c r="G849" s="2259"/>
      <c r="H849" s="2259"/>
      <c r="I849" s="2259"/>
      <c r="J849" s="2259"/>
      <c r="K849" s="2259"/>
      <c r="L849" s="2259"/>
      <c r="M849" s="2259"/>
      <c r="N849" s="2049">
        <v>2506390</v>
      </c>
      <c r="O849" s="2049"/>
      <c r="P849" s="2049"/>
      <c r="Q849" s="2049"/>
      <c r="R849" s="2050">
        <v>0</v>
      </c>
      <c r="S849" s="2050"/>
      <c r="T849" s="2050"/>
      <c r="U849" s="2050"/>
      <c r="V849" s="2050">
        <v>0</v>
      </c>
      <c r="W849" s="2050"/>
      <c r="X849" s="2050"/>
      <c r="Y849" s="2050"/>
      <c r="Z849" s="2050">
        <v>0</v>
      </c>
      <c r="AA849" s="2050"/>
      <c r="AB849" s="2050"/>
      <c r="AC849" s="2050"/>
      <c r="AD849" s="1888">
        <f>SUM(N849:AC849)</f>
        <v>2506390</v>
      </c>
      <c r="AE849" s="1888"/>
      <c r="AF849" s="1888"/>
      <c r="AG849" s="1888"/>
      <c r="AL849" s="1458">
        <f>N849-AD869</f>
        <v>0</v>
      </c>
      <c r="AM849" s="1459">
        <f>SUM(N849:AC849)-AD849</f>
        <v>0</v>
      </c>
      <c r="AO849" s="1460">
        <f>AD849-BS!$D$97</f>
        <v>0</v>
      </c>
    </row>
    <row r="850" spans="1:41" s="1430" customFormat="1" ht="19.899999999999999" customHeight="1">
      <c r="A850" s="1431"/>
      <c r="D850" s="1845" t="s">
        <v>466</v>
      </c>
      <c r="E850" s="1845"/>
      <c r="F850" s="1845"/>
      <c r="G850" s="1845"/>
      <c r="H850" s="1845"/>
      <c r="I850" s="1845"/>
      <c r="J850" s="1845"/>
      <c r="K850" s="1845"/>
      <c r="L850" s="1845"/>
      <c r="M850" s="1845"/>
      <c r="N850" s="1842">
        <v>0</v>
      </c>
      <c r="O850" s="1842"/>
      <c r="P850" s="1842"/>
      <c r="Q850" s="1842"/>
      <c r="R850" s="1835">
        <v>0</v>
      </c>
      <c r="S850" s="1835"/>
      <c r="T850" s="1835"/>
      <c r="U850" s="1835"/>
      <c r="V850" s="1835">
        <v>0</v>
      </c>
      <c r="W850" s="1835"/>
      <c r="X850" s="1835"/>
      <c r="Y850" s="1835"/>
      <c r="Z850" s="1835">
        <v>0</v>
      </c>
      <c r="AA850" s="1835"/>
      <c r="AB850" s="1835"/>
      <c r="AC850" s="1835"/>
      <c r="AD850" s="1843">
        <f t="shared" ref="AD850:AD862" si="164">SUM(N850:AC850)</f>
        <v>0</v>
      </c>
      <c r="AE850" s="1843"/>
      <c r="AF850" s="1843"/>
      <c r="AG850" s="1843"/>
      <c r="AL850" s="1461">
        <f>N850-AD871</f>
        <v>0</v>
      </c>
      <c r="AM850" s="1452">
        <f t="shared" ref="AM850:AM863" si="165">SUM(N850:AC850)-AD850</f>
        <v>0</v>
      </c>
      <c r="AO850" s="1462">
        <f>AD850-BS!$D$98</f>
        <v>0</v>
      </c>
    </row>
    <row r="851" spans="1:41" s="1430" customFormat="1" ht="19.899999999999999" customHeight="1">
      <c r="A851" s="1431"/>
      <c r="D851" s="1845" t="s">
        <v>467</v>
      </c>
      <c r="E851" s="1845"/>
      <c r="F851" s="1845"/>
      <c r="G851" s="1845"/>
      <c r="H851" s="1845"/>
      <c r="I851" s="1845"/>
      <c r="J851" s="1845"/>
      <c r="K851" s="1845"/>
      <c r="L851" s="1845"/>
      <c r="M851" s="1845"/>
      <c r="N851" s="1842">
        <v>0</v>
      </c>
      <c r="O851" s="1842"/>
      <c r="P851" s="1842"/>
      <c r="Q851" s="1842"/>
      <c r="R851" s="1835">
        <v>0</v>
      </c>
      <c r="S851" s="1835"/>
      <c r="T851" s="1835"/>
      <c r="U851" s="1835"/>
      <c r="V851" s="1835">
        <v>0</v>
      </c>
      <c r="W851" s="1835"/>
      <c r="X851" s="1835"/>
      <c r="Y851" s="1835"/>
      <c r="Z851" s="1835">
        <v>0</v>
      </c>
      <c r="AA851" s="1835"/>
      <c r="AB851" s="1835"/>
      <c r="AC851" s="1835"/>
      <c r="AD851" s="1843">
        <f t="shared" si="164"/>
        <v>0</v>
      </c>
      <c r="AE851" s="1843"/>
      <c r="AF851" s="1843"/>
      <c r="AG851" s="1843"/>
      <c r="AL851" s="1461">
        <f>N851-AD872</f>
        <v>0</v>
      </c>
      <c r="AM851" s="1452">
        <f t="shared" si="165"/>
        <v>0</v>
      </c>
      <c r="AO851" s="1462">
        <f>AD851-BS!$D$99</f>
        <v>0</v>
      </c>
    </row>
    <row r="852" spans="1:41" s="1430" customFormat="1" ht="19.899999999999999" customHeight="1">
      <c r="A852" s="1431"/>
      <c r="D852" s="1845" t="s">
        <v>395</v>
      </c>
      <c r="E852" s="1845"/>
      <c r="F852" s="1845"/>
      <c r="G852" s="1845"/>
      <c r="H852" s="1845"/>
      <c r="I852" s="1845"/>
      <c r="J852" s="1845"/>
      <c r="K852" s="1845"/>
      <c r="L852" s="1845"/>
      <c r="M852" s="1845"/>
      <c r="N852" s="1842">
        <v>0</v>
      </c>
      <c r="O852" s="1842"/>
      <c r="P852" s="1842"/>
      <c r="Q852" s="1842"/>
      <c r="R852" s="1835">
        <v>0</v>
      </c>
      <c r="S852" s="1835"/>
      <c r="T852" s="1835"/>
      <c r="U852" s="1835"/>
      <c r="V852" s="1835">
        <v>0</v>
      </c>
      <c r="W852" s="1835"/>
      <c r="X852" s="1835"/>
      <c r="Y852" s="1835"/>
      <c r="Z852" s="1835">
        <v>0</v>
      </c>
      <c r="AA852" s="1835"/>
      <c r="AB852" s="1835"/>
      <c r="AC852" s="1835"/>
      <c r="AD852" s="1843">
        <f t="shared" si="164"/>
        <v>0</v>
      </c>
      <c r="AE852" s="1843"/>
      <c r="AF852" s="1843"/>
      <c r="AG852" s="1843"/>
      <c r="AL852" s="1461">
        <f>N852-AD873</f>
        <v>-664</v>
      </c>
      <c r="AM852" s="1452">
        <f t="shared" si="165"/>
        <v>0</v>
      </c>
      <c r="AO852" s="1462">
        <f>AD852-BS!$D$100</f>
        <v>0</v>
      </c>
    </row>
    <row r="853" spans="1:41" s="1430" customFormat="1" ht="19.899999999999999" customHeight="1">
      <c r="A853" s="1431"/>
      <c r="D853" s="1845" t="s">
        <v>396</v>
      </c>
      <c r="E853" s="1845"/>
      <c r="F853" s="1845"/>
      <c r="G853" s="1845"/>
      <c r="H853" s="1845"/>
      <c r="I853" s="1845"/>
      <c r="J853" s="1845"/>
      <c r="K853" s="1845"/>
      <c r="L853" s="1845"/>
      <c r="M853" s="1845"/>
      <c r="N853" s="1842">
        <v>664</v>
      </c>
      <c r="O853" s="1842"/>
      <c r="P853" s="1842"/>
      <c r="Q853" s="1842"/>
      <c r="R853" s="1835">
        <v>0</v>
      </c>
      <c r="S853" s="1835"/>
      <c r="T853" s="1835"/>
      <c r="U853" s="1835"/>
      <c r="V853" s="1835">
        <v>0</v>
      </c>
      <c r="W853" s="1835"/>
      <c r="X853" s="1835"/>
      <c r="Y853" s="1835"/>
      <c r="Z853" s="1835">
        <v>0</v>
      </c>
      <c r="AA853" s="1835"/>
      <c r="AB853" s="1835"/>
      <c r="AC853" s="1835"/>
      <c r="AD853" s="1843">
        <f t="shared" si="164"/>
        <v>664</v>
      </c>
      <c r="AE853" s="1843"/>
      <c r="AF853" s="1843"/>
      <c r="AG853" s="1843"/>
      <c r="AL853" s="1461">
        <f>N853-AD874</f>
        <v>-86538</v>
      </c>
      <c r="AM853" s="1452">
        <f t="shared" si="165"/>
        <v>0</v>
      </c>
      <c r="AO853" s="1462">
        <f>AD853-BS!$D$101</f>
        <v>664</v>
      </c>
    </row>
    <row r="854" spans="1:41" s="1430" customFormat="1" ht="19.899999999999999" customHeight="1">
      <c r="A854" s="1431"/>
      <c r="D854" s="1845" t="s">
        <v>2991</v>
      </c>
      <c r="E854" s="1845"/>
      <c r="F854" s="1845"/>
      <c r="G854" s="1845"/>
      <c r="H854" s="1845"/>
      <c r="I854" s="1845"/>
      <c r="J854" s="1845"/>
      <c r="K854" s="1845"/>
      <c r="L854" s="1845"/>
      <c r="M854" s="1845"/>
      <c r="N854" s="1842">
        <v>87202</v>
      </c>
      <c r="O854" s="1842"/>
      <c r="P854" s="1842"/>
      <c r="Q854" s="1842"/>
      <c r="R854" s="1835">
        <v>0</v>
      </c>
      <c r="S854" s="1835"/>
      <c r="T854" s="1835"/>
      <c r="U854" s="1835"/>
      <c r="V854" s="1835">
        <v>0</v>
      </c>
      <c r="W854" s="1835"/>
      <c r="X854" s="1835"/>
      <c r="Y854" s="1835"/>
      <c r="Z854" s="1835">
        <v>19705</v>
      </c>
      <c r="AA854" s="1835"/>
      <c r="AB854" s="1835"/>
      <c r="AC854" s="1835"/>
      <c r="AD854" s="1843">
        <f t="shared" si="164"/>
        <v>106907</v>
      </c>
      <c r="AE854" s="1843"/>
      <c r="AF854" s="1843"/>
      <c r="AG854" s="1843"/>
      <c r="AL854" s="1461">
        <f>N854-AD875</f>
        <v>87202</v>
      </c>
      <c r="AM854" s="1452">
        <f t="shared" si="165"/>
        <v>0</v>
      </c>
      <c r="AO854" s="1462">
        <f>AD854-BS!$D$104</f>
        <v>106907</v>
      </c>
    </row>
    <row r="855" spans="1:41" s="1430" customFormat="1" ht="19.899999999999999" customHeight="1">
      <c r="A855" s="1537"/>
      <c r="D855" s="1829" t="s">
        <v>2993</v>
      </c>
      <c r="E855" s="2047"/>
      <c r="F855" s="2047"/>
      <c r="G855" s="2047"/>
      <c r="H855" s="2047"/>
      <c r="I855" s="2047"/>
      <c r="J855" s="2047"/>
      <c r="K855" s="2047"/>
      <c r="L855" s="2047"/>
      <c r="M855" s="2048"/>
      <c r="N855" s="1893">
        <v>0</v>
      </c>
      <c r="O855" s="1894"/>
      <c r="P855" s="1894"/>
      <c r="Q855" s="1895"/>
      <c r="R855" s="1875">
        <v>0</v>
      </c>
      <c r="S855" s="1876"/>
      <c r="T855" s="1876"/>
      <c r="U855" s="1877"/>
      <c r="V855" s="1875">
        <v>0</v>
      </c>
      <c r="W855" s="1876"/>
      <c r="X855" s="1876"/>
      <c r="Y855" s="1877"/>
      <c r="Z855" s="1875">
        <v>0</v>
      </c>
      <c r="AA855" s="1876"/>
      <c r="AB855" s="1876"/>
      <c r="AC855" s="1877"/>
      <c r="AD855" s="1896">
        <f>SUM(N855:AC855)</f>
        <v>0</v>
      </c>
      <c r="AE855" s="1897"/>
      <c r="AF855" s="1897"/>
      <c r="AG855" s="1898"/>
      <c r="AL855" s="1461"/>
      <c r="AM855" s="1452"/>
      <c r="AO855" s="1462"/>
    </row>
    <row r="856" spans="1:41" s="1430" customFormat="1" ht="19.899999999999999" customHeight="1">
      <c r="A856" s="1537"/>
      <c r="D856" s="1845" t="s">
        <v>2994</v>
      </c>
      <c r="E856" s="1845"/>
      <c r="F856" s="1845"/>
      <c r="G856" s="1845"/>
      <c r="H856" s="1845"/>
      <c r="I856" s="1845"/>
      <c r="J856" s="1845"/>
      <c r="K856" s="1845"/>
      <c r="L856" s="1845"/>
      <c r="M856" s="1845"/>
      <c r="N856" s="1842">
        <v>0</v>
      </c>
      <c r="O856" s="1842"/>
      <c r="P856" s="1842"/>
      <c r="Q856" s="1842"/>
      <c r="R856" s="1835">
        <v>0</v>
      </c>
      <c r="S856" s="1835"/>
      <c r="T856" s="1835"/>
      <c r="U856" s="1835"/>
      <c r="V856" s="1835">
        <v>0</v>
      </c>
      <c r="W856" s="1835"/>
      <c r="X856" s="1835"/>
      <c r="Y856" s="1835"/>
      <c r="Z856" s="1835">
        <v>0</v>
      </c>
      <c r="AA856" s="1835"/>
      <c r="AB856" s="1835"/>
      <c r="AC856" s="1835"/>
      <c r="AD856" s="1843">
        <f t="shared" ref="AD856" si="166">SUM(N856:AC856)</f>
        <v>0</v>
      </c>
      <c r="AE856" s="1843"/>
      <c r="AF856" s="1843"/>
      <c r="AG856" s="1843"/>
      <c r="AL856" s="1461">
        <f>N856-AD877</f>
        <v>0</v>
      </c>
      <c r="AM856" s="1452">
        <f t="shared" ref="AM856" si="167">SUM(N856:AC856)-AD856</f>
        <v>0</v>
      </c>
      <c r="AO856" s="1462">
        <f>AD856-BS!$D$106-BS!$D$107</f>
        <v>0</v>
      </c>
    </row>
    <row r="857" spans="1:41" s="1430" customFormat="1" ht="19.899999999999999" customHeight="1">
      <c r="A857" s="1537"/>
      <c r="D857" s="1829" t="s">
        <v>2995</v>
      </c>
      <c r="E857" s="2047"/>
      <c r="F857" s="2047"/>
      <c r="G857" s="2047"/>
      <c r="H857" s="2047"/>
      <c r="I857" s="2047"/>
      <c r="J857" s="2047"/>
      <c r="K857" s="2047"/>
      <c r="L857" s="2047"/>
      <c r="M857" s="2048"/>
      <c r="N857" s="1893">
        <v>0</v>
      </c>
      <c r="O857" s="1894"/>
      <c r="P857" s="1894"/>
      <c r="Q857" s="1895"/>
      <c r="R857" s="1875">
        <v>0</v>
      </c>
      <c r="S857" s="1876"/>
      <c r="T857" s="1876"/>
      <c r="U857" s="1877"/>
      <c r="V857" s="1875">
        <v>0</v>
      </c>
      <c r="W857" s="1876"/>
      <c r="X857" s="1876"/>
      <c r="Y857" s="1877"/>
      <c r="Z857" s="1875">
        <v>0</v>
      </c>
      <c r="AA857" s="1876"/>
      <c r="AB857" s="1876"/>
      <c r="AC857" s="1877"/>
      <c r="AD857" s="1896">
        <f>SUM(N857:AC857)</f>
        <v>0</v>
      </c>
      <c r="AE857" s="1897"/>
      <c r="AF857" s="1897"/>
      <c r="AG857" s="1898"/>
      <c r="AL857" s="1461"/>
      <c r="AM857" s="1452"/>
      <c r="AO857" s="1462"/>
    </row>
    <row r="858" spans="1:41" s="1430" customFormat="1" ht="19.899999999999999" customHeight="1">
      <c r="A858" s="1431"/>
      <c r="D858" s="1845" t="s">
        <v>2008</v>
      </c>
      <c r="E858" s="1845"/>
      <c r="F858" s="1845"/>
      <c r="G858" s="1845"/>
      <c r="H858" s="1845"/>
      <c r="I858" s="1845"/>
      <c r="J858" s="1845"/>
      <c r="K858" s="1845"/>
      <c r="L858" s="1845"/>
      <c r="M858" s="1845"/>
      <c r="N858" s="1842">
        <v>0</v>
      </c>
      <c r="O858" s="1842"/>
      <c r="P858" s="1842"/>
      <c r="Q858" s="1842"/>
      <c r="R858" s="1835">
        <v>0</v>
      </c>
      <c r="S858" s="1835"/>
      <c r="T858" s="1835"/>
      <c r="U858" s="1835"/>
      <c r="V858" s="1835">
        <v>0</v>
      </c>
      <c r="W858" s="1835"/>
      <c r="X858" s="1835"/>
      <c r="Y858" s="1835"/>
      <c r="Z858" s="1835">
        <v>0</v>
      </c>
      <c r="AA858" s="1835"/>
      <c r="AB858" s="1835"/>
      <c r="AC858" s="1835"/>
      <c r="AD858" s="1843">
        <f t="shared" ref="AD858" si="168">SUM(N858:AC858)</f>
        <v>0</v>
      </c>
      <c r="AE858" s="1843"/>
      <c r="AF858" s="1843"/>
      <c r="AG858" s="1843"/>
      <c r="AL858" s="1461">
        <f>N858-AD876</f>
        <v>0</v>
      </c>
      <c r="AM858" s="1452">
        <f t="shared" si="165"/>
        <v>0</v>
      </c>
      <c r="AO858" s="1462"/>
    </row>
    <row r="859" spans="1:41" s="1430" customFormat="1" ht="19.899999999999999" customHeight="1">
      <c r="A859" s="1431"/>
      <c r="D859" s="1845" t="s">
        <v>398</v>
      </c>
      <c r="E859" s="1845"/>
      <c r="F859" s="1845"/>
      <c r="G859" s="1845"/>
      <c r="H859" s="1845"/>
      <c r="I859" s="1845"/>
      <c r="J859" s="1845"/>
      <c r="K859" s="1845"/>
      <c r="L859" s="1845"/>
      <c r="M859" s="1845"/>
      <c r="N859" s="1842">
        <v>0</v>
      </c>
      <c r="O859" s="1842"/>
      <c r="P859" s="1842"/>
      <c r="Q859" s="1842"/>
      <c r="R859" s="1835">
        <v>0</v>
      </c>
      <c r="S859" s="1835"/>
      <c r="T859" s="1835"/>
      <c r="U859" s="1835"/>
      <c r="V859" s="1835">
        <v>0</v>
      </c>
      <c r="W859" s="1835"/>
      <c r="X859" s="1835"/>
      <c r="Y859" s="1835"/>
      <c r="Z859" s="1835">
        <v>0</v>
      </c>
      <c r="AA859" s="1835"/>
      <c r="AB859" s="1835"/>
      <c r="AC859" s="1835"/>
      <c r="AD859" s="1843">
        <f t="shared" si="164"/>
        <v>0</v>
      </c>
      <c r="AE859" s="1843"/>
      <c r="AF859" s="1843"/>
      <c r="AG859" s="1843"/>
      <c r="AL859" s="1461">
        <f>N859-AD877</f>
        <v>0</v>
      </c>
      <c r="AM859" s="1452">
        <f t="shared" si="165"/>
        <v>0</v>
      </c>
      <c r="AO859" s="1462">
        <f>AD859-BS!$D$109-BS!$D$110</f>
        <v>0</v>
      </c>
    </row>
    <row r="860" spans="1:41" s="1430" customFormat="1" ht="19.899999999999999" customHeight="1">
      <c r="A860" s="1431"/>
      <c r="D860" s="1845" t="s">
        <v>468</v>
      </c>
      <c r="E860" s="1845"/>
      <c r="F860" s="1845"/>
      <c r="G860" s="1845"/>
      <c r="H860" s="1845"/>
      <c r="I860" s="1845"/>
      <c r="J860" s="1845"/>
      <c r="K860" s="1845"/>
      <c r="L860" s="1845"/>
      <c r="M860" s="1845"/>
      <c r="N860" s="1842">
        <v>0</v>
      </c>
      <c r="O860" s="1842"/>
      <c r="P860" s="1842"/>
      <c r="Q860" s="1842"/>
      <c r="R860" s="1835">
        <v>0</v>
      </c>
      <c r="S860" s="1835"/>
      <c r="T860" s="1835"/>
      <c r="U860" s="1835"/>
      <c r="V860" s="1835">
        <v>0</v>
      </c>
      <c r="W860" s="1835"/>
      <c r="X860" s="1835"/>
      <c r="Y860" s="1835"/>
      <c r="Z860" s="1835">
        <v>0</v>
      </c>
      <c r="AA860" s="1835"/>
      <c r="AB860" s="1835"/>
      <c r="AC860" s="1835"/>
      <c r="AD860" s="1843">
        <f t="shared" si="164"/>
        <v>0</v>
      </c>
      <c r="AE860" s="1843"/>
      <c r="AF860" s="1843"/>
      <c r="AG860" s="1843"/>
      <c r="AL860" s="1461">
        <f>N860-AD878</f>
        <v>0</v>
      </c>
      <c r="AM860" s="1452">
        <f t="shared" si="165"/>
        <v>0</v>
      </c>
      <c r="AO860" s="1462">
        <f>AD860-BS!$D$111</f>
        <v>0</v>
      </c>
    </row>
    <row r="861" spans="1:41" s="1430" customFormat="1" ht="19.899999999999999" customHeight="1">
      <c r="A861" s="1431"/>
      <c r="D861" s="1845" t="s">
        <v>402</v>
      </c>
      <c r="E861" s="1845"/>
      <c r="F861" s="1845"/>
      <c r="G861" s="1845"/>
      <c r="H861" s="1845"/>
      <c r="I861" s="1845"/>
      <c r="J861" s="1845"/>
      <c r="K861" s="1845"/>
      <c r="L861" s="1845"/>
      <c r="M861" s="1845"/>
      <c r="N861" s="1842">
        <v>279707</v>
      </c>
      <c r="O861" s="1842"/>
      <c r="P861" s="1842"/>
      <c r="Q861" s="1842"/>
      <c r="R861" s="1835">
        <v>0</v>
      </c>
      <c r="S861" s="1835"/>
      <c r="T861" s="1835"/>
      <c r="U861" s="1835"/>
      <c r="V861" s="1835">
        <v>-114636</v>
      </c>
      <c r="W861" s="1835"/>
      <c r="X861" s="1835"/>
      <c r="Y861" s="1835"/>
      <c r="Z861" s="1835">
        <v>253731</v>
      </c>
      <c r="AA861" s="1835"/>
      <c r="AB861" s="1835"/>
      <c r="AC861" s="1835"/>
      <c r="AD861" s="1843">
        <f>SUM(N861:AC861)</f>
        <v>418802</v>
      </c>
      <c r="AE861" s="1843"/>
      <c r="AF861" s="1843"/>
      <c r="AG861" s="1843"/>
      <c r="AL861" s="1461">
        <f>N861-AD882</f>
        <v>279707</v>
      </c>
      <c r="AM861" s="1452">
        <f t="shared" si="165"/>
        <v>0</v>
      </c>
      <c r="AO861" s="1462">
        <f>AD861-BS!$D$113</f>
        <v>-1</v>
      </c>
    </row>
    <row r="862" spans="1:41" s="1430" customFormat="1" ht="19.899999999999999" customHeight="1">
      <c r="A862" s="1431"/>
      <c r="D862" s="1845" t="s">
        <v>469</v>
      </c>
      <c r="E862" s="1845"/>
      <c r="F862" s="1845"/>
      <c r="G862" s="1845"/>
      <c r="H862" s="1845"/>
      <c r="I862" s="1845"/>
      <c r="J862" s="1845"/>
      <c r="K862" s="1845"/>
      <c r="L862" s="1845"/>
      <c r="M862" s="1845"/>
      <c r="N862" s="1842">
        <v>0</v>
      </c>
      <c r="O862" s="1842"/>
      <c r="P862" s="1842"/>
      <c r="Q862" s="1842"/>
      <c r="R862" s="1835">
        <v>0</v>
      </c>
      <c r="S862" s="1835"/>
      <c r="T862" s="1835"/>
      <c r="U862" s="1835"/>
      <c r="V862" s="1835">
        <v>0</v>
      </c>
      <c r="W862" s="1835"/>
      <c r="X862" s="1835"/>
      <c r="Y862" s="1835"/>
      <c r="Z862" s="1835"/>
      <c r="AA862" s="1835"/>
      <c r="AB862" s="1835"/>
      <c r="AC862" s="1835"/>
      <c r="AD862" s="1843">
        <f t="shared" si="164"/>
        <v>0</v>
      </c>
      <c r="AE862" s="1843"/>
      <c r="AF862" s="1843"/>
      <c r="AG862" s="1843"/>
      <c r="AL862" s="1461">
        <f>N862-AD883</f>
        <v>-273436</v>
      </c>
      <c r="AM862" s="1452">
        <f t="shared" si="165"/>
        <v>0</v>
      </c>
      <c r="AO862" s="1462">
        <f>AD862-BS!$D$114</f>
        <v>0</v>
      </c>
    </row>
    <row r="863" spans="1:41" s="1430" customFormat="1" ht="19.899999999999999" customHeight="1" thickBot="1">
      <c r="A863" s="1431"/>
      <c r="D863" s="2046" t="s">
        <v>470</v>
      </c>
      <c r="E863" s="2046"/>
      <c r="F863" s="2046"/>
      <c r="G863" s="2046"/>
      <c r="H863" s="2046"/>
      <c r="I863" s="2046"/>
      <c r="J863" s="2046"/>
      <c r="K863" s="2046"/>
      <c r="L863" s="2046"/>
      <c r="M863" s="2046"/>
      <c r="N863" s="2044">
        <v>273436</v>
      </c>
      <c r="O863" s="2044"/>
      <c r="P863" s="2044"/>
      <c r="Q863" s="2044"/>
      <c r="R863" s="2038">
        <v>159575</v>
      </c>
      <c r="S863" s="2038"/>
      <c r="T863" s="2038"/>
      <c r="U863" s="2038"/>
      <c r="V863" s="2038">
        <v>0</v>
      </c>
      <c r="W863" s="2038"/>
      <c r="X863" s="2038"/>
      <c r="Y863" s="2038"/>
      <c r="Z863" s="2038">
        <v>-273436</v>
      </c>
      <c r="AA863" s="2038"/>
      <c r="AB863" s="2038"/>
      <c r="AC863" s="2038"/>
      <c r="AD863" s="2045">
        <f>SUM(N863:AC863)</f>
        <v>159575</v>
      </c>
      <c r="AE863" s="2045"/>
      <c r="AF863" s="2045"/>
      <c r="AG863" s="2045"/>
      <c r="AL863" s="1461">
        <f>N863-AD884</f>
        <v>-2873964</v>
      </c>
      <c r="AM863" s="1452">
        <f t="shared" si="165"/>
        <v>0</v>
      </c>
      <c r="AO863" s="1462">
        <f>AD863-BS!$D$115</f>
        <v>0</v>
      </c>
    </row>
    <row r="864" spans="1:41" s="1430" customFormat="1" ht="19.899999999999999" customHeight="1" thickBot="1">
      <c r="A864" s="1537"/>
      <c r="D864" s="2040" t="s">
        <v>2992</v>
      </c>
      <c r="E864" s="2040"/>
      <c r="F864" s="2040"/>
      <c r="G864" s="2040"/>
      <c r="H864" s="2040"/>
      <c r="I864" s="2040"/>
      <c r="J864" s="2040"/>
      <c r="K864" s="2040"/>
      <c r="L864" s="2040"/>
      <c r="M864" s="2040"/>
      <c r="N864" s="2037">
        <f>SUM(N849:Q863)</f>
        <v>3147399</v>
      </c>
      <c r="O864" s="2037"/>
      <c r="P864" s="2037"/>
      <c r="Q864" s="2037"/>
      <c r="R864" s="2037">
        <f>SUM(R849:U863)</f>
        <v>159575</v>
      </c>
      <c r="S864" s="2037"/>
      <c r="T864" s="2037"/>
      <c r="U864" s="2037"/>
      <c r="V864" s="2037">
        <f>SUM(V849:Y863)</f>
        <v>-114636</v>
      </c>
      <c r="W864" s="2037"/>
      <c r="X864" s="2037"/>
      <c r="Y864" s="2037"/>
      <c r="Z864" s="2037">
        <f>SUM(Z849:AC863)</f>
        <v>0</v>
      </c>
      <c r="AA864" s="2037"/>
      <c r="AB864" s="2037"/>
      <c r="AC864" s="2037"/>
      <c r="AD864" s="2041">
        <f>SUM(N864:AC864)</f>
        <v>3192338</v>
      </c>
      <c r="AE864" s="2042"/>
      <c r="AF864" s="2042"/>
      <c r="AG864" s="2043"/>
      <c r="AL864" s="1541"/>
      <c r="AM864" s="1541"/>
      <c r="AO864" s="1542"/>
    </row>
    <row r="865" spans="1:41" s="1430" customFormat="1" ht="14.25" customHeight="1">
      <c r="A865" s="1431"/>
    </row>
    <row r="866" spans="1:41" s="1430" customFormat="1" ht="14.25" customHeight="1" thickBot="1">
      <c r="A866" s="1431"/>
    </row>
    <row r="867" spans="1:41" s="1430" customFormat="1" ht="14.25" customHeight="1" thickBot="1">
      <c r="A867" s="1431"/>
      <c r="D867" s="1859" t="s">
        <v>465</v>
      </c>
      <c r="E867" s="1859"/>
      <c r="F867" s="1859"/>
      <c r="G867" s="1859"/>
      <c r="H867" s="1859"/>
      <c r="I867" s="1859"/>
      <c r="J867" s="1859"/>
      <c r="K867" s="1859"/>
      <c r="L867" s="1859"/>
      <c r="M867" s="1859"/>
      <c r="N867" s="1859" t="s">
        <v>3</v>
      </c>
      <c r="O867" s="1859"/>
      <c r="P867" s="1859"/>
      <c r="Q867" s="1859"/>
      <c r="R867" s="1859"/>
      <c r="S867" s="1859"/>
      <c r="T867" s="1859"/>
      <c r="U867" s="1859"/>
      <c r="V867" s="1859"/>
      <c r="W867" s="1859"/>
      <c r="X867" s="1859"/>
      <c r="Y867" s="1859"/>
      <c r="Z867" s="1859"/>
      <c r="AA867" s="1859"/>
      <c r="AB867" s="1859"/>
      <c r="AC867" s="1859"/>
      <c r="AD867" s="1859"/>
      <c r="AE867" s="1859"/>
      <c r="AF867" s="1859"/>
      <c r="AG867" s="1859"/>
    </row>
    <row r="868" spans="1:41" s="1430" customFormat="1" ht="29.45" customHeight="1" thickTop="1" thickBot="1">
      <c r="A868" s="1431"/>
      <c r="D868" s="1859"/>
      <c r="E868" s="1859"/>
      <c r="F868" s="1859"/>
      <c r="G868" s="1859"/>
      <c r="H868" s="1859"/>
      <c r="I868" s="1859"/>
      <c r="J868" s="1859"/>
      <c r="K868" s="1859"/>
      <c r="L868" s="1859"/>
      <c r="M868" s="1859"/>
      <c r="N868" s="1838" t="s">
        <v>2007</v>
      </c>
      <c r="O868" s="1838"/>
      <c r="P868" s="1838"/>
      <c r="Q868" s="1838"/>
      <c r="R868" s="1838" t="s">
        <v>27</v>
      </c>
      <c r="S868" s="1838"/>
      <c r="T868" s="1838"/>
      <c r="U868" s="1838"/>
      <c r="V868" s="1838" t="s">
        <v>28</v>
      </c>
      <c r="W868" s="1838"/>
      <c r="X868" s="1838"/>
      <c r="Y868" s="1838"/>
      <c r="Z868" s="1838" t="s">
        <v>29</v>
      </c>
      <c r="AA868" s="1838"/>
      <c r="AB868" s="1838"/>
      <c r="AC868" s="1838"/>
      <c r="AD868" s="1838" t="s">
        <v>392</v>
      </c>
      <c r="AE868" s="1838"/>
      <c r="AF868" s="1838"/>
      <c r="AG868" s="1838"/>
      <c r="AM868" s="1423" t="s">
        <v>392</v>
      </c>
      <c r="AO868" s="1423" t="s">
        <v>392</v>
      </c>
    </row>
    <row r="869" spans="1:41" s="1430" customFormat="1" ht="19.899999999999999" customHeight="1">
      <c r="A869" s="1431"/>
      <c r="D869" s="2259" t="s">
        <v>393</v>
      </c>
      <c r="E869" s="2259"/>
      <c r="F869" s="2259"/>
      <c r="G869" s="2259"/>
      <c r="H869" s="2259"/>
      <c r="I869" s="2259"/>
      <c r="J869" s="2259"/>
      <c r="K869" s="2259"/>
      <c r="L869" s="2259"/>
      <c r="M869" s="2259"/>
      <c r="N869" s="2049">
        <v>2506390</v>
      </c>
      <c r="O869" s="2049"/>
      <c r="P869" s="2049"/>
      <c r="Q869" s="2049"/>
      <c r="R869" s="2050">
        <v>0</v>
      </c>
      <c r="S869" s="2050"/>
      <c r="T869" s="2050"/>
      <c r="U869" s="2050"/>
      <c r="V869" s="2050">
        <v>0</v>
      </c>
      <c r="W869" s="2050"/>
      <c r="X869" s="2050"/>
      <c r="Y869" s="2050"/>
      <c r="Z869" s="2050">
        <v>0</v>
      </c>
      <c r="AA869" s="2050"/>
      <c r="AB869" s="2050"/>
      <c r="AC869" s="2050"/>
      <c r="AD869" s="1888">
        <f>SUM(N869:AC869)</f>
        <v>2506390</v>
      </c>
      <c r="AE869" s="1888"/>
      <c r="AF869" s="1888"/>
      <c r="AG869" s="1888"/>
      <c r="AM869" s="1458">
        <f>SUM(N869:AC869)-AD869</f>
        <v>0</v>
      </c>
      <c r="AO869" s="1460">
        <f>AD849-BS!$D$97</f>
        <v>0</v>
      </c>
    </row>
    <row r="870" spans="1:41" s="1430" customFormat="1" ht="19.899999999999999" customHeight="1">
      <c r="A870" s="1431"/>
      <c r="D870" s="1845" t="s">
        <v>466</v>
      </c>
      <c r="E870" s="1845"/>
      <c r="F870" s="1845"/>
      <c r="G870" s="1845"/>
      <c r="H870" s="1845"/>
      <c r="I870" s="1845"/>
      <c r="J870" s="1845"/>
      <c r="K870" s="1845"/>
      <c r="L870" s="1845"/>
      <c r="M870" s="1845"/>
      <c r="N870" s="1842">
        <v>0</v>
      </c>
      <c r="O870" s="1842"/>
      <c r="P870" s="1842"/>
      <c r="Q870" s="1842"/>
      <c r="R870" s="1835">
        <v>0</v>
      </c>
      <c r="S870" s="1835"/>
      <c r="T870" s="1835"/>
      <c r="U870" s="1835"/>
      <c r="V870" s="1835">
        <v>0</v>
      </c>
      <c r="W870" s="1835"/>
      <c r="X870" s="1835"/>
      <c r="Y870" s="1835"/>
      <c r="Z870" s="1835">
        <v>0</v>
      </c>
      <c r="AA870" s="1835"/>
      <c r="AB870" s="1835"/>
      <c r="AC870" s="1835"/>
      <c r="AD870" s="1843">
        <f t="shared" ref="AD870:AD874" si="169">SUM(N870:AC870)</f>
        <v>0</v>
      </c>
      <c r="AE870" s="1843"/>
      <c r="AF870" s="1843"/>
      <c r="AG870" s="1843"/>
      <c r="AM870" s="1461">
        <f t="shared" ref="AM870:AM884" si="170">SUM(N870:AC870)-AD870</f>
        <v>0</v>
      </c>
      <c r="AO870" s="1462" t="e">
        <f>#REF!-#REF!</f>
        <v>#REF!</v>
      </c>
    </row>
    <row r="871" spans="1:41" s="1430" customFormat="1" ht="19.899999999999999" customHeight="1">
      <c r="A871" s="1431"/>
      <c r="D871" s="1845" t="s">
        <v>467</v>
      </c>
      <c r="E871" s="1845"/>
      <c r="F871" s="1845"/>
      <c r="G871" s="1845"/>
      <c r="H871" s="1845"/>
      <c r="I871" s="1845"/>
      <c r="J871" s="1845"/>
      <c r="K871" s="1845"/>
      <c r="L871" s="1845"/>
      <c r="M871" s="1845"/>
      <c r="N871" s="1842">
        <v>0</v>
      </c>
      <c r="O871" s="1842"/>
      <c r="P871" s="1842"/>
      <c r="Q871" s="1842"/>
      <c r="R871" s="1835">
        <v>0</v>
      </c>
      <c r="S871" s="1835"/>
      <c r="T871" s="1835"/>
      <c r="U871" s="1835"/>
      <c r="V871" s="1835">
        <v>0</v>
      </c>
      <c r="W871" s="1835"/>
      <c r="X871" s="1835"/>
      <c r="Y871" s="1835"/>
      <c r="Z871" s="1835">
        <v>0</v>
      </c>
      <c r="AA871" s="1835"/>
      <c r="AB871" s="1835"/>
      <c r="AC871" s="1835"/>
      <c r="AD871" s="1843">
        <f t="shared" si="169"/>
        <v>0</v>
      </c>
      <c r="AE871" s="1843"/>
      <c r="AF871" s="1843"/>
      <c r="AG871" s="1843"/>
      <c r="AM871" s="1461">
        <f t="shared" si="170"/>
        <v>0</v>
      </c>
      <c r="AO871" s="1462">
        <f>AD850-BS!$D$98</f>
        <v>0</v>
      </c>
    </row>
    <row r="872" spans="1:41" s="1430" customFormat="1" ht="19.899999999999999" customHeight="1">
      <c r="A872" s="1431"/>
      <c r="D872" s="1845" t="s">
        <v>395</v>
      </c>
      <c r="E872" s="1845"/>
      <c r="F872" s="1845"/>
      <c r="G872" s="1845"/>
      <c r="H872" s="1845"/>
      <c r="I872" s="1845"/>
      <c r="J872" s="1845"/>
      <c r="K872" s="1845"/>
      <c r="L872" s="1845"/>
      <c r="M872" s="1845"/>
      <c r="N872" s="1842">
        <v>0</v>
      </c>
      <c r="O872" s="1842"/>
      <c r="P872" s="1842"/>
      <c r="Q872" s="1842"/>
      <c r="R872" s="1835">
        <v>0</v>
      </c>
      <c r="S872" s="1835"/>
      <c r="T872" s="1835"/>
      <c r="U872" s="1835"/>
      <c r="V872" s="1835">
        <v>0</v>
      </c>
      <c r="W872" s="1835"/>
      <c r="X872" s="1835"/>
      <c r="Y872" s="1835"/>
      <c r="Z872" s="1835">
        <v>0</v>
      </c>
      <c r="AA872" s="1835"/>
      <c r="AB872" s="1835"/>
      <c r="AC872" s="1835"/>
      <c r="AD872" s="1843">
        <f t="shared" si="169"/>
        <v>0</v>
      </c>
      <c r="AE872" s="1843"/>
      <c r="AF872" s="1843"/>
      <c r="AG872" s="1843"/>
      <c r="AM872" s="1461">
        <f t="shared" si="170"/>
        <v>0</v>
      </c>
      <c r="AO872" s="1462">
        <f>AD851-BS!$D$99</f>
        <v>0</v>
      </c>
    </row>
    <row r="873" spans="1:41" s="1430" customFormat="1" ht="19.899999999999999" customHeight="1">
      <c r="A873" s="1431"/>
      <c r="D873" s="1845" t="s">
        <v>396</v>
      </c>
      <c r="E873" s="1845"/>
      <c r="F873" s="1845"/>
      <c r="G873" s="1845"/>
      <c r="H873" s="1845"/>
      <c r="I873" s="1845"/>
      <c r="J873" s="1845"/>
      <c r="K873" s="1845"/>
      <c r="L873" s="1845"/>
      <c r="M873" s="1845"/>
      <c r="N873" s="1842">
        <v>664</v>
      </c>
      <c r="O873" s="1842"/>
      <c r="P873" s="1842"/>
      <c r="Q873" s="1842"/>
      <c r="R873" s="1835">
        <v>0</v>
      </c>
      <c r="S873" s="1835"/>
      <c r="T873" s="1835"/>
      <c r="U873" s="1835"/>
      <c r="V873" s="1835">
        <v>0</v>
      </c>
      <c r="W873" s="1835"/>
      <c r="X873" s="1835"/>
      <c r="Y873" s="1835"/>
      <c r="Z873" s="1835">
        <v>0</v>
      </c>
      <c r="AA873" s="1835"/>
      <c r="AB873" s="1835"/>
      <c r="AC873" s="1835"/>
      <c r="AD873" s="1843">
        <f t="shared" si="169"/>
        <v>664</v>
      </c>
      <c r="AE873" s="1843"/>
      <c r="AF873" s="1843"/>
      <c r="AG873" s="1843"/>
      <c r="AM873" s="1461">
        <f t="shared" si="170"/>
        <v>0</v>
      </c>
      <c r="AO873" s="1462">
        <f>AD852-BS!$D$100</f>
        <v>0</v>
      </c>
    </row>
    <row r="874" spans="1:41" s="1430" customFormat="1" ht="19.899999999999999" customHeight="1">
      <c r="A874" s="1431"/>
      <c r="D874" s="1845" t="s">
        <v>2991</v>
      </c>
      <c r="E874" s="1845"/>
      <c r="F874" s="1845"/>
      <c r="G874" s="1845"/>
      <c r="H874" s="1845"/>
      <c r="I874" s="1845"/>
      <c r="J874" s="1845"/>
      <c r="K874" s="1845"/>
      <c r="L874" s="1845"/>
      <c r="M874" s="1845"/>
      <c r="N874" s="1842">
        <v>34063</v>
      </c>
      <c r="O874" s="1842"/>
      <c r="P874" s="1842"/>
      <c r="Q874" s="1842"/>
      <c r="R874" s="1835">
        <v>0</v>
      </c>
      <c r="S874" s="1835"/>
      <c r="T874" s="1835"/>
      <c r="U874" s="1835"/>
      <c r="V874" s="1835">
        <v>0</v>
      </c>
      <c r="W874" s="1835"/>
      <c r="X874" s="1835"/>
      <c r="Y874" s="1835"/>
      <c r="Z874" s="1835">
        <v>53139</v>
      </c>
      <c r="AA874" s="1835"/>
      <c r="AB874" s="1835"/>
      <c r="AC874" s="1835"/>
      <c r="AD874" s="1843">
        <f t="shared" si="169"/>
        <v>87202</v>
      </c>
      <c r="AE874" s="1843"/>
      <c r="AF874" s="1843"/>
      <c r="AG874" s="1843"/>
      <c r="AM874" s="1461">
        <f t="shared" si="170"/>
        <v>0</v>
      </c>
      <c r="AO874" s="1462">
        <f>AD853-BS!$D$101</f>
        <v>664</v>
      </c>
    </row>
    <row r="875" spans="1:41" s="1430" customFormat="1" ht="19.899999999999999" customHeight="1">
      <c r="A875" s="1431"/>
      <c r="D875" s="1829" t="s">
        <v>2993</v>
      </c>
      <c r="E875" s="2047"/>
      <c r="F875" s="2047"/>
      <c r="G875" s="2047"/>
      <c r="H875" s="2047"/>
      <c r="I875" s="2047"/>
      <c r="J875" s="2047"/>
      <c r="K875" s="2047"/>
      <c r="L875" s="2047"/>
      <c r="M875" s="2048"/>
      <c r="N875" s="1893">
        <v>0</v>
      </c>
      <c r="O875" s="1894"/>
      <c r="P875" s="1894"/>
      <c r="Q875" s="1895"/>
      <c r="R875" s="1875">
        <v>0</v>
      </c>
      <c r="S875" s="1876"/>
      <c r="T875" s="1876"/>
      <c r="U875" s="1877"/>
      <c r="V875" s="1875">
        <v>0</v>
      </c>
      <c r="W875" s="1876"/>
      <c r="X875" s="1876"/>
      <c r="Y875" s="1877"/>
      <c r="Z875" s="1875">
        <v>0</v>
      </c>
      <c r="AA875" s="1876"/>
      <c r="AB875" s="1876"/>
      <c r="AC875" s="1877"/>
      <c r="AD875" s="1896">
        <f>SUM(N875:AC875)</f>
        <v>0</v>
      </c>
      <c r="AE875" s="1897"/>
      <c r="AF875" s="1897"/>
      <c r="AG875" s="1898"/>
      <c r="AM875" s="1462">
        <f>SUM(N875:AC875)-AD875</f>
        <v>0</v>
      </c>
      <c r="AO875" s="1462">
        <f>AD854-BS!$D$104</f>
        <v>106907</v>
      </c>
    </row>
    <row r="876" spans="1:41" s="1430" customFormat="1" ht="19.899999999999999" customHeight="1">
      <c r="A876" s="1431"/>
      <c r="D876" s="1845" t="s">
        <v>2994</v>
      </c>
      <c r="E876" s="1845"/>
      <c r="F876" s="1845"/>
      <c r="G876" s="1845"/>
      <c r="H876" s="1845"/>
      <c r="I876" s="1845"/>
      <c r="J876" s="1845"/>
      <c r="K876" s="1845"/>
      <c r="L876" s="1845"/>
      <c r="M876" s="1845"/>
      <c r="N876" s="1842">
        <v>0</v>
      </c>
      <c r="O876" s="1842"/>
      <c r="P876" s="1842"/>
      <c r="Q876" s="1842"/>
      <c r="R876" s="1835">
        <v>0</v>
      </c>
      <c r="S876" s="1835"/>
      <c r="T876" s="1835"/>
      <c r="U876" s="1835"/>
      <c r="V876" s="1835">
        <v>0</v>
      </c>
      <c r="W876" s="1835"/>
      <c r="X876" s="1835"/>
      <c r="Y876" s="1835"/>
      <c r="Z876" s="1835">
        <v>0</v>
      </c>
      <c r="AA876" s="1835"/>
      <c r="AB876" s="1835"/>
      <c r="AC876" s="1835"/>
      <c r="AD876" s="1843">
        <f t="shared" ref="AD876" si="171">SUM(N876:AC876)</f>
        <v>0</v>
      </c>
      <c r="AE876" s="1843"/>
      <c r="AF876" s="1843"/>
      <c r="AG876" s="1843"/>
      <c r="AM876" s="1461">
        <f t="shared" si="170"/>
        <v>0</v>
      </c>
      <c r="AO876" s="1462"/>
    </row>
    <row r="877" spans="1:41" s="1430" customFormat="1" ht="19.899999999999999" customHeight="1">
      <c r="A877" s="1431"/>
      <c r="D877" s="1829" t="s">
        <v>2995</v>
      </c>
      <c r="E877" s="2047"/>
      <c r="F877" s="2047"/>
      <c r="G877" s="2047"/>
      <c r="H877" s="2047"/>
      <c r="I877" s="2047"/>
      <c r="J877" s="2047"/>
      <c r="K877" s="2047"/>
      <c r="L877" s="2047"/>
      <c r="M877" s="2048"/>
      <c r="N877" s="1893">
        <v>0</v>
      </c>
      <c r="O877" s="1894"/>
      <c r="P877" s="1894"/>
      <c r="Q877" s="1895"/>
      <c r="R877" s="1875">
        <v>0</v>
      </c>
      <c r="S877" s="1876"/>
      <c r="T877" s="1876"/>
      <c r="U877" s="1877"/>
      <c r="V877" s="1875">
        <v>0</v>
      </c>
      <c r="W877" s="1876"/>
      <c r="X877" s="1876"/>
      <c r="Y877" s="1877"/>
      <c r="Z877" s="1875">
        <v>0</v>
      </c>
      <c r="AA877" s="1876"/>
      <c r="AB877" s="1876"/>
      <c r="AC877" s="1877"/>
      <c r="AD877" s="1896">
        <f>SUM(N877:AC877)</f>
        <v>0</v>
      </c>
      <c r="AE877" s="1897"/>
      <c r="AF877" s="1897"/>
      <c r="AG877" s="1898"/>
      <c r="AM877" s="1461">
        <f t="shared" si="170"/>
        <v>0</v>
      </c>
      <c r="AO877" s="1462">
        <f>AD859-BS!$D$109-BS!$D$110</f>
        <v>0</v>
      </c>
    </row>
    <row r="878" spans="1:41" s="1430" customFormat="1" ht="19.899999999999999" customHeight="1">
      <c r="A878" s="1431"/>
      <c r="D878" s="1845" t="s">
        <v>2008</v>
      </c>
      <c r="E878" s="1845"/>
      <c r="F878" s="1845"/>
      <c r="G878" s="1845"/>
      <c r="H878" s="1845"/>
      <c r="I878" s="1845"/>
      <c r="J878" s="1845"/>
      <c r="K878" s="1845"/>
      <c r="L878" s="1845"/>
      <c r="M878" s="1845"/>
      <c r="N878" s="1842">
        <v>0</v>
      </c>
      <c r="O878" s="1842"/>
      <c r="P878" s="1842"/>
      <c r="Q878" s="1842"/>
      <c r="R878" s="1835">
        <v>0</v>
      </c>
      <c r="S878" s="1835"/>
      <c r="T878" s="1835"/>
      <c r="U878" s="1835"/>
      <c r="V878" s="1835">
        <v>0</v>
      </c>
      <c r="W878" s="1835"/>
      <c r="X878" s="1835"/>
      <c r="Y878" s="1835"/>
      <c r="Z878" s="1835">
        <v>0</v>
      </c>
      <c r="AA878" s="1835"/>
      <c r="AB878" s="1835"/>
      <c r="AC878" s="1835"/>
      <c r="AD878" s="1843">
        <f t="shared" ref="AD878" si="172">SUM(N878:AC878)</f>
        <v>0</v>
      </c>
      <c r="AE878" s="1843"/>
      <c r="AF878" s="1843"/>
      <c r="AG878" s="1843"/>
      <c r="AM878" s="1461">
        <f t="shared" si="170"/>
        <v>0</v>
      </c>
      <c r="AO878" s="1462">
        <f>AD860-BS!$D$111</f>
        <v>0</v>
      </c>
    </row>
    <row r="879" spans="1:41" s="1430" customFormat="1" ht="19.899999999999999" customHeight="1">
      <c r="A879" s="1431"/>
      <c r="D879" s="1845" t="s">
        <v>398</v>
      </c>
      <c r="E879" s="1845"/>
      <c r="F879" s="1845"/>
      <c r="G879" s="1845"/>
      <c r="H879" s="1845"/>
      <c r="I879" s="1845"/>
      <c r="J879" s="1845"/>
      <c r="K879" s="1845"/>
      <c r="L879" s="1845"/>
      <c r="M879" s="1845"/>
      <c r="N879" s="1842">
        <v>0</v>
      </c>
      <c r="O879" s="1842"/>
      <c r="P879" s="1842"/>
      <c r="Q879" s="1842"/>
      <c r="R879" s="1835">
        <v>0</v>
      </c>
      <c r="S879" s="1835"/>
      <c r="T879" s="1835"/>
      <c r="U879" s="1835"/>
      <c r="V879" s="1835">
        <v>0</v>
      </c>
      <c r="W879" s="1835"/>
      <c r="X879" s="1835"/>
      <c r="Y879" s="1835"/>
      <c r="Z879" s="1835">
        <v>0</v>
      </c>
      <c r="AA879" s="1835"/>
      <c r="AB879" s="1835"/>
      <c r="AC879" s="1835"/>
      <c r="AD879" s="1843">
        <f t="shared" ref="AD879:AD880" si="173">SUM(N879:AC879)</f>
        <v>0</v>
      </c>
      <c r="AE879" s="1843"/>
      <c r="AF879" s="1843"/>
      <c r="AG879" s="1843"/>
      <c r="AM879" s="1461">
        <f t="shared" si="170"/>
        <v>0</v>
      </c>
      <c r="AO879" s="1462" t="e">
        <f>#REF!+#REF!-BS!$D$103</f>
        <v>#REF!</v>
      </c>
    </row>
    <row r="880" spans="1:41" s="1430" customFormat="1" ht="19.899999999999999" customHeight="1">
      <c r="A880" s="1431"/>
      <c r="D880" s="1845" t="s">
        <v>468</v>
      </c>
      <c r="E880" s="1845"/>
      <c r="F880" s="1845"/>
      <c r="G880" s="1845"/>
      <c r="H880" s="1845"/>
      <c r="I880" s="1845"/>
      <c r="J880" s="1845"/>
      <c r="K880" s="1845"/>
      <c r="L880" s="1845"/>
      <c r="M880" s="1845"/>
      <c r="N880" s="1842">
        <v>0</v>
      </c>
      <c r="O880" s="1842"/>
      <c r="P880" s="1842"/>
      <c r="Q880" s="1842"/>
      <c r="R880" s="1835">
        <v>0</v>
      </c>
      <c r="S880" s="1835"/>
      <c r="T880" s="1835"/>
      <c r="U880" s="1835"/>
      <c r="V880" s="1835">
        <v>0</v>
      </c>
      <c r="W880" s="1835"/>
      <c r="X880" s="1835"/>
      <c r="Y880" s="1835"/>
      <c r="Z880" s="1835">
        <v>0</v>
      </c>
      <c r="AA880" s="1835"/>
      <c r="AB880" s="1835"/>
      <c r="AC880" s="1835"/>
      <c r="AD880" s="1843">
        <f t="shared" si="173"/>
        <v>0</v>
      </c>
      <c r="AE880" s="1843"/>
      <c r="AF880" s="1843"/>
      <c r="AG880" s="1843"/>
      <c r="AM880" s="1461">
        <f t="shared" si="170"/>
        <v>0</v>
      </c>
      <c r="AO880" s="1462" t="e">
        <f>#REF!+#REF!-BS!$D$103</f>
        <v>#REF!</v>
      </c>
    </row>
    <row r="881" spans="1:41" s="1430" customFormat="1" ht="19.899999999999999" customHeight="1">
      <c r="A881" s="1431"/>
      <c r="D881" s="1845" t="s">
        <v>402</v>
      </c>
      <c r="E881" s="1845"/>
      <c r="F881" s="1845"/>
      <c r="G881" s="1845"/>
      <c r="H881" s="1845"/>
      <c r="I881" s="1845"/>
      <c r="J881" s="1845"/>
      <c r="K881" s="1845"/>
      <c r="L881" s="1845"/>
      <c r="M881" s="1845"/>
      <c r="N881" s="1842">
        <v>890767</v>
      </c>
      <c r="O881" s="1842"/>
      <c r="P881" s="1842"/>
      <c r="Q881" s="1842"/>
      <c r="R881" s="1835">
        <v>0</v>
      </c>
      <c r="S881" s="1835"/>
      <c r="T881" s="1835"/>
      <c r="U881" s="1835"/>
      <c r="V881" s="1835">
        <f>-395723</f>
        <v>-395723</v>
      </c>
      <c r="W881" s="1835"/>
      <c r="X881" s="1835"/>
      <c r="Y881" s="1835"/>
      <c r="Z881" s="1835">
        <f>-282866+120669-53139</f>
        <v>-215336</v>
      </c>
      <c r="AA881" s="1835"/>
      <c r="AB881" s="1835"/>
      <c r="AC881" s="1835"/>
      <c r="AD881" s="1843">
        <f>SUM(N881:AC881)</f>
        <v>279708</v>
      </c>
      <c r="AE881" s="1843"/>
      <c r="AF881" s="1843"/>
      <c r="AG881" s="1843"/>
      <c r="AM881" s="1461">
        <f t="shared" si="170"/>
        <v>0</v>
      </c>
      <c r="AO881" s="1462" t="e">
        <f>#REF!-BS!$D$106-BS!D107</f>
        <v>#REF!</v>
      </c>
    </row>
    <row r="882" spans="1:41" s="1430" customFormat="1" ht="19.899999999999999" customHeight="1">
      <c r="A882" s="1431"/>
      <c r="D882" s="1845" t="s">
        <v>469</v>
      </c>
      <c r="E882" s="1845"/>
      <c r="F882" s="1845"/>
      <c r="G882" s="1845"/>
      <c r="H882" s="1845"/>
      <c r="I882" s="1845"/>
      <c r="J882" s="1845"/>
      <c r="K882" s="1845"/>
      <c r="L882" s="1845"/>
      <c r="M882" s="1845"/>
      <c r="N882" s="1842">
        <v>-282866</v>
      </c>
      <c r="O882" s="1842"/>
      <c r="P882" s="1842"/>
      <c r="Q882" s="1842"/>
      <c r="R882" s="1835">
        <v>0</v>
      </c>
      <c r="S882" s="1835"/>
      <c r="T882" s="1835"/>
      <c r="U882" s="1835"/>
      <c r="V882" s="1835">
        <v>0</v>
      </c>
      <c r="W882" s="1835"/>
      <c r="X882" s="1835"/>
      <c r="Y882" s="1835"/>
      <c r="Z882" s="1835">
        <v>282866</v>
      </c>
      <c r="AA882" s="1835"/>
      <c r="AB882" s="1835"/>
      <c r="AC882" s="1835"/>
      <c r="AD882" s="1843">
        <f t="shared" ref="AD882" si="174">SUM(N882:AC882)</f>
        <v>0</v>
      </c>
      <c r="AE882" s="1843"/>
      <c r="AF882" s="1843"/>
      <c r="AG882" s="1843"/>
      <c r="AM882" s="1461">
        <f t="shared" si="170"/>
        <v>0</v>
      </c>
      <c r="AO882" s="1462">
        <f>AD861-BS!$D$113</f>
        <v>-1</v>
      </c>
    </row>
    <row r="883" spans="1:41" s="1430" customFormat="1" ht="19.899999999999999" customHeight="1" thickBot="1">
      <c r="A883" s="1431"/>
      <c r="D883" s="2046" t="s">
        <v>470</v>
      </c>
      <c r="E883" s="2046"/>
      <c r="F883" s="2046"/>
      <c r="G883" s="2046"/>
      <c r="H883" s="2046"/>
      <c r="I883" s="2046"/>
      <c r="J883" s="2046"/>
      <c r="K883" s="2046"/>
      <c r="L883" s="2046"/>
      <c r="M883" s="2046"/>
      <c r="N883" s="2044">
        <v>120669</v>
      </c>
      <c r="O883" s="2044"/>
      <c r="P883" s="2044"/>
      <c r="Q883" s="2044"/>
      <c r="R883" s="2038">
        <v>273436</v>
      </c>
      <c r="S883" s="2038"/>
      <c r="T883" s="2038"/>
      <c r="U883" s="2038"/>
      <c r="V883" s="2038">
        <v>0</v>
      </c>
      <c r="W883" s="2038"/>
      <c r="X883" s="2038"/>
      <c r="Y883" s="2038"/>
      <c r="Z883" s="2038">
        <v>-120669</v>
      </c>
      <c r="AA883" s="2038"/>
      <c r="AB883" s="2038"/>
      <c r="AC883" s="2038"/>
      <c r="AD883" s="2045">
        <f>SUM(N883:AC883)</f>
        <v>273436</v>
      </c>
      <c r="AE883" s="2045"/>
      <c r="AF883" s="2045"/>
      <c r="AG883" s="2045"/>
      <c r="AM883" s="1461">
        <f t="shared" si="170"/>
        <v>0</v>
      </c>
      <c r="AO883" s="1462">
        <f>AD862-BS!$D$114</f>
        <v>0</v>
      </c>
    </row>
    <row r="884" spans="1:41" s="1430" customFormat="1" ht="19.899999999999999" customHeight="1" thickBot="1">
      <c r="A884" s="1431"/>
      <c r="D884" s="2040" t="s">
        <v>2992</v>
      </c>
      <c r="E884" s="2040"/>
      <c r="F884" s="2040"/>
      <c r="G884" s="2040"/>
      <c r="H884" s="2040"/>
      <c r="I884" s="2040"/>
      <c r="J884" s="2040"/>
      <c r="K884" s="2040"/>
      <c r="L884" s="2040"/>
      <c r="M884" s="2040"/>
      <c r="N884" s="2037">
        <f>SUM(N869:Q883)</f>
        <v>3269687</v>
      </c>
      <c r="O884" s="2037"/>
      <c r="P884" s="2037"/>
      <c r="Q884" s="2037"/>
      <c r="R884" s="2037">
        <f>SUM(R869:U883)</f>
        <v>273436</v>
      </c>
      <c r="S884" s="2037"/>
      <c r="T884" s="2037"/>
      <c r="U884" s="2037"/>
      <c r="V884" s="2037">
        <f>SUM(V869:Y883)</f>
        <v>-395723</v>
      </c>
      <c r="W884" s="2037"/>
      <c r="X884" s="2037"/>
      <c r="Y884" s="2037"/>
      <c r="Z884" s="2037">
        <f>SUM(Z869:AC883)</f>
        <v>0</v>
      </c>
      <c r="AA884" s="2037"/>
      <c r="AB884" s="2037"/>
      <c r="AC884" s="2037"/>
      <c r="AD884" s="2041">
        <f>SUM(N884:AC884)</f>
        <v>3147400</v>
      </c>
      <c r="AE884" s="2042"/>
      <c r="AF884" s="2042"/>
      <c r="AG884" s="2043"/>
      <c r="AM884" s="1461">
        <f t="shared" si="170"/>
        <v>0</v>
      </c>
      <c r="AO884" s="1462">
        <f>AD863-BS!$D$115</f>
        <v>0</v>
      </c>
    </row>
    <row r="885" spans="1:41" s="1430" customFormat="1" ht="14.25" customHeight="1">
      <c r="A885" s="1431"/>
    </row>
    <row r="886" spans="1:41" s="1430" customFormat="1" ht="14.25" customHeight="1">
      <c r="A886" s="1431"/>
      <c r="D886" s="2268" t="s">
        <v>2902</v>
      </c>
      <c r="E886" s="2268"/>
      <c r="F886" s="2268"/>
      <c r="G886" s="2268"/>
      <c r="H886" s="2268"/>
      <c r="I886" s="2268"/>
      <c r="J886" s="2268"/>
      <c r="K886" s="2268"/>
      <c r="L886" s="2268"/>
      <c r="M886" s="2268"/>
      <c r="N886" s="2268"/>
      <c r="O886" s="2268"/>
      <c r="P886" s="2268"/>
      <c r="Q886" s="2268"/>
      <c r="R886" s="2268"/>
      <c r="S886" s="2268"/>
      <c r="T886" s="2268"/>
      <c r="U886" s="2268"/>
      <c r="V886" s="2268"/>
      <c r="W886" s="2268"/>
      <c r="X886" s="2268"/>
      <c r="Y886" s="2268"/>
      <c r="Z886" s="2268"/>
      <c r="AA886" s="2268"/>
      <c r="AB886" s="2268"/>
      <c r="AC886" s="2268"/>
      <c r="AD886" s="2268"/>
      <c r="AE886" s="2268"/>
      <c r="AF886" s="2268"/>
      <c r="AG886" s="2268"/>
    </row>
    <row r="887" spans="1:41" s="1430" customFormat="1" ht="14.25" customHeight="1">
      <c r="A887" s="1513"/>
      <c r="D887" s="1523" t="s">
        <v>2903</v>
      </c>
      <c r="E887" s="1523"/>
      <c r="F887" s="1523"/>
      <c r="G887" s="1523"/>
      <c r="H887" s="1523"/>
      <c r="I887" s="1523"/>
      <c r="J887" s="1523"/>
      <c r="K887" s="1523"/>
      <c r="L887" s="1523"/>
      <c r="M887" s="1523"/>
      <c r="N887" s="1523"/>
      <c r="O887" s="1523"/>
      <c r="P887" s="1523"/>
      <c r="Q887" s="1523"/>
      <c r="R887" s="1523"/>
      <c r="S887" s="1523"/>
      <c r="T887" s="1523"/>
      <c r="U887" s="1523"/>
      <c r="V887" s="1523"/>
      <c r="W887" s="1523"/>
      <c r="X887" s="1523"/>
      <c r="Y887" s="1523"/>
      <c r="Z887" s="1523"/>
      <c r="AA887" s="1523"/>
      <c r="AB887" s="1523"/>
      <c r="AC887" s="1523"/>
      <c r="AD887" s="1523"/>
      <c r="AE887" s="1523"/>
      <c r="AF887" s="1523"/>
      <c r="AG887" s="1523"/>
    </row>
    <row r="888" spans="1:41" s="1430" customFormat="1" ht="14.25" customHeight="1">
      <c r="A888" s="1431"/>
      <c r="D888" s="2269" t="s">
        <v>2904</v>
      </c>
      <c r="E888" s="2269"/>
      <c r="F888" s="2269"/>
      <c r="G888" s="2269"/>
      <c r="H888" s="2269"/>
      <c r="I888" s="2269"/>
      <c r="J888" s="2269"/>
      <c r="K888" s="2269"/>
      <c r="L888" s="2269"/>
      <c r="M888" s="2269"/>
      <c r="N888" s="2269"/>
      <c r="O888" s="2269"/>
      <c r="P888" s="2269"/>
      <c r="Q888" s="2269"/>
      <c r="R888" s="2269"/>
      <c r="S888" s="2269"/>
      <c r="T888" s="2269"/>
      <c r="U888" s="2269"/>
      <c r="V888" s="2269"/>
      <c r="W888" s="2269"/>
      <c r="X888" s="2269"/>
      <c r="Y888" s="2269"/>
      <c r="Z888" s="2269"/>
      <c r="AA888" s="2269"/>
      <c r="AB888" s="2269"/>
      <c r="AC888" s="2269"/>
      <c r="AD888" s="2269"/>
      <c r="AE888" s="2269"/>
      <c r="AF888" s="2269"/>
      <c r="AG888" s="2269"/>
    </row>
    <row r="889" spans="1:41" s="1430" customFormat="1" ht="14.25" customHeight="1">
      <c r="A889" s="1431"/>
      <c r="D889" s="2269"/>
      <c r="E889" s="2269"/>
      <c r="F889" s="2269"/>
      <c r="G889" s="2269"/>
      <c r="H889" s="2269"/>
      <c r="I889" s="2269"/>
      <c r="J889" s="2269"/>
      <c r="K889" s="2269"/>
      <c r="L889" s="2269"/>
      <c r="M889" s="2269"/>
      <c r="N889" s="2269"/>
      <c r="O889" s="2269"/>
      <c r="P889" s="2269"/>
      <c r="Q889" s="2269"/>
      <c r="R889" s="2269"/>
      <c r="S889" s="2269"/>
      <c r="T889" s="2269"/>
      <c r="U889" s="2269"/>
      <c r="V889" s="2269"/>
      <c r="W889" s="2269"/>
      <c r="X889" s="2269"/>
      <c r="Y889" s="2269"/>
      <c r="Z889" s="2269"/>
      <c r="AA889" s="2269"/>
      <c r="AB889" s="2269"/>
      <c r="AC889" s="2269"/>
      <c r="AD889" s="2269"/>
      <c r="AE889" s="2269"/>
      <c r="AF889" s="2269"/>
      <c r="AG889" s="2269"/>
    </row>
    <row r="890" spans="1:41" s="1430" customFormat="1" ht="14.25" customHeight="1">
      <c r="A890" s="1431"/>
    </row>
    <row r="891" spans="1:41" s="1430" customFormat="1" ht="14.25" customHeight="1">
      <c r="A891" s="1431"/>
      <c r="D891" s="582" t="s">
        <v>3015</v>
      </c>
    </row>
    <row r="892" spans="1:41" s="1430" customFormat="1" ht="14.25" customHeight="1">
      <c r="A892" s="1431"/>
    </row>
    <row r="893" spans="1:41" s="1430" customFormat="1" ht="14.25" customHeight="1">
      <c r="A893" s="1431"/>
      <c r="D893" s="1809" t="s">
        <v>2778</v>
      </c>
      <c r="E893" s="1809"/>
      <c r="F893" s="1809"/>
      <c r="G893" s="1809"/>
      <c r="H893" s="1809"/>
      <c r="I893" s="1809"/>
      <c r="J893" s="1809"/>
      <c r="K893" s="1809"/>
      <c r="L893" s="1809"/>
      <c r="M893" s="1809"/>
      <c r="N893" s="1809"/>
      <c r="O893" s="1809"/>
      <c r="P893" s="1809"/>
      <c r="Q893" s="1809"/>
      <c r="R893" s="1809"/>
      <c r="S893" s="1809"/>
      <c r="T893" s="1809"/>
      <c r="U893" s="1809"/>
      <c r="V893" s="1809"/>
      <c r="W893" s="1809"/>
      <c r="X893" s="1809"/>
      <c r="Y893" s="1809"/>
      <c r="Z893" s="1809"/>
      <c r="AA893" s="1809"/>
      <c r="AB893" s="1809"/>
      <c r="AC893" s="1809"/>
      <c r="AD893" s="1809"/>
      <c r="AE893" s="1809"/>
      <c r="AF893" s="1809"/>
      <c r="AG893" s="1809"/>
    </row>
    <row r="894" spans="1:41" s="1430" customFormat="1" ht="14.25" customHeight="1">
      <c r="A894" s="1431"/>
    </row>
    <row r="895" spans="1:41" s="1430" customFormat="1" ht="14.25" customHeight="1">
      <c r="A895" s="1431"/>
      <c r="D895" s="582" t="s">
        <v>3016</v>
      </c>
    </row>
    <row r="896" spans="1:41" s="1430" customFormat="1" ht="14.25" customHeight="1">
      <c r="A896" s="1431"/>
    </row>
    <row r="897" spans="1:33" s="1430" customFormat="1" ht="14.25" customHeight="1">
      <c r="A897" s="1431"/>
      <c r="D897" s="1884" t="s">
        <v>2937</v>
      </c>
      <c r="E897" s="1884"/>
      <c r="F897" s="1884"/>
      <c r="G897" s="1884"/>
      <c r="H897" s="1884"/>
      <c r="I897" s="1884"/>
      <c r="J897" s="1884"/>
      <c r="K897" s="1884"/>
      <c r="L897" s="1884"/>
      <c r="M897" s="1884"/>
      <c r="N897" s="1884"/>
      <c r="O897" s="1884"/>
      <c r="P897" s="1884"/>
      <c r="Q897" s="1884"/>
      <c r="R897" s="1884"/>
      <c r="S897" s="1884"/>
      <c r="T897" s="1884"/>
      <c r="U897" s="1884"/>
      <c r="V897" s="1884"/>
      <c r="W897" s="1884"/>
      <c r="X897" s="1884"/>
      <c r="Y897" s="1884"/>
      <c r="Z897" s="1884"/>
      <c r="AA897" s="1884"/>
      <c r="AB897" s="1884"/>
      <c r="AC897" s="1884"/>
      <c r="AD897" s="1884"/>
      <c r="AE897" s="1884"/>
      <c r="AF897" s="1884"/>
      <c r="AG897" s="1884"/>
    </row>
    <row r="898" spans="1:33" s="1430" customFormat="1" ht="14.25" customHeight="1">
      <c r="A898" s="1431"/>
      <c r="D898" s="1884"/>
      <c r="E898" s="1884"/>
      <c r="F898" s="1884"/>
      <c r="G898" s="1884"/>
      <c r="H898" s="1884"/>
      <c r="I898" s="1884"/>
      <c r="J898" s="1884"/>
      <c r="K898" s="1884"/>
      <c r="L898" s="1884"/>
      <c r="M898" s="1884"/>
      <c r="N898" s="1884"/>
      <c r="O898" s="1884"/>
      <c r="P898" s="1884"/>
      <c r="Q898" s="1884"/>
      <c r="R898" s="1884"/>
      <c r="S898" s="1884"/>
      <c r="T898" s="1884"/>
      <c r="U898" s="1884"/>
      <c r="V898" s="1884"/>
      <c r="W898" s="1884"/>
      <c r="X898" s="1884"/>
      <c r="Y898" s="1884"/>
      <c r="Z898" s="1884"/>
      <c r="AA898" s="1884"/>
      <c r="AB898" s="1884"/>
      <c r="AC898" s="1884"/>
      <c r="AD898" s="1884"/>
      <c r="AE898" s="1884"/>
      <c r="AF898" s="1884"/>
      <c r="AG898" s="1884"/>
    </row>
    <row r="900" spans="1:33" ht="14.25" customHeight="1">
      <c r="D900" s="1428"/>
      <c r="E900" s="1428"/>
      <c r="F900" s="1428"/>
      <c r="G900" s="1428"/>
      <c r="H900" s="1428"/>
      <c r="I900" s="1428"/>
      <c r="J900" s="1428"/>
      <c r="K900" s="1428"/>
      <c r="L900" s="1428"/>
      <c r="M900" s="1428"/>
    </row>
  </sheetData>
  <mergeCells count="2249">
    <mergeCell ref="D781:M781"/>
    <mergeCell ref="N781:W781"/>
    <mergeCell ref="X781:AG781"/>
    <mergeCell ref="D774:AG774"/>
    <mergeCell ref="D707:AG707"/>
    <mergeCell ref="N559:W559"/>
    <mergeCell ref="X559:AG559"/>
    <mergeCell ref="N560:W560"/>
    <mergeCell ref="X560:AG560"/>
    <mergeCell ref="N561:W561"/>
    <mergeCell ref="X561:AG561"/>
    <mergeCell ref="N563:W563"/>
    <mergeCell ref="X563:AG563"/>
    <mergeCell ref="N564:W564"/>
    <mergeCell ref="X564:AG564"/>
    <mergeCell ref="N565:W565"/>
    <mergeCell ref="X565:AG565"/>
    <mergeCell ref="N566:W566"/>
    <mergeCell ref="X566:AG566"/>
    <mergeCell ref="N567:W567"/>
    <mergeCell ref="X567:AG567"/>
    <mergeCell ref="N568:W568"/>
    <mergeCell ref="X568:AG568"/>
    <mergeCell ref="D776:M777"/>
    <mergeCell ref="N776:W777"/>
    <mergeCell ref="X776:AG777"/>
    <mergeCell ref="D780:M780"/>
    <mergeCell ref="N780:W780"/>
    <mergeCell ref="X780:AG780"/>
    <mergeCell ref="D779:M779"/>
    <mergeCell ref="N779:W779"/>
    <mergeCell ref="X779:AG779"/>
    <mergeCell ref="D526:AG526"/>
    <mergeCell ref="D653:AG673"/>
    <mergeCell ref="D557:M557"/>
    <mergeCell ref="N557:W557"/>
    <mergeCell ref="X557:AG557"/>
    <mergeCell ref="D558:M558"/>
    <mergeCell ref="N558:W558"/>
    <mergeCell ref="X558:AG558"/>
    <mergeCell ref="D562:M562"/>
    <mergeCell ref="N562:W562"/>
    <mergeCell ref="X562:AG562"/>
    <mergeCell ref="X770:AG770"/>
    <mergeCell ref="N770:W770"/>
    <mergeCell ref="N769:W769"/>
    <mergeCell ref="D770:M770"/>
    <mergeCell ref="D769:M769"/>
    <mergeCell ref="D756:M756"/>
    <mergeCell ref="N756:W756"/>
    <mergeCell ref="X756:AG756"/>
    <mergeCell ref="X757:AG757"/>
    <mergeCell ref="N622:Q622"/>
    <mergeCell ref="R622:U622"/>
    <mergeCell ref="V622:Y622"/>
    <mergeCell ref="V624:Y624"/>
    <mergeCell ref="Z624:AC624"/>
    <mergeCell ref="N626:Q626"/>
    <mergeCell ref="D768:M768"/>
    <mergeCell ref="N768:W768"/>
    <mergeCell ref="X769:AG769"/>
    <mergeCell ref="N767:W767"/>
    <mergeCell ref="D742:M743"/>
    <mergeCell ref="N742:W743"/>
    <mergeCell ref="D463:L463"/>
    <mergeCell ref="M463:S463"/>
    <mergeCell ref="T463:Z463"/>
    <mergeCell ref="AA463:AG463"/>
    <mergeCell ref="D454:L454"/>
    <mergeCell ref="M454:S454"/>
    <mergeCell ref="T454:Z454"/>
    <mergeCell ref="D455:L455"/>
    <mergeCell ref="M455:S455"/>
    <mergeCell ref="T453:Z453"/>
    <mergeCell ref="AA453:AG453"/>
    <mergeCell ref="D778:M778"/>
    <mergeCell ref="N778:W778"/>
    <mergeCell ref="X778:AG778"/>
    <mergeCell ref="T455:Z455"/>
    <mergeCell ref="AA455:AG455"/>
    <mergeCell ref="D456:AG456"/>
    <mergeCell ref="D758:M758"/>
    <mergeCell ref="N758:W758"/>
    <mergeCell ref="X758:AG758"/>
    <mergeCell ref="X759:AG759"/>
    <mergeCell ref="N759:W759"/>
    <mergeCell ref="D759:M759"/>
    <mergeCell ref="D760:M760"/>
    <mergeCell ref="D761:M761"/>
    <mergeCell ref="D762:M762"/>
    <mergeCell ref="X763:AG763"/>
    <mergeCell ref="N763:W763"/>
    <mergeCell ref="X762:AG762"/>
    <mergeCell ref="N762:W762"/>
    <mergeCell ref="X761:AG761"/>
    <mergeCell ref="N761:W761"/>
    <mergeCell ref="AC407:AG407"/>
    <mergeCell ref="D408:H408"/>
    <mergeCell ref="I408:M408"/>
    <mergeCell ref="N408:R408"/>
    <mergeCell ref="S408:W408"/>
    <mergeCell ref="X408:AB408"/>
    <mergeCell ref="D457:L457"/>
    <mergeCell ref="M457:S457"/>
    <mergeCell ref="T457:Z457"/>
    <mergeCell ref="AA457:AG457"/>
    <mergeCell ref="AC414:AG414"/>
    <mergeCell ref="D415:H415"/>
    <mergeCell ref="I415:M415"/>
    <mergeCell ref="N415:R415"/>
    <mergeCell ref="S415:W415"/>
    <mergeCell ref="X415:AB415"/>
    <mergeCell ref="AC415:AG415"/>
    <mergeCell ref="S414:W414"/>
    <mergeCell ref="X414:AB414"/>
    <mergeCell ref="D419:H419"/>
    <mergeCell ref="I419:M419"/>
    <mergeCell ref="N419:R419"/>
    <mergeCell ref="S419:W419"/>
    <mergeCell ref="M453:S453"/>
    <mergeCell ref="D453:L453"/>
    <mergeCell ref="X420:AB420"/>
    <mergeCell ref="T395:Z395"/>
    <mergeCell ref="D404:H405"/>
    <mergeCell ref="D458:L458"/>
    <mergeCell ref="M458:S458"/>
    <mergeCell ref="T458:Z458"/>
    <mergeCell ref="AC420:AG420"/>
    <mergeCell ref="D422:AG422"/>
    <mergeCell ref="D438:L438"/>
    <mergeCell ref="D439:L439"/>
    <mergeCell ref="D440:L440"/>
    <mergeCell ref="D441:L441"/>
    <mergeCell ref="D442:L442"/>
    <mergeCell ref="D443:L443"/>
    <mergeCell ref="D444:L444"/>
    <mergeCell ref="AA434:AG434"/>
    <mergeCell ref="AA433:AG433"/>
    <mergeCell ref="AA432:AG432"/>
    <mergeCell ref="AA431:AG431"/>
    <mergeCell ref="AA430:AG430"/>
    <mergeCell ref="D436:AG436"/>
    <mergeCell ref="D437:L437"/>
    <mergeCell ref="M437:S437"/>
    <mergeCell ref="T437:Z437"/>
    <mergeCell ref="AA437:AG437"/>
    <mergeCell ref="M441:S441"/>
    <mergeCell ref="T441:Z441"/>
    <mergeCell ref="AA441:AG441"/>
    <mergeCell ref="M442:S442"/>
    <mergeCell ref="T442:Z442"/>
    <mergeCell ref="AA442:AG442"/>
    <mergeCell ref="M443:S443"/>
    <mergeCell ref="T443:Z443"/>
    <mergeCell ref="I413:AG413"/>
    <mergeCell ref="I414:M414"/>
    <mergeCell ref="N414:R414"/>
    <mergeCell ref="T462:Z462"/>
    <mergeCell ref="AA462:AG462"/>
    <mergeCell ref="D398:AG398"/>
    <mergeCell ref="D416:H416"/>
    <mergeCell ref="I416:M416"/>
    <mergeCell ref="N416:R416"/>
    <mergeCell ref="S416:W416"/>
    <mergeCell ref="X416:AB416"/>
    <mergeCell ref="AC416:AG416"/>
    <mergeCell ref="D417:H417"/>
    <mergeCell ref="I417:M417"/>
    <mergeCell ref="N417:R417"/>
    <mergeCell ref="S417:W417"/>
    <mergeCell ref="X417:AB417"/>
    <mergeCell ref="AC417:AG417"/>
    <mergeCell ref="D418:H418"/>
    <mergeCell ref="I418:M418"/>
    <mergeCell ref="N418:R418"/>
    <mergeCell ref="S418:W418"/>
    <mergeCell ref="X418:AB418"/>
    <mergeCell ref="AA443:AG443"/>
    <mergeCell ref="M438:S438"/>
    <mergeCell ref="T438:Z438"/>
    <mergeCell ref="AA438:AG438"/>
    <mergeCell ref="M439:S439"/>
    <mergeCell ref="AC418:AG418"/>
    <mergeCell ref="D407:H407"/>
    <mergeCell ref="I407:M407"/>
    <mergeCell ref="N407:R407"/>
    <mergeCell ref="D381:H381"/>
    <mergeCell ref="I381:M381"/>
    <mergeCell ref="N381:R381"/>
    <mergeCell ref="S381:W381"/>
    <mergeCell ref="X381:AB381"/>
    <mergeCell ref="AC381:AG381"/>
    <mergeCell ref="D382:H382"/>
    <mergeCell ref="D385:H385"/>
    <mergeCell ref="I385:M385"/>
    <mergeCell ref="N385:R385"/>
    <mergeCell ref="S385:W385"/>
    <mergeCell ref="AC408:AG408"/>
    <mergeCell ref="D402:AG402"/>
    <mergeCell ref="X383:AB383"/>
    <mergeCell ref="AC383:AG383"/>
    <mergeCell ref="D384:H384"/>
    <mergeCell ref="I384:M384"/>
    <mergeCell ref="N384:R384"/>
    <mergeCell ref="S384:W384"/>
    <mergeCell ref="X384:AB384"/>
    <mergeCell ref="AC384:AG384"/>
    <mergeCell ref="X385:AB385"/>
    <mergeCell ref="AC385:AG385"/>
    <mergeCell ref="T396:Z396"/>
    <mergeCell ref="AA394:AG394"/>
    <mergeCell ref="AA396:AG396"/>
    <mergeCell ref="AA395:AG395"/>
    <mergeCell ref="D394:S394"/>
    <mergeCell ref="D391:AG392"/>
    <mergeCell ref="T394:Z394"/>
    <mergeCell ref="D395:S395"/>
    <mergeCell ref="D396:S396"/>
    <mergeCell ref="D377:H378"/>
    <mergeCell ref="I377:AG377"/>
    <mergeCell ref="I378:M378"/>
    <mergeCell ref="N378:R378"/>
    <mergeCell ref="S378:W378"/>
    <mergeCell ref="X378:AB378"/>
    <mergeCell ref="AC378:AG378"/>
    <mergeCell ref="D379:H379"/>
    <mergeCell ref="I379:M379"/>
    <mergeCell ref="N379:R379"/>
    <mergeCell ref="S379:W379"/>
    <mergeCell ref="X379:AB379"/>
    <mergeCell ref="AC379:AG379"/>
    <mergeCell ref="D380:H380"/>
    <mergeCell ref="I380:M380"/>
    <mergeCell ref="N380:R380"/>
    <mergeCell ref="S380:W380"/>
    <mergeCell ref="X380:AB380"/>
    <mergeCell ref="AC380:AG380"/>
    <mergeCell ref="N383:R383"/>
    <mergeCell ref="S383:W383"/>
    <mergeCell ref="D388:AG389"/>
    <mergeCell ref="D802:O802"/>
    <mergeCell ref="P802:X802"/>
    <mergeCell ref="Y802:AG802"/>
    <mergeCell ref="D804:AG804"/>
    <mergeCell ref="D795:AG795"/>
    <mergeCell ref="D796:O796"/>
    <mergeCell ref="P796:X796"/>
    <mergeCell ref="Y796:AG796"/>
    <mergeCell ref="D797:O797"/>
    <mergeCell ref="P797:X797"/>
    <mergeCell ref="Y797:AG797"/>
    <mergeCell ref="D798:O798"/>
    <mergeCell ref="P798:X798"/>
    <mergeCell ref="Y798:AG798"/>
    <mergeCell ref="D799:O799"/>
    <mergeCell ref="P799:X799"/>
    <mergeCell ref="Y799:AG799"/>
    <mergeCell ref="D800:O800"/>
    <mergeCell ref="P800:X800"/>
    <mergeCell ref="Y800:AG800"/>
    <mergeCell ref="N785:W785"/>
    <mergeCell ref="X785:AG785"/>
    <mergeCell ref="D386:H386"/>
    <mergeCell ref="I386:M386"/>
    <mergeCell ref="N386:R386"/>
    <mergeCell ref="S386:W386"/>
    <mergeCell ref="X386:AB386"/>
    <mergeCell ref="AC386:AG386"/>
    <mergeCell ref="D413:H414"/>
    <mergeCell ref="J808:M808"/>
    <mergeCell ref="D809:I809"/>
    <mergeCell ref="J809:M809"/>
    <mergeCell ref="J812:M812"/>
    <mergeCell ref="D801:O801"/>
    <mergeCell ref="P801:X801"/>
    <mergeCell ref="Y801:AG801"/>
    <mergeCell ref="N807:Q807"/>
    <mergeCell ref="R807:U807"/>
    <mergeCell ref="AD807:AG807"/>
    <mergeCell ref="D808:I808"/>
    <mergeCell ref="D886:AG886"/>
    <mergeCell ref="D888:AG889"/>
    <mergeCell ref="D897:AG898"/>
    <mergeCell ref="D843:AG843"/>
    <mergeCell ref="D824:AG824"/>
    <mergeCell ref="D828:AG828"/>
    <mergeCell ref="D830:L831"/>
    <mergeCell ref="M830:Q831"/>
    <mergeCell ref="R830:AG830"/>
    <mergeCell ref="M834:Q834"/>
    <mergeCell ref="D835:L835"/>
    <mergeCell ref="M835:Q835"/>
    <mergeCell ref="M836:Q836"/>
    <mergeCell ref="M840:Q840"/>
    <mergeCell ref="M841:Q841"/>
    <mergeCell ref="D845:AG845"/>
    <mergeCell ref="D847:M848"/>
    <mergeCell ref="N847:AG847"/>
    <mergeCell ref="D867:M868"/>
    <mergeCell ref="N867:AG867"/>
    <mergeCell ref="D893:AG893"/>
    <mergeCell ref="N868:Q868"/>
    <mergeCell ref="R868:U868"/>
    <mergeCell ref="V868:Y868"/>
    <mergeCell ref="Z868:AC868"/>
    <mergeCell ref="AD868:AG868"/>
    <mergeCell ref="N848:Q848"/>
    <mergeCell ref="R848:U848"/>
    <mergeCell ref="V848:Y848"/>
    <mergeCell ref="Z848:AC848"/>
    <mergeCell ref="AD848:AG848"/>
    <mergeCell ref="D849:M849"/>
    <mergeCell ref="D850:M850"/>
    <mergeCell ref="D851:M851"/>
    <mergeCell ref="R831:Y831"/>
    <mergeCell ref="Z831:AG831"/>
    <mergeCell ref="D832:L832"/>
    <mergeCell ref="N810:Q810"/>
    <mergeCell ref="N819:Q819"/>
    <mergeCell ref="D810:I810"/>
    <mergeCell ref="D834:L834"/>
    <mergeCell ref="R835:Y835"/>
    <mergeCell ref="Z835:AG835"/>
    <mergeCell ref="D839:L839"/>
    <mergeCell ref="R836:Y836"/>
    <mergeCell ref="Z836:AG836"/>
    <mergeCell ref="D840:L840"/>
    <mergeCell ref="Z849:AC849"/>
    <mergeCell ref="M833:Q833"/>
    <mergeCell ref="D838:L838"/>
    <mergeCell ref="D790:M790"/>
    <mergeCell ref="X787:AG787"/>
    <mergeCell ref="D786:M786"/>
    <mergeCell ref="D787:M787"/>
    <mergeCell ref="D788:M788"/>
    <mergeCell ref="D803:AG803"/>
    <mergeCell ref="D805:I807"/>
    <mergeCell ref="J805:U806"/>
    <mergeCell ref="D276:R276"/>
    <mergeCell ref="S276:AG276"/>
    <mergeCell ref="D278:R278"/>
    <mergeCell ref="S278:AG278"/>
    <mergeCell ref="N749:W749"/>
    <mergeCell ref="X749:AG749"/>
    <mergeCell ref="D750:M750"/>
    <mergeCell ref="N750:W750"/>
    <mergeCell ref="X750:AG750"/>
    <mergeCell ref="D281:AG281"/>
    <mergeCell ref="D352:I352"/>
    <mergeCell ref="D353:I353"/>
    <mergeCell ref="J352:N352"/>
    <mergeCell ref="J353:N353"/>
    <mergeCell ref="D351:I351"/>
    <mergeCell ref="O351:R351"/>
    <mergeCell ref="O352:R352"/>
    <mergeCell ref="O353:R353"/>
    <mergeCell ref="J351:N351"/>
    <mergeCell ref="V805:AG806"/>
    <mergeCell ref="X382:AB382"/>
    <mergeCell ref="AC382:AG382"/>
    <mergeCell ref="D383:H383"/>
    <mergeCell ref="I383:M383"/>
    <mergeCell ref="S277:AG277"/>
    <mergeCell ref="V229:X229"/>
    <mergeCell ref="D231:I231"/>
    <mergeCell ref="AE230:AG230"/>
    <mergeCell ref="AE231:AG231"/>
    <mergeCell ref="D812:I812"/>
    <mergeCell ref="X635:AG635"/>
    <mergeCell ref="N635:W635"/>
    <mergeCell ref="D635:M635"/>
    <mergeCell ref="X637:AG637"/>
    <mergeCell ref="N637:W637"/>
    <mergeCell ref="D637:M637"/>
    <mergeCell ref="D645:AG645"/>
    <mergeCell ref="D754:M754"/>
    <mergeCell ref="N754:W754"/>
    <mergeCell ref="X754:AG754"/>
    <mergeCell ref="AD808:AG808"/>
    <mergeCell ref="AD810:AG810"/>
    <mergeCell ref="AD809:AG809"/>
    <mergeCell ref="D789:M789"/>
    <mergeCell ref="N786:W786"/>
    <mergeCell ref="X786:AG786"/>
    <mergeCell ref="D772:M772"/>
    <mergeCell ref="D748:M748"/>
    <mergeCell ref="N748:W748"/>
    <mergeCell ref="X748:AG748"/>
    <mergeCell ref="D749:M749"/>
    <mergeCell ref="D783:M784"/>
    <mergeCell ref="D793:AG793"/>
    <mergeCell ref="N783:W784"/>
    <mergeCell ref="X783:AG784"/>
    <mergeCell ref="D785:M785"/>
    <mergeCell ref="D350:R350"/>
    <mergeCell ref="D339:R339"/>
    <mergeCell ref="S339:AG339"/>
    <mergeCell ref="D340:R340"/>
    <mergeCell ref="S340:AG340"/>
    <mergeCell ref="D338:R338"/>
    <mergeCell ref="S338:AG338"/>
    <mergeCell ref="D747:M747"/>
    <mergeCell ref="N747:W747"/>
    <mergeCell ref="X747:AG747"/>
    <mergeCell ref="I382:M382"/>
    <mergeCell ref="N382:R382"/>
    <mergeCell ref="S382:W382"/>
    <mergeCell ref="J811:M811"/>
    <mergeCell ref="N808:Q808"/>
    <mergeCell ref="R808:U808"/>
    <mergeCell ref="V808:Y808"/>
    <mergeCell ref="Z808:AC808"/>
    <mergeCell ref="R810:U810"/>
    <mergeCell ref="V810:Y810"/>
    <mergeCell ref="Z810:AC810"/>
    <mergeCell ref="D764:M764"/>
    <mergeCell ref="D765:M765"/>
    <mergeCell ref="D766:M766"/>
    <mergeCell ref="N809:Q809"/>
    <mergeCell ref="R809:U809"/>
    <mergeCell ref="V809:Y809"/>
    <mergeCell ref="Z809:AC809"/>
    <mergeCell ref="X771:AG771"/>
    <mergeCell ref="N772:W772"/>
    <mergeCell ref="X766:AG766"/>
    <mergeCell ref="N766:W766"/>
    <mergeCell ref="J810:M810"/>
    <mergeCell ref="X767:AG767"/>
    <mergeCell ref="N771:W771"/>
    <mergeCell ref="X768:AG768"/>
    <mergeCell ref="X772:AG772"/>
    <mergeCell ref="N765:W765"/>
    <mergeCell ref="X765:AG765"/>
    <mergeCell ref="D811:I811"/>
    <mergeCell ref="J807:M807"/>
    <mergeCell ref="V807:Y807"/>
    <mergeCell ref="Z807:AC807"/>
    <mergeCell ref="AD818:AG818"/>
    <mergeCell ref="D819:I819"/>
    <mergeCell ref="J819:M819"/>
    <mergeCell ref="N816:Q816"/>
    <mergeCell ref="R816:U816"/>
    <mergeCell ref="V816:Y816"/>
    <mergeCell ref="Z816:AC816"/>
    <mergeCell ref="AD816:AG816"/>
    <mergeCell ref="D816:I816"/>
    <mergeCell ref="J816:M816"/>
    <mergeCell ref="N813:Q813"/>
    <mergeCell ref="R813:U813"/>
    <mergeCell ref="V813:Y813"/>
    <mergeCell ref="Z813:AC813"/>
    <mergeCell ref="AD813:AG813"/>
    <mergeCell ref="D818:I818"/>
    <mergeCell ref="J818:M818"/>
    <mergeCell ref="N815:Q815"/>
    <mergeCell ref="R815:U815"/>
    <mergeCell ref="V815:Y815"/>
    <mergeCell ref="Z815:AC815"/>
    <mergeCell ref="V819:Y819"/>
    <mergeCell ref="Z819:AC819"/>
    <mergeCell ref="AD819:AG819"/>
    <mergeCell ref="R819:U819"/>
    <mergeCell ref="Z814:AC814"/>
    <mergeCell ref="R837:Y837"/>
    <mergeCell ref="Z837:AG837"/>
    <mergeCell ref="D841:L841"/>
    <mergeCell ref="R838:Y838"/>
    <mergeCell ref="Z838:AG838"/>
    <mergeCell ref="R839:Y839"/>
    <mergeCell ref="Z839:AG839"/>
    <mergeCell ref="M838:Q838"/>
    <mergeCell ref="R841:Y841"/>
    <mergeCell ref="Z841:AG841"/>
    <mergeCell ref="M837:Q837"/>
    <mergeCell ref="R840:Y840"/>
    <mergeCell ref="Z840:AG840"/>
    <mergeCell ref="R832:Y832"/>
    <mergeCell ref="D836:L836"/>
    <mergeCell ref="R833:Y833"/>
    <mergeCell ref="Z833:AG833"/>
    <mergeCell ref="D837:L837"/>
    <mergeCell ref="R834:Y834"/>
    <mergeCell ref="Z834:AG834"/>
    <mergeCell ref="Z832:AG832"/>
    <mergeCell ref="D833:L833"/>
    <mergeCell ref="M832:Q832"/>
    <mergeCell ref="M839:Q839"/>
    <mergeCell ref="D822:AG822"/>
    <mergeCell ref="J814:M814"/>
    <mergeCell ref="V811:Y811"/>
    <mergeCell ref="Z811:AC811"/>
    <mergeCell ref="AD811:AG811"/>
    <mergeCell ref="J815:M815"/>
    <mergeCell ref="N812:Q812"/>
    <mergeCell ref="R812:U812"/>
    <mergeCell ref="V812:Y812"/>
    <mergeCell ref="Z812:AC812"/>
    <mergeCell ref="AD812:AG812"/>
    <mergeCell ref="J817:M817"/>
    <mergeCell ref="N814:Q814"/>
    <mergeCell ref="R814:U814"/>
    <mergeCell ref="V814:Y814"/>
    <mergeCell ref="AD814:AG814"/>
    <mergeCell ref="N817:Q817"/>
    <mergeCell ref="R817:U817"/>
    <mergeCell ref="V817:Y817"/>
    <mergeCell ref="Z817:AC817"/>
    <mergeCell ref="AD817:AG817"/>
    <mergeCell ref="AD815:AG815"/>
    <mergeCell ref="N818:Q818"/>
    <mergeCell ref="R818:U818"/>
    <mergeCell ref="V818:Y818"/>
    <mergeCell ref="Z818:AC818"/>
    <mergeCell ref="D813:I813"/>
    <mergeCell ref="J813:M813"/>
    <mergeCell ref="D814:I814"/>
    <mergeCell ref="D815:I815"/>
    <mergeCell ref="D817:I817"/>
    <mergeCell ref="D751:M751"/>
    <mergeCell ref="N751:W751"/>
    <mergeCell ref="D767:M767"/>
    <mergeCell ref="N764:W764"/>
    <mergeCell ref="X764:AG764"/>
    <mergeCell ref="D752:M752"/>
    <mergeCell ref="N752:W752"/>
    <mergeCell ref="X752:AG752"/>
    <mergeCell ref="D753:M753"/>
    <mergeCell ref="N753:W753"/>
    <mergeCell ref="X753:AG753"/>
    <mergeCell ref="D763:M763"/>
    <mergeCell ref="N760:W760"/>
    <mergeCell ref="X760:AG760"/>
    <mergeCell ref="D755:M755"/>
    <mergeCell ref="N755:W755"/>
    <mergeCell ref="X755:AG755"/>
    <mergeCell ref="N757:W757"/>
    <mergeCell ref="D757:M757"/>
    <mergeCell ref="N788:W788"/>
    <mergeCell ref="X788:AG788"/>
    <mergeCell ref="N811:Q811"/>
    <mergeCell ref="R811:U811"/>
    <mergeCell ref="X742:AG743"/>
    <mergeCell ref="D744:M744"/>
    <mergeCell ref="N744:W744"/>
    <mergeCell ref="X744:AG744"/>
    <mergeCell ref="D745:M745"/>
    <mergeCell ref="N745:W745"/>
    <mergeCell ref="X745:AG745"/>
    <mergeCell ref="AD622:AG622"/>
    <mergeCell ref="AD624:AG624"/>
    <mergeCell ref="D627:AG627"/>
    <mergeCell ref="D631:AG631"/>
    <mergeCell ref="D633:M633"/>
    <mergeCell ref="N633:W633"/>
    <mergeCell ref="X633:AG633"/>
    <mergeCell ref="D634:M634"/>
    <mergeCell ref="N634:W634"/>
    <mergeCell ref="X634:AG634"/>
    <mergeCell ref="AD626:AG626"/>
    <mergeCell ref="K622:M622"/>
    <mergeCell ref="D623:AG623"/>
    <mergeCell ref="D624:J624"/>
    <mergeCell ref="D649:AG649"/>
    <mergeCell ref="V683:Y683"/>
    <mergeCell ref="V684:Y684"/>
    <mergeCell ref="D677:AG677"/>
    <mergeCell ref="D679:AG679"/>
    <mergeCell ref="D681:I682"/>
    <mergeCell ref="N682:Q682"/>
    <mergeCell ref="J682:M682"/>
    <mergeCell ref="R682:U682"/>
    <mergeCell ref="D685:I685"/>
    <mergeCell ref="D684:I684"/>
    <mergeCell ref="AB235:AD235"/>
    <mergeCell ref="AB237:AD237"/>
    <mergeCell ref="AE233:AG233"/>
    <mergeCell ref="M233:O233"/>
    <mergeCell ref="M234:O234"/>
    <mergeCell ref="M235:O235"/>
    <mergeCell ref="M237:O237"/>
    <mergeCell ref="P233:R233"/>
    <mergeCell ref="P234:R234"/>
    <mergeCell ref="P235:R235"/>
    <mergeCell ref="P237:R237"/>
    <mergeCell ref="S233:U233"/>
    <mergeCell ref="S234:U234"/>
    <mergeCell ref="S235:U235"/>
    <mergeCell ref="S237:U237"/>
    <mergeCell ref="V233:X233"/>
    <mergeCell ref="V234:X234"/>
    <mergeCell ref="Y233:AA233"/>
    <mergeCell ref="AE234:AG234"/>
    <mergeCell ref="AE235:AG235"/>
    <mergeCell ref="AB236:AD236"/>
    <mergeCell ref="AE236:AG236"/>
    <mergeCell ref="Y234:AA234"/>
    <mergeCell ref="Y235:AA235"/>
    <mergeCell ref="AB233:AD233"/>
    <mergeCell ref="AB234:AD234"/>
    <mergeCell ref="S236:U236"/>
    <mergeCell ref="V236:X236"/>
    <mergeCell ref="Y236:AA236"/>
    <mergeCell ref="V237:X237"/>
    <mergeCell ref="AE237:AG237"/>
    <mergeCell ref="Y237:AA237"/>
    <mergeCell ref="D188:AG188"/>
    <mergeCell ref="D192:AG193"/>
    <mergeCell ref="D200:AG202"/>
    <mergeCell ref="E204:AG205"/>
    <mergeCell ref="E207:AG208"/>
    <mergeCell ref="E210:AG210"/>
    <mergeCell ref="D212:AG212"/>
    <mergeCell ref="D224:I225"/>
    <mergeCell ref="J225:L225"/>
    <mergeCell ref="AE225:AG225"/>
    <mergeCell ref="AB225:AD225"/>
    <mergeCell ref="Y225:AA225"/>
    <mergeCell ref="V225:X225"/>
    <mergeCell ref="S225:U225"/>
    <mergeCell ref="P225:R225"/>
    <mergeCell ref="M225:O225"/>
    <mergeCell ref="J224:AG224"/>
    <mergeCell ref="D195:AG196"/>
    <mergeCell ref="D178:AG178"/>
    <mergeCell ref="D182:AG183"/>
    <mergeCell ref="D185:AG186"/>
    <mergeCell ref="D145:AG146"/>
    <mergeCell ref="D150:AG151"/>
    <mergeCell ref="D157:AG158"/>
    <mergeCell ref="D127:AG131"/>
    <mergeCell ref="D132:AG133"/>
    <mergeCell ref="D121:AG123"/>
    <mergeCell ref="D139:AG141"/>
    <mergeCell ref="D135:AG135"/>
    <mergeCell ref="D116:AG117"/>
    <mergeCell ref="D112:N112"/>
    <mergeCell ref="O112:S112"/>
    <mergeCell ref="T112:X112"/>
    <mergeCell ref="Y112:AC112"/>
    <mergeCell ref="D113:N113"/>
    <mergeCell ref="O113:S113"/>
    <mergeCell ref="T113:X113"/>
    <mergeCell ref="Y113:AC113"/>
    <mergeCell ref="D114:N114"/>
    <mergeCell ref="O114:S114"/>
    <mergeCell ref="T114:X114"/>
    <mergeCell ref="Y114:AC114"/>
    <mergeCell ref="D164:AG165"/>
    <mergeCell ref="D160:AG160"/>
    <mergeCell ref="D152:AG153"/>
    <mergeCell ref="D9:AG12"/>
    <mergeCell ref="D14:AG14"/>
    <mergeCell ref="AI1:AM1"/>
    <mergeCell ref="Y29:AG29"/>
    <mergeCell ref="Y28:AG28"/>
    <mergeCell ref="Y27:AG27"/>
    <mergeCell ref="Y26:AG26"/>
    <mergeCell ref="P26:X26"/>
    <mergeCell ref="P29:X29"/>
    <mergeCell ref="P28:X28"/>
    <mergeCell ref="P27:X27"/>
    <mergeCell ref="D26:O26"/>
    <mergeCell ref="D29:O29"/>
    <mergeCell ref="D28:O28"/>
    <mergeCell ref="D27:O27"/>
    <mergeCell ref="D38:M38"/>
    <mergeCell ref="N38:R38"/>
    <mergeCell ref="S38:W38"/>
    <mergeCell ref="X38:AB38"/>
    <mergeCell ref="AC38:AG38"/>
    <mergeCell ref="B1:AH1"/>
    <mergeCell ref="D15:AG15"/>
    <mergeCell ref="D16:AG16"/>
    <mergeCell ref="D19:AG19"/>
    <mergeCell ref="D22:AG22"/>
    <mergeCell ref="D20:AG20"/>
    <mergeCell ref="D21:AG21"/>
    <mergeCell ref="D31:AG32"/>
    <mergeCell ref="D34:M35"/>
    <mergeCell ref="N34:W34"/>
    <mergeCell ref="X34:AB35"/>
    <mergeCell ref="AC34:AG35"/>
    <mergeCell ref="D49:O49"/>
    <mergeCell ref="D40:AG44"/>
    <mergeCell ref="D45:AG45"/>
    <mergeCell ref="D52:AG53"/>
    <mergeCell ref="D75:AG76"/>
    <mergeCell ref="D78:AG79"/>
    <mergeCell ref="D81:AG82"/>
    <mergeCell ref="D56:AG57"/>
    <mergeCell ref="D61:AG62"/>
    <mergeCell ref="D110:N110"/>
    <mergeCell ref="O110:S110"/>
    <mergeCell ref="T110:X110"/>
    <mergeCell ref="Y110:AC110"/>
    <mergeCell ref="D111:N111"/>
    <mergeCell ref="O111:S111"/>
    <mergeCell ref="T111:X111"/>
    <mergeCell ref="Y111:AC111"/>
    <mergeCell ref="O109:S109"/>
    <mergeCell ref="T109:X109"/>
    <mergeCell ref="Y109:AC109"/>
    <mergeCell ref="D89:AG90"/>
    <mergeCell ref="D94:AG95"/>
    <mergeCell ref="D97:AG98"/>
    <mergeCell ref="D100:AG101"/>
    <mergeCell ref="D105:AG107"/>
    <mergeCell ref="D71:AG72"/>
    <mergeCell ref="D66:AG67"/>
    <mergeCell ref="D226:AG226"/>
    <mergeCell ref="D169:AG170"/>
    <mergeCell ref="D172:AG176"/>
    <mergeCell ref="I368:M368"/>
    <mergeCell ref="D251:AG251"/>
    <mergeCell ref="D252:I252"/>
    <mergeCell ref="J252:L252"/>
    <mergeCell ref="M252:O252"/>
    <mergeCell ref="P252:R252"/>
    <mergeCell ref="S252:U252"/>
    <mergeCell ref="V252:X252"/>
    <mergeCell ref="Y252:AA252"/>
    <mergeCell ref="AB252:AD252"/>
    <mergeCell ref="AE252:AG252"/>
    <mergeCell ref="AB243:AD243"/>
    <mergeCell ref="D277:R277"/>
    <mergeCell ref="D346:AG348"/>
    <mergeCell ref="V230:X230"/>
    <mergeCell ref="V231:X231"/>
    <mergeCell ref="Y227:AA227"/>
    <mergeCell ref="Y228:AA228"/>
    <mergeCell ref="Y229:AA229"/>
    <mergeCell ref="Y230:AA230"/>
    <mergeCell ref="Y231:AA231"/>
    <mergeCell ref="AB227:AD227"/>
    <mergeCell ref="AB228:AD228"/>
    <mergeCell ref="AB229:AD229"/>
    <mergeCell ref="AB230:AD230"/>
    <mergeCell ref="AB231:AD231"/>
    <mergeCell ref="AE227:AG227"/>
    <mergeCell ref="AE228:AG228"/>
    <mergeCell ref="AE229:AG229"/>
    <mergeCell ref="D361:AG362"/>
    <mergeCell ref="D364:AG364"/>
    <mergeCell ref="D366:H367"/>
    <mergeCell ref="I366:AG366"/>
    <mergeCell ref="I367:M367"/>
    <mergeCell ref="N367:R367"/>
    <mergeCell ref="S367:W367"/>
    <mergeCell ref="X367:AB367"/>
    <mergeCell ref="AC367:AG367"/>
    <mergeCell ref="X368:AB368"/>
    <mergeCell ref="AC375:AG375"/>
    <mergeCell ref="AC374:AG374"/>
    <mergeCell ref="AC373:AG373"/>
    <mergeCell ref="AC372:AG372"/>
    <mergeCell ref="AC371:AG371"/>
    <mergeCell ref="AC370:AG370"/>
    <mergeCell ref="AC369:AG369"/>
    <mergeCell ref="AC368:AG368"/>
    <mergeCell ref="N375:R375"/>
    <mergeCell ref="N374:R374"/>
    <mergeCell ref="N373:R373"/>
    <mergeCell ref="N368:R368"/>
    <mergeCell ref="S375:W375"/>
    <mergeCell ref="S374:W374"/>
    <mergeCell ref="S373:W373"/>
    <mergeCell ref="S372:W372"/>
    <mergeCell ref="S371:W371"/>
    <mergeCell ref="S370:W370"/>
    <mergeCell ref="S369:W369"/>
    <mergeCell ref="S368:W368"/>
    <mergeCell ref="D368:H368"/>
    <mergeCell ref="I375:M375"/>
    <mergeCell ref="X375:AB375"/>
    <mergeCell ref="X374:AB374"/>
    <mergeCell ref="X373:AB373"/>
    <mergeCell ref="X372:AB372"/>
    <mergeCell ref="X371:AB371"/>
    <mergeCell ref="X370:AB370"/>
    <mergeCell ref="X369:AB369"/>
    <mergeCell ref="D375:H375"/>
    <mergeCell ref="D374:H374"/>
    <mergeCell ref="D373:H373"/>
    <mergeCell ref="D372:H372"/>
    <mergeCell ref="D371:H371"/>
    <mergeCell ref="D370:H370"/>
    <mergeCell ref="D369:H369"/>
    <mergeCell ref="N371:R371"/>
    <mergeCell ref="N370:R370"/>
    <mergeCell ref="N369:R369"/>
    <mergeCell ref="N372:R372"/>
    <mergeCell ref="I374:M374"/>
    <mergeCell ref="I373:M373"/>
    <mergeCell ref="I372:M372"/>
    <mergeCell ref="I371:M371"/>
    <mergeCell ref="I370:M370"/>
    <mergeCell ref="I369:M369"/>
    <mergeCell ref="I404:AG404"/>
    <mergeCell ref="I405:M405"/>
    <mergeCell ref="N405:R405"/>
    <mergeCell ref="S405:W405"/>
    <mergeCell ref="X405:AB405"/>
    <mergeCell ref="AC405:AG405"/>
    <mergeCell ref="D406:H406"/>
    <mergeCell ref="I406:M406"/>
    <mergeCell ref="N406:R406"/>
    <mergeCell ref="S406:W406"/>
    <mergeCell ref="X406:AB406"/>
    <mergeCell ref="AC406:AG406"/>
    <mergeCell ref="D411:H411"/>
    <mergeCell ref="I411:M411"/>
    <mergeCell ref="N411:R411"/>
    <mergeCell ref="S411:W411"/>
    <mergeCell ref="X411:AB411"/>
    <mergeCell ref="AC411:AG411"/>
    <mergeCell ref="D409:H409"/>
    <mergeCell ref="I409:M409"/>
    <mergeCell ref="N409:R409"/>
    <mergeCell ref="S409:W409"/>
    <mergeCell ref="X409:AB409"/>
    <mergeCell ref="AC409:AG409"/>
    <mergeCell ref="D410:H410"/>
    <mergeCell ref="I410:M410"/>
    <mergeCell ref="N410:R410"/>
    <mergeCell ref="S410:W410"/>
    <mergeCell ref="X410:AB410"/>
    <mergeCell ref="AC410:AG410"/>
    <mergeCell ref="S407:W407"/>
    <mergeCell ref="X407:AB407"/>
    <mergeCell ref="X419:AB419"/>
    <mergeCell ref="AC419:AG419"/>
    <mergeCell ref="D420:H420"/>
    <mergeCell ref="I420:M420"/>
    <mergeCell ref="N420:R420"/>
    <mergeCell ref="S420:W420"/>
    <mergeCell ref="D424:AG424"/>
    <mergeCell ref="D426:AG426"/>
    <mergeCell ref="AA428:AG428"/>
    <mergeCell ref="T428:Z428"/>
    <mergeCell ref="M428:S428"/>
    <mergeCell ref="D428:L428"/>
    <mergeCell ref="D429:AG429"/>
    <mergeCell ref="D435:L435"/>
    <mergeCell ref="D434:L434"/>
    <mergeCell ref="D433:L433"/>
    <mergeCell ref="D432:L432"/>
    <mergeCell ref="D431:L431"/>
    <mergeCell ref="D430:L430"/>
    <mergeCell ref="T435:Z435"/>
    <mergeCell ref="T434:Z434"/>
    <mergeCell ref="T433:Z433"/>
    <mergeCell ref="T432:Z432"/>
    <mergeCell ref="T431:Z431"/>
    <mergeCell ref="T430:Z430"/>
    <mergeCell ref="M435:S435"/>
    <mergeCell ref="M434:S434"/>
    <mergeCell ref="M433:S433"/>
    <mergeCell ref="M432:S432"/>
    <mergeCell ref="M431:S431"/>
    <mergeCell ref="M430:S430"/>
    <mergeCell ref="AA435:AG435"/>
    <mergeCell ref="T439:Z439"/>
    <mergeCell ref="AA439:AG439"/>
    <mergeCell ref="M440:S440"/>
    <mergeCell ref="T440:Z440"/>
    <mergeCell ref="AA440:AG440"/>
    <mergeCell ref="N469:W469"/>
    <mergeCell ref="X469:AG469"/>
    <mergeCell ref="AA450:AG450"/>
    <mergeCell ref="M451:S451"/>
    <mergeCell ref="T451:Z451"/>
    <mergeCell ref="AA451:AG451"/>
    <mergeCell ref="M452:S452"/>
    <mergeCell ref="T452:Z452"/>
    <mergeCell ref="AA452:AG452"/>
    <mergeCell ref="AA454:AG454"/>
    <mergeCell ref="D470:M470"/>
    <mergeCell ref="N470:W470"/>
    <mergeCell ref="X470:AG470"/>
    <mergeCell ref="D466:AG466"/>
    <mergeCell ref="M444:S444"/>
    <mergeCell ref="T444:Z444"/>
    <mergeCell ref="AA444:AG444"/>
    <mergeCell ref="D464:L464"/>
    <mergeCell ref="M464:S464"/>
    <mergeCell ref="T464:Z464"/>
    <mergeCell ref="AA464:AG464"/>
    <mergeCell ref="D446:AG446"/>
    <mergeCell ref="D459:L459"/>
    <mergeCell ref="M459:S459"/>
    <mergeCell ref="T459:Z459"/>
    <mergeCell ref="AA459:AG459"/>
    <mergeCell ref="D460:L460"/>
    <mergeCell ref="D471:M471"/>
    <mergeCell ref="N471:W471"/>
    <mergeCell ref="X471:AG471"/>
    <mergeCell ref="D468:M468"/>
    <mergeCell ref="D469:M469"/>
    <mergeCell ref="D477:AG477"/>
    <mergeCell ref="D479:M479"/>
    <mergeCell ref="N479:W479"/>
    <mergeCell ref="X479:AG479"/>
    <mergeCell ref="D473:AG473"/>
    <mergeCell ref="D448:L448"/>
    <mergeCell ref="M448:S448"/>
    <mergeCell ref="T448:Z448"/>
    <mergeCell ref="AA448:AG448"/>
    <mergeCell ref="D449:AG449"/>
    <mergeCell ref="D450:L450"/>
    <mergeCell ref="N468:W468"/>
    <mergeCell ref="X468:AG468"/>
    <mergeCell ref="AA458:AG458"/>
    <mergeCell ref="M450:S450"/>
    <mergeCell ref="T450:Z450"/>
    <mergeCell ref="D451:L451"/>
    <mergeCell ref="D452:L452"/>
    <mergeCell ref="M460:S460"/>
    <mergeCell ref="T460:Z460"/>
    <mergeCell ref="AA460:AG460"/>
    <mergeCell ref="D461:L461"/>
    <mergeCell ref="M461:S461"/>
    <mergeCell ref="T461:Z461"/>
    <mergeCell ref="AA461:AG461"/>
    <mergeCell ref="D462:L462"/>
    <mergeCell ref="M462:S462"/>
    <mergeCell ref="D483:M483"/>
    <mergeCell ref="N483:W483"/>
    <mergeCell ref="X483:AG483"/>
    <mergeCell ref="D484:M484"/>
    <mergeCell ref="N484:W484"/>
    <mergeCell ref="X484:AG484"/>
    <mergeCell ref="D480:M480"/>
    <mergeCell ref="N480:W480"/>
    <mergeCell ref="X480:AG480"/>
    <mergeCell ref="D482:M482"/>
    <mergeCell ref="N482:W482"/>
    <mergeCell ref="X482:AG482"/>
    <mergeCell ref="D481:M481"/>
    <mergeCell ref="D494:O494"/>
    <mergeCell ref="P494:X494"/>
    <mergeCell ref="Y494:AG494"/>
    <mergeCell ref="D495:O495"/>
    <mergeCell ref="P495:X495"/>
    <mergeCell ref="Y495:AG495"/>
    <mergeCell ref="D486:AG486"/>
    <mergeCell ref="N481:W481"/>
    <mergeCell ref="X481:AG481"/>
    <mergeCell ref="R513:AG513"/>
    <mergeCell ref="R524:AG524"/>
    <mergeCell ref="R521:AG521"/>
    <mergeCell ref="D496:O496"/>
    <mergeCell ref="P496:X496"/>
    <mergeCell ref="Y496:AG496"/>
    <mergeCell ref="D493:O493"/>
    <mergeCell ref="P493:X493"/>
    <mergeCell ref="Y493:AG493"/>
    <mergeCell ref="D490:AG490"/>
    <mergeCell ref="D492:O492"/>
    <mergeCell ref="P492:X492"/>
    <mergeCell ref="Y492:AG492"/>
    <mergeCell ref="D500:O500"/>
    <mergeCell ref="P500:X500"/>
    <mergeCell ref="Y500:AG500"/>
    <mergeCell ref="D501:O501"/>
    <mergeCell ref="P501:X501"/>
    <mergeCell ref="Y501:AG501"/>
    <mergeCell ref="D502:O502"/>
    <mergeCell ref="P502:X502"/>
    <mergeCell ref="Y502:AG502"/>
    <mergeCell ref="D497:O497"/>
    <mergeCell ref="P497:X497"/>
    <mergeCell ref="Y497:AG497"/>
    <mergeCell ref="D498:O498"/>
    <mergeCell ref="P498:X498"/>
    <mergeCell ref="Y498:AG498"/>
    <mergeCell ref="D499:O499"/>
    <mergeCell ref="P499:X499"/>
    <mergeCell ref="Y499:AG499"/>
    <mergeCell ref="N849:Q849"/>
    <mergeCell ref="R849:U849"/>
    <mergeCell ref="V849:Y849"/>
    <mergeCell ref="D503:O503"/>
    <mergeCell ref="P503:X503"/>
    <mergeCell ref="Y503:AG503"/>
    <mergeCell ref="D504:O504"/>
    <mergeCell ref="P504:X504"/>
    <mergeCell ref="Y504:AG504"/>
    <mergeCell ref="D508:AG509"/>
    <mergeCell ref="D511:AG511"/>
    <mergeCell ref="D524:Q524"/>
    <mergeCell ref="D523:Q523"/>
    <mergeCell ref="D522:Q522"/>
    <mergeCell ref="D521:Q521"/>
    <mergeCell ref="D520:Q520"/>
    <mergeCell ref="D519:Q519"/>
    <mergeCell ref="D518:Q518"/>
    <mergeCell ref="D517:Q517"/>
    <mergeCell ref="D516:Q516"/>
    <mergeCell ref="D515:Q515"/>
    <mergeCell ref="D514:Q514"/>
    <mergeCell ref="D513:Q513"/>
    <mergeCell ref="R523:AG523"/>
    <mergeCell ref="R522:AG522"/>
    <mergeCell ref="R520:AG520"/>
    <mergeCell ref="R519:AG519"/>
    <mergeCell ref="R518:AG518"/>
    <mergeCell ref="R517:AG517"/>
    <mergeCell ref="R516:AG516"/>
    <mergeCell ref="R515:AG515"/>
    <mergeCell ref="R514:AG514"/>
    <mergeCell ref="D863:M863"/>
    <mergeCell ref="D862:M862"/>
    <mergeCell ref="D861:M861"/>
    <mergeCell ref="D860:M860"/>
    <mergeCell ref="D859:M859"/>
    <mergeCell ref="D858:M858"/>
    <mergeCell ref="R864:U864"/>
    <mergeCell ref="V862:Y862"/>
    <mergeCell ref="AD849:AG849"/>
    <mergeCell ref="N863:Q863"/>
    <mergeCell ref="N862:Q862"/>
    <mergeCell ref="N861:Q861"/>
    <mergeCell ref="N860:Q860"/>
    <mergeCell ref="N858:Q858"/>
    <mergeCell ref="N854:Q854"/>
    <mergeCell ref="N853:Q853"/>
    <mergeCell ref="N852:Q852"/>
    <mergeCell ref="N851:Q851"/>
    <mergeCell ref="N850:Q850"/>
    <mergeCell ref="Z861:AC861"/>
    <mergeCell ref="Z862:AC862"/>
    <mergeCell ref="Z863:AC863"/>
    <mergeCell ref="AD861:AG861"/>
    <mergeCell ref="AD862:AG862"/>
    <mergeCell ref="AD863:AG863"/>
    <mergeCell ref="V853:Y853"/>
    <mergeCell ref="V854:Y854"/>
    <mergeCell ref="V858:Y858"/>
    <mergeCell ref="R861:U861"/>
    <mergeCell ref="R862:U862"/>
    <mergeCell ref="R863:U863"/>
    <mergeCell ref="Z857:AC857"/>
    <mergeCell ref="R850:U850"/>
    <mergeCell ref="R851:U851"/>
    <mergeCell ref="R852:U852"/>
    <mergeCell ref="R853:U853"/>
    <mergeCell ref="R854:U854"/>
    <mergeCell ref="R858:U858"/>
    <mergeCell ref="R860:U860"/>
    <mergeCell ref="D855:M855"/>
    <mergeCell ref="D856:M856"/>
    <mergeCell ref="D857:M857"/>
    <mergeCell ref="N857:Q857"/>
    <mergeCell ref="R857:U857"/>
    <mergeCell ref="V857:Y857"/>
    <mergeCell ref="N855:Q855"/>
    <mergeCell ref="R855:U855"/>
    <mergeCell ref="V855:Y855"/>
    <mergeCell ref="N856:Q856"/>
    <mergeCell ref="R856:U856"/>
    <mergeCell ref="V856:Y856"/>
    <mergeCell ref="V852:Y852"/>
    <mergeCell ref="D854:M854"/>
    <mergeCell ref="AD864:AG864"/>
    <mergeCell ref="AD850:AG850"/>
    <mergeCell ref="AD851:AG851"/>
    <mergeCell ref="AD852:AG852"/>
    <mergeCell ref="AD853:AG853"/>
    <mergeCell ref="AD854:AG854"/>
    <mergeCell ref="AD858:AG858"/>
    <mergeCell ref="AD860:AG860"/>
    <mergeCell ref="Z850:AC850"/>
    <mergeCell ref="Z851:AC851"/>
    <mergeCell ref="Z852:AC852"/>
    <mergeCell ref="Z853:AC853"/>
    <mergeCell ref="Z854:AC854"/>
    <mergeCell ref="Z858:AC858"/>
    <mergeCell ref="Z860:AC860"/>
    <mergeCell ref="V850:Y850"/>
    <mergeCell ref="V851:Y851"/>
    <mergeCell ref="V861:Y861"/>
    <mergeCell ref="AD857:AG857"/>
    <mergeCell ref="Z855:AC855"/>
    <mergeCell ref="AD855:AG855"/>
    <mergeCell ref="Z856:AC856"/>
    <mergeCell ref="AD856:AG856"/>
    <mergeCell ref="V863:Y863"/>
    <mergeCell ref="V864:Y864"/>
    <mergeCell ref="V860:Y860"/>
    <mergeCell ref="AD872:AG872"/>
    <mergeCell ref="N869:Q869"/>
    <mergeCell ref="R869:U869"/>
    <mergeCell ref="V869:Y869"/>
    <mergeCell ref="Z869:AC869"/>
    <mergeCell ref="AD869:AG869"/>
    <mergeCell ref="D873:M873"/>
    <mergeCell ref="N870:Q870"/>
    <mergeCell ref="R870:U870"/>
    <mergeCell ref="V870:Y870"/>
    <mergeCell ref="Z870:AC870"/>
    <mergeCell ref="AD870:AG870"/>
    <mergeCell ref="D871:M871"/>
    <mergeCell ref="D872:M872"/>
    <mergeCell ref="N875:Q875"/>
    <mergeCell ref="R875:U875"/>
    <mergeCell ref="N873:Q873"/>
    <mergeCell ref="N871:Q871"/>
    <mergeCell ref="D869:M869"/>
    <mergeCell ref="D870:M870"/>
    <mergeCell ref="V883:Y883"/>
    <mergeCell ref="Z883:AC883"/>
    <mergeCell ref="AD883:AG883"/>
    <mergeCell ref="D883:M883"/>
    <mergeCell ref="V879:Y879"/>
    <mergeCell ref="Z879:AC879"/>
    <mergeCell ref="AD879:AG879"/>
    <mergeCell ref="D880:M880"/>
    <mergeCell ref="D878:M878"/>
    <mergeCell ref="D879:M879"/>
    <mergeCell ref="V875:Y875"/>
    <mergeCell ref="Z875:AC875"/>
    <mergeCell ref="AD875:AG875"/>
    <mergeCell ref="N876:Q876"/>
    <mergeCell ref="R876:U876"/>
    <mergeCell ref="V876:Y876"/>
    <mergeCell ref="Z876:AC876"/>
    <mergeCell ref="AD876:AG876"/>
    <mergeCell ref="D876:M876"/>
    <mergeCell ref="AD882:AG882"/>
    <mergeCell ref="D877:M877"/>
    <mergeCell ref="N877:Q877"/>
    <mergeCell ref="R877:U877"/>
    <mergeCell ref="V877:Y877"/>
    <mergeCell ref="Z877:AC877"/>
    <mergeCell ref="AD877:AG877"/>
    <mergeCell ref="N878:Q878"/>
    <mergeCell ref="R878:U878"/>
    <mergeCell ref="V878:Y878"/>
    <mergeCell ref="Z878:AC878"/>
    <mergeCell ref="D875:M875"/>
    <mergeCell ref="I536:M536"/>
    <mergeCell ref="N536:R536"/>
    <mergeCell ref="S536:W536"/>
    <mergeCell ref="X536:AB536"/>
    <mergeCell ref="AC536:AG536"/>
    <mergeCell ref="D544:H545"/>
    <mergeCell ref="I544:AG544"/>
    <mergeCell ref="I545:M545"/>
    <mergeCell ref="N545:R545"/>
    <mergeCell ref="S545:W545"/>
    <mergeCell ref="X545:AB545"/>
    <mergeCell ref="AC545:AG545"/>
    <mergeCell ref="D538:H538"/>
    <mergeCell ref="D884:M884"/>
    <mergeCell ref="N881:Q881"/>
    <mergeCell ref="R881:U881"/>
    <mergeCell ref="V881:Y881"/>
    <mergeCell ref="Z881:AC881"/>
    <mergeCell ref="AD881:AG881"/>
    <mergeCell ref="D881:M881"/>
    <mergeCell ref="N884:Q884"/>
    <mergeCell ref="R884:U884"/>
    <mergeCell ref="V884:Y884"/>
    <mergeCell ref="Z884:AC884"/>
    <mergeCell ref="AD884:AG884"/>
    <mergeCell ref="N882:Q882"/>
    <mergeCell ref="R882:U882"/>
    <mergeCell ref="V882:Y882"/>
    <mergeCell ref="Z882:AC882"/>
    <mergeCell ref="D882:M882"/>
    <mergeCell ref="N883:Q883"/>
    <mergeCell ref="N864:Q864"/>
    <mergeCell ref="R883:U883"/>
    <mergeCell ref="D531:AG531"/>
    <mergeCell ref="D533:H534"/>
    <mergeCell ref="I533:AG533"/>
    <mergeCell ref="I534:M534"/>
    <mergeCell ref="N534:R534"/>
    <mergeCell ref="S534:W534"/>
    <mergeCell ref="X534:AB534"/>
    <mergeCell ref="AC534:AG534"/>
    <mergeCell ref="I538:M538"/>
    <mergeCell ref="N538:R538"/>
    <mergeCell ref="S538:W538"/>
    <mergeCell ref="X538:AB538"/>
    <mergeCell ref="AC538:AG538"/>
    <mergeCell ref="D539:H539"/>
    <mergeCell ref="I539:M539"/>
    <mergeCell ref="N539:R539"/>
    <mergeCell ref="S539:W539"/>
    <mergeCell ref="X539:AB539"/>
    <mergeCell ref="AC539:AG539"/>
    <mergeCell ref="D537:H537"/>
    <mergeCell ref="I537:M537"/>
    <mergeCell ref="N537:R537"/>
    <mergeCell ref="S537:W537"/>
    <mergeCell ref="X537:AB537"/>
    <mergeCell ref="AC537:AG537"/>
    <mergeCell ref="D535:H535"/>
    <mergeCell ref="I535:M535"/>
    <mergeCell ref="N535:R535"/>
    <mergeCell ref="S535:W535"/>
    <mergeCell ref="X535:AB535"/>
    <mergeCell ref="AC535:AG535"/>
    <mergeCell ref="S547:W547"/>
    <mergeCell ref="X547:AB547"/>
    <mergeCell ref="AC547:AG547"/>
    <mergeCell ref="D542:AG542"/>
    <mergeCell ref="N880:Q880"/>
    <mergeCell ref="R880:U880"/>
    <mergeCell ref="V880:Y880"/>
    <mergeCell ref="Z880:AC880"/>
    <mergeCell ref="AD880:AG880"/>
    <mergeCell ref="N879:Q879"/>
    <mergeCell ref="R879:U879"/>
    <mergeCell ref="R873:U873"/>
    <mergeCell ref="V873:Y873"/>
    <mergeCell ref="Z873:AC873"/>
    <mergeCell ref="AD873:AG873"/>
    <mergeCell ref="N874:Q874"/>
    <mergeCell ref="R874:U874"/>
    <mergeCell ref="V874:Y874"/>
    <mergeCell ref="Z874:AC874"/>
    <mergeCell ref="AD874:AG874"/>
    <mergeCell ref="D874:M874"/>
    <mergeCell ref="Z864:AC864"/>
    <mergeCell ref="AD878:AG878"/>
    <mergeCell ref="D864:M864"/>
    <mergeCell ref="R871:U871"/>
    <mergeCell ref="V871:Y871"/>
    <mergeCell ref="Z871:AC871"/>
    <mergeCell ref="AD871:AG871"/>
    <mergeCell ref="N872:Q872"/>
    <mergeCell ref="R872:U872"/>
    <mergeCell ref="V872:Y872"/>
    <mergeCell ref="Z872:AC872"/>
    <mergeCell ref="D559:M559"/>
    <mergeCell ref="D560:M560"/>
    <mergeCell ref="D561:M561"/>
    <mergeCell ref="D563:M563"/>
    <mergeCell ref="D564:M564"/>
    <mergeCell ref="D565:M565"/>
    <mergeCell ref="D566:M566"/>
    <mergeCell ref="D567:M567"/>
    <mergeCell ref="D568:M568"/>
    <mergeCell ref="X594:AG594"/>
    <mergeCell ref="X596:AG596"/>
    <mergeCell ref="D555:AG555"/>
    <mergeCell ref="D570:M570"/>
    <mergeCell ref="D546:H546"/>
    <mergeCell ref="I546:M546"/>
    <mergeCell ref="N546:R546"/>
    <mergeCell ref="S546:W546"/>
    <mergeCell ref="X546:AB546"/>
    <mergeCell ref="AC546:AG546"/>
    <mergeCell ref="D548:H548"/>
    <mergeCell ref="I548:M548"/>
    <mergeCell ref="N548:R548"/>
    <mergeCell ref="S548:W548"/>
    <mergeCell ref="X548:AB548"/>
    <mergeCell ref="AC548:AG548"/>
    <mergeCell ref="D549:H549"/>
    <mergeCell ref="I549:M549"/>
    <mergeCell ref="N549:R549"/>
    <mergeCell ref="S549:W549"/>
    <mergeCell ref="X549:AB549"/>
    <mergeCell ref="AC549:AG549"/>
    <mergeCell ref="D550:H550"/>
    <mergeCell ref="N570:W570"/>
    <mergeCell ref="X570:AG570"/>
    <mergeCell ref="D605:AG605"/>
    <mergeCell ref="D608:M608"/>
    <mergeCell ref="N608:W608"/>
    <mergeCell ref="X608:AG608"/>
    <mergeCell ref="D609:M609"/>
    <mergeCell ref="N609:W609"/>
    <mergeCell ref="X609:AG609"/>
    <mergeCell ref="D574:M574"/>
    <mergeCell ref="N574:W574"/>
    <mergeCell ref="X574:AG574"/>
    <mergeCell ref="D572:M572"/>
    <mergeCell ref="N572:W572"/>
    <mergeCell ref="X572:AG572"/>
    <mergeCell ref="D573:M573"/>
    <mergeCell ref="N573:W573"/>
    <mergeCell ref="X573:AG573"/>
    <mergeCell ref="D586:M586"/>
    <mergeCell ref="D585:M585"/>
    <mergeCell ref="D600:M600"/>
    <mergeCell ref="D602:M602"/>
    <mergeCell ref="D599:M599"/>
    <mergeCell ref="X602:AG602"/>
    <mergeCell ref="N594:W594"/>
    <mergeCell ref="N595:W595"/>
    <mergeCell ref="N590:W590"/>
    <mergeCell ref="D576:M576"/>
    <mergeCell ref="N576:W576"/>
    <mergeCell ref="X576:AG576"/>
    <mergeCell ref="D575:M575"/>
    <mergeCell ref="N575:W575"/>
    <mergeCell ref="X575:AG575"/>
    <mergeCell ref="D571:M571"/>
    <mergeCell ref="N571:W571"/>
    <mergeCell ref="X571:AG571"/>
    <mergeCell ref="D578:AG578"/>
    <mergeCell ref="K624:M624"/>
    <mergeCell ref="D598:M598"/>
    <mergeCell ref="D597:M597"/>
    <mergeCell ref="D596:M596"/>
    <mergeCell ref="D595:M595"/>
    <mergeCell ref="D594:M594"/>
    <mergeCell ref="D610:M610"/>
    <mergeCell ref="N610:W610"/>
    <mergeCell ref="X610:AG610"/>
    <mergeCell ref="D613:M613"/>
    <mergeCell ref="N613:W613"/>
    <mergeCell ref="X613:AG613"/>
    <mergeCell ref="D612:M612"/>
    <mergeCell ref="N612:W612"/>
    <mergeCell ref="X612:AG612"/>
    <mergeCell ref="D611:M611"/>
    <mergeCell ref="N611:W611"/>
    <mergeCell ref="X611:AG611"/>
    <mergeCell ref="Z622:AC622"/>
    <mergeCell ref="N624:Q624"/>
    <mergeCell ref="R624:U624"/>
    <mergeCell ref="D582:AG582"/>
    <mergeCell ref="D584:M584"/>
    <mergeCell ref="N584:W584"/>
    <mergeCell ref="X584:AG584"/>
    <mergeCell ref="D592:M592"/>
    <mergeCell ref="D591:M591"/>
    <mergeCell ref="D590:M590"/>
    <mergeCell ref="D589:M589"/>
    <mergeCell ref="D588:M588"/>
    <mergeCell ref="D587:M587"/>
    <mergeCell ref="D593:M593"/>
    <mergeCell ref="X585:AG585"/>
    <mergeCell ref="X586:AG586"/>
    <mergeCell ref="X587:AG587"/>
    <mergeCell ref="X588:AG588"/>
    <mergeCell ref="X589:AG589"/>
    <mergeCell ref="X590:AG590"/>
    <mergeCell ref="X591:AG591"/>
    <mergeCell ref="X592:AG592"/>
    <mergeCell ref="X593:AG593"/>
    <mergeCell ref="N585:W585"/>
    <mergeCell ref="N586:W586"/>
    <mergeCell ref="N587:W587"/>
    <mergeCell ref="N588:W588"/>
    <mergeCell ref="N592:W592"/>
    <mergeCell ref="N593:W593"/>
    <mergeCell ref="N614:W614"/>
    <mergeCell ref="X614:AG614"/>
    <mergeCell ref="D615:M615"/>
    <mergeCell ref="N615:W615"/>
    <mergeCell ref="X615:AG615"/>
    <mergeCell ref="D620:AG620"/>
    <mergeCell ref="D622:J622"/>
    <mergeCell ref="D625:AG625"/>
    <mergeCell ref="D626:J626"/>
    <mergeCell ref="K626:M626"/>
    <mergeCell ref="R626:U626"/>
    <mergeCell ref="X601:AG601"/>
    <mergeCell ref="X595:AG595"/>
    <mergeCell ref="X597:AG597"/>
    <mergeCell ref="N598:W598"/>
    <mergeCell ref="N599:W599"/>
    <mergeCell ref="X598:AG598"/>
    <mergeCell ref="X599:AG599"/>
    <mergeCell ref="X600:AG600"/>
    <mergeCell ref="N596:W596"/>
    <mergeCell ref="N597:W597"/>
    <mergeCell ref="D683:I683"/>
    <mergeCell ref="J685:M685"/>
    <mergeCell ref="J684:M684"/>
    <mergeCell ref="J683:M683"/>
    <mergeCell ref="N683:Q683"/>
    <mergeCell ref="N684:Q684"/>
    <mergeCell ref="N685:Q685"/>
    <mergeCell ref="R683:U683"/>
    <mergeCell ref="R684:U684"/>
    <mergeCell ref="R685:U685"/>
    <mergeCell ref="V682:Y682"/>
    <mergeCell ref="Z682:AC682"/>
    <mergeCell ref="AD682:AG682"/>
    <mergeCell ref="N589:W589"/>
    <mergeCell ref="N591:W591"/>
    <mergeCell ref="N600:W600"/>
    <mergeCell ref="N602:W602"/>
    <mergeCell ref="D641:M641"/>
    <mergeCell ref="N641:W641"/>
    <mergeCell ref="X641:AG641"/>
    <mergeCell ref="D638:M638"/>
    <mergeCell ref="N638:W638"/>
    <mergeCell ref="X638:AG638"/>
    <mergeCell ref="D636:M636"/>
    <mergeCell ref="N636:W636"/>
    <mergeCell ref="X636:AG636"/>
    <mergeCell ref="X639:AG639"/>
    <mergeCell ref="N639:W639"/>
    <mergeCell ref="D639:M639"/>
    <mergeCell ref="D640:M640"/>
    <mergeCell ref="D606:AG606"/>
    <mergeCell ref="D614:M614"/>
    <mergeCell ref="AD700:AG700"/>
    <mergeCell ref="AD701:AG701"/>
    <mergeCell ref="N694:Q694"/>
    <mergeCell ref="V626:Y626"/>
    <mergeCell ref="Z626:AC626"/>
    <mergeCell ref="J681:Q681"/>
    <mergeCell ref="R681:Y681"/>
    <mergeCell ref="Z681:AG681"/>
    <mergeCell ref="V685:Y685"/>
    <mergeCell ref="Z683:AC683"/>
    <mergeCell ref="Z684:AC684"/>
    <mergeCell ref="Z685:AC685"/>
    <mergeCell ref="AD683:AG683"/>
    <mergeCell ref="AD684:AG684"/>
    <mergeCell ref="AD685:AG685"/>
    <mergeCell ref="N640:W640"/>
    <mergeCell ref="X640:AG640"/>
    <mergeCell ref="AP692:AQ692"/>
    <mergeCell ref="R698:U698"/>
    <mergeCell ref="R699:U699"/>
    <mergeCell ref="R700:U700"/>
    <mergeCell ref="R701:U701"/>
    <mergeCell ref="R702:U702"/>
    <mergeCell ref="V694:Y694"/>
    <mergeCell ref="V695:Y695"/>
    <mergeCell ref="V696:Y696"/>
    <mergeCell ref="V697:Y697"/>
    <mergeCell ref="V698:Y698"/>
    <mergeCell ref="V699:Y699"/>
    <mergeCell ref="V700:Y700"/>
    <mergeCell ref="V701:Y701"/>
    <mergeCell ref="V702:Y702"/>
    <mergeCell ref="D692:M693"/>
    <mergeCell ref="AD693:AG693"/>
    <mergeCell ref="Z693:AC693"/>
    <mergeCell ref="V693:Y693"/>
    <mergeCell ref="R693:U693"/>
    <mergeCell ref="N693:Q693"/>
    <mergeCell ref="N692:Q692"/>
    <mergeCell ref="R692:Y692"/>
    <mergeCell ref="Z692:AG692"/>
    <mergeCell ref="D702:M702"/>
    <mergeCell ref="D701:M701"/>
    <mergeCell ref="D700:M700"/>
    <mergeCell ref="D699:M699"/>
    <mergeCell ref="D698:M698"/>
    <mergeCell ref="D697:M697"/>
    <mergeCell ref="D696:M696"/>
    <mergeCell ref="D695:M695"/>
    <mergeCell ref="AR692:AS692"/>
    <mergeCell ref="D688:AG688"/>
    <mergeCell ref="D705:AG705"/>
    <mergeCell ref="D709:M710"/>
    <mergeCell ref="N709:W710"/>
    <mergeCell ref="X709:AG710"/>
    <mergeCell ref="D711:M711"/>
    <mergeCell ref="N711:W711"/>
    <mergeCell ref="X711:AG711"/>
    <mergeCell ref="D712:M712"/>
    <mergeCell ref="N712:W712"/>
    <mergeCell ref="X712:AG712"/>
    <mergeCell ref="D713:M713"/>
    <mergeCell ref="N713:W713"/>
    <mergeCell ref="X713:AG713"/>
    <mergeCell ref="Z694:AC694"/>
    <mergeCell ref="Z695:AC695"/>
    <mergeCell ref="Z696:AC696"/>
    <mergeCell ref="Z697:AC697"/>
    <mergeCell ref="Z698:AC698"/>
    <mergeCell ref="Z699:AC699"/>
    <mergeCell ref="Z700:AC700"/>
    <mergeCell ref="Z701:AC701"/>
    <mergeCell ref="Z702:AC702"/>
    <mergeCell ref="AD694:AG694"/>
    <mergeCell ref="AD695:AG695"/>
    <mergeCell ref="AD696:AG696"/>
    <mergeCell ref="AD697:AG697"/>
    <mergeCell ref="N696:Q696"/>
    <mergeCell ref="N695:Q695"/>
    <mergeCell ref="AJ692:AK692"/>
    <mergeCell ref="AL692:AM692"/>
    <mergeCell ref="D227:I227"/>
    <mergeCell ref="D237:I237"/>
    <mergeCell ref="D235:I235"/>
    <mergeCell ref="J231:L231"/>
    <mergeCell ref="J230:L230"/>
    <mergeCell ref="J229:L229"/>
    <mergeCell ref="J228:L228"/>
    <mergeCell ref="J227:L227"/>
    <mergeCell ref="M227:O227"/>
    <mergeCell ref="S231:U231"/>
    <mergeCell ref="M228:O228"/>
    <mergeCell ref="M229:O229"/>
    <mergeCell ref="M230:O230"/>
    <mergeCell ref="M231:O231"/>
    <mergeCell ref="D234:I234"/>
    <mergeCell ref="P227:R227"/>
    <mergeCell ref="P228:R228"/>
    <mergeCell ref="P229:R229"/>
    <mergeCell ref="P230:R230"/>
    <mergeCell ref="P231:R231"/>
    <mergeCell ref="S227:U227"/>
    <mergeCell ref="S228:U228"/>
    <mergeCell ref="S229:U229"/>
    <mergeCell ref="S230:U230"/>
    <mergeCell ref="J233:L233"/>
    <mergeCell ref="D229:I229"/>
    <mergeCell ref="D228:I228"/>
    <mergeCell ref="D232:AG232"/>
    <mergeCell ref="D233:I233"/>
    <mergeCell ref="D230:I230"/>
    <mergeCell ref="D238:AG238"/>
    <mergeCell ref="AE245:AG245"/>
    <mergeCell ref="D241:I241"/>
    <mergeCell ref="D240:I240"/>
    <mergeCell ref="J245:L245"/>
    <mergeCell ref="J246:L246"/>
    <mergeCell ref="M245:O245"/>
    <mergeCell ref="M246:O246"/>
    <mergeCell ref="P245:R245"/>
    <mergeCell ref="P246:R246"/>
    <mergeCell ref="D236:I236"/>
    <mergeCell ref="AE239:AG239"/>
    <mergeCell ref="AE240:AG240"/>
    <mergeCell ref="AE241:AG241"/>
    <mergeCell ref="AE243:AG243"/>
    <mergeCell ref="AB245:AD245"/>
    <mergeCell ref="AB246:AD246"/>
    <mergeCell ref="AB239:AD239"/>
    <mergeCell ref="AB240:AD240"/>
    <mergeCell ref="AI223:AP223"/>
    <mergeCell ref="AR223:AY223"/>
    <mergeCell ref="BA223:BH223"/>
    <mergeCell ref="D249:I250"/>
    <mergeCell ref="J249:AG249"/>
    <mergeCell ref="J250:L250"/>
    <mergeCell ref="M250:O250"/>
    <mergeCell ref="P250:R250"/>
    <mergeCell ref="S250:U250"/>
    <mergeCell ref="V250:X250"/>
    <mergeCell ref="Y250:AA250"/>
    <mergeCell ref="AB250:AD250"/>
    <mergeCell ref="AE250:AG250"/>
    <mergeCell ref="S241:U241"/>
    <mergeCell ref="S243:U243"/>
    <mergeCell ref="V239:X239"/>
    <mergeCell ref="V240:X240"/>
    <mergeCell ref="V241:X241"/>
    <mergeCell ref="V243:X243"/>
    <mergeCell ref="Y239:AA239"/>
    <mergeCell ref="Y240:AA240"/>
    <mergeCell ref="Y241:AA241"/>
    <mergeCell ref="AE246:AG246"/>
    <mergeCell ref="J234:L234"/>
    <mergeCell ref="J235:L235"/>
    <mergeCell ref="J237:L237"/>
    <mergeCell ref="J236:L236"/>
    <mergeCell ref="M236:O236"/>
    <mergeCell ref="P236:R236"/>
    <mergeCell ref="V227:X227"/>
    <mergeCell ref="V228:X228"/>
    <mergeCell ref="V235:X235"/>
    <mergeCell ref="S255:U255"/>
    <mergeCell ref="V255:X255"/>
    <mergeCell ref="Y255:AA255"/>
    <mergeCell ref="AB255:AD255"/>
    <mergeCell ref="AE255:AG255"/>
    <mergeCell ref="Y246:AA246"/>
    <mergeCell ref="D239:I239"/>
    <mergeCell ref="D243:I243"/>
    <mergeCell ref="D253:I253"/>
    <mergeCell ref="J253:L253"/>
    <mergeCell ref="M253:O253"/>
    <mergeCell ref="P253:R253"/>
    <mergeCell ref="S253:U253"/>
    <mergeCell ref="V253:X253"/>
    <mergeCell ref="S245:U245"/>
    <mergeCell ref="S246:U246"/>
    <mergeCell ref="Y253:AA253"/>
    <mergeCell ref="AB253:AD253"/>
    <mergeCell ref="AE253:AG253"/>
    <mergeCell ref="P243:R243"/>
    <mergeCell ref="S239:U239"/>
    <mergeCell ref="S240:U240"/>
    <mergeCell ref="Y243:AA243"/>
    <mergeCell ref="J243:L243"/>
    <mergeCell ref="M239:O239"/>
    <mergeCell ref="AB241:AD241"/>
    <mergeCell ref="D254:I254"/>
    <mergeCell ref="J254:L254"/>
    <mergeCell ref="M254:O254"/>
    <mergeCell ref="P254:R254"/>
    <mergeCell ref="S254:U254"/>
    <mergeCell ref="V254:X254"/>
    <mergeCell ref="Y254:AA254"/>
    <mergeCell ref="AB254:AD254"/>
    <mergeCell ref="AE254:AG254"/>
    <mergeCell ref="V246:X246"/>
    <mergeCell ref="Y245:AA245"/>
    <mergeCell ref="D244:AG244"/>
    <mergeCell ref="D242:I242"/>
    <mergeCell ref="J242:L242"/>
    <mergeCell ref="P241:R241"/>
    <mergeCell ref="P239:R239"/>
    <mergeCell ref="P240:R240"/>
    <mergeCell ref="V245:X245"/>
    <mergeCell ref="D246:I246"/>
    <mergeCell ref="D245:I245"/>
    <mergeCell ref="J239:L239"/>
    <mergeCell ref="J240:L240"/>
    <mergeCell ref="J241:L241"/>
    <mergeCell ref="AE242:AG242"/>
    <mergeCell ref="M240:O240"/>
    <mergeCell ref="M241:O241"/>
    <mergeCell ref="M243:O243"/>
    <mergeCell ref="D255:I255"/>
    <mergeCell ref="D259:I259"/>
    <mergeCell ref="J259:L259"/>
    <mergeCell ref="M259:O259"/>
    <mergeCell ref="P259:R259"/>
    <mergeCell ref="S259:U259"/>
    <mergeCell ref="V259:X259"/>
    <mergeCell ref="Y259:AA259"/>
    <mergeCell ref="AB259:AD259"/>
    <mergeCell ref="AE259:AG259"/>
    <mergeCell ref="D256:I256"/>
    <mergeCell ref="J256:L256"/>
    <mergeCell ref="M256:O256"/>
    <mergeCell ref="P256:R256"/>
    <mergeCell ref="S256:U256"/>
    <mergeCell ref="V256:X256"/>
    <mergeCell ref="Y256:AA256"/>
    <mergeCell ref="AB256:AD256"/>
    <mergeCell ref="AE256:AG256"/>
    <mergeCell ref="D257:AG257"/>
    <mergeCell ref="D258:I258"/>
    <mergeCell ref="J258:L258"/>
    <mergeCell ref="M258:O258"/>
    <mergeCell ref="P258:R258"/>
    <mergeCell ref="S258:U258"/>
    <mergeCell ref="V258:X258"/>
    <mergeCell ref="Y258:AA258"/>
    <mergeCell ref="AB258:AD258"/>
    <mergeCell ref="AE258:AG258"/>
    <mergeCell ref="J255:L255"/>
    <mergeCell ref="M255:O255"/>
    <mergeCell ref="P255:R255"/>
    <mergeCell ref="D260:I260"/>
    <mergeCell ref="J260:L260"/>
    <mergeCell ref="M260:O260"/>
    <mergeCell ref="P260:R260"/>
    <mergeCell ref="S260:U260"/>
    <mergeCell ref="V260:X260"/>
    <mergeCell ref="Y260:AA260"/>
    <mergeCell ref="AB260:AD260"/>
    <mergeCell ref="AE260:AG260"/>
    <mergeCell ref="D262:I262"/>
    <mergeCell ref="J262:L262"/>
    <mergeCell ref="M262:O262"/>
    <mergeCell ref="P262:R262"/>
    <mergeCell ref="S262:U262"/>
    <mergeCell ref="V262:X262"/>
    <mergeCell ref="Y262:AA262"/>
    <mergeCell ref="AB262:AD262"/>
    <mergeCell ref="AE262:AG262"/>
    <mergeCell ref="AB261:AD261"/>
    <mergeCell ref="AE261:AG261"/>
    <mergeCell ref="V261:X261"/>
    <mergeCell ref="Y261:AA261"/>
    <mergeCell ref="D261:I261"/>
    <mergeCell ref="J261:L261"/>
    <mergeCell ref="M261:O261"/>
    <mergeCell ref="P261:R261"/>
    <mergeCell ref="S261:U261"/>
    <mergeCell ref="D263:AG263"/>
    <mergeCell ref="D264:I264"/>
    <mergeCell ref="J264:L264"/>
    <mergeCell ref="M264:O264"/>
    <mergeCell ref="P264:R264"/>
    <mergeCell ref="S264:U264"/>
    <mergeCell ref="V264:X264"/>
    <mergeCell ref="Y264:AA264"/>
    <mergeCell ref="AB264:AD264"/>
    <mergeCell ref="AE264:AG264"/>
    <mergeCell ref="D265:I265"/>
    <mergeCell ref="J265:L265"/>
    <mergeCell ref="M265:O265"/>
    <mergeCell ref="P265:R265"/>
    <mergeCell ref="S265:U265"/>
    <mergeCell ref="V265:X265"/>
    <mergeCell ref="Y265:AA265"/>
    <mergeCell ref="AB265:AD265"/>
    <mergeCell ref="AE265:AG265"/>
    <mergeCell ref="D266:I266"/>
    <mergeCell ref="J266:L266"/>
    <mergeCell ref="M266:O266"/>
    <mergeCell ref="P266:R266"/>
    <mergeCell ref="S266:U266"/>
    <mergeCell ref="V266:X266"/>
    <mergeCell ref="Y266:AA266"/>
    <mergeCell ref="AB266:AD266"/>
    <mergeCell ref="AE266:AG266"/>
    <mergeCell ref="D268:I268"/>
    <mergeCell ref="J268:L268"/>
    <mergeCell ref="M268:O268"/>
    <mergeCell ref="P268:R268"/>
    <mergeCell ref="S268:U268"/>
    <mergeCell ref="V268:X268"/>
    <mergeCell ref="Y268:AA268"/>
    <mergeCell ref="AB268:AD268"/>
    <mergeCell ref="AE268:AG268"/>
    <mergeCell ref="AB267:AD267"/>
    <mergeCell ref="AE267:AG267"/>
    <mergeCell ref="J267:L267"/>
    <mergeCell ref="M267:O267"/>
    <mergeCell ref="P267:R267"/>
    <mergeCell ref="S267:U267"/>
    <mergeCell ref="V267:X267"/>
    <mergeCell ref="Y267:AA267"/>
    <mergeCell ref="D267:I267"/>
    <mergeCell ref="D280:AG280"/>
    <mergeCell ref="D282:AG282"/>
    <mergeCell ref="D291:G291"/>
    <mergeCell ref="H289:J289"/>
    <mergeCell ref="K289:M289"/>
    <mergeCell ref="N289:P289"/>
    <mergeCell ref="Q289:S289"/>
    <mergeCell ref="AF289:AH289"/>
    <mergeCell ref="AC289:AE289"/>
    <mergeCell ref="D269:AG269"/>
    <mergeCell ref="D270:I270"/>
    <mergeCell ref="J270:L270"/>
    <mergeCell ref="M270:O270"/>
    <mergeCell ref="P270:R270"/>
    <mergeCell ref="S270:U270"/>
    <mergeCell ref="V270:X270"/>
    <mergeCell ref="Y270:AA270"/>
    <mergeCell ref="AB270:AD270"/>
    <mergeCell ref="AE270:AG270"/>
    <mergeCell ref="D271:I271"/>
    <mergeCell ref="J271:L271"/>
    <mergeCell ref="M271:O271"/>
    <mergeCell ref="P271:R271"/>
    <mergeCell ref="S271:U271"/>
    <mergeCell ref="V271:X271"/>
    <mergeCell ref="Y271:AA271"/>
    <mergeCell ref="AB271:AD271"/>
    <mergeCell ref="AE271:AG271"/>
    <mergeCell ref="AC291:AE291"/>
    <mergeCell ref="Z291:AB291"/>
    <mergeCell ref="W291:Y291"/>
    <mergeCell ref="T291:V291"/>
    <mergeCell ref="D292:G292"/>
    <mergeCell ref="H293:J293"/>
    <mergeCell ref="K293:M293"/>
    <mergeCell ref="N293:P293"/>
    <mergeCell ref="Q293:S293"/>
    <mergeCell ref="T293:V293"/>
    <mergeCell ref="W293:Y293"/>
    <mergeCell ref="Z293:AB293"/>
    <mergeCell ref="AC293:AE293"/>
    <mergeCell ref="AF293:AH293"/>
    <mergeCell ref="Z292:AB292"/>
    <mergeCell ref="AC292:AE292"/>
    <mergeCell ref="K295:M295"/>
    <mergeCell ref="N295:P295"/>
    <mergeCell ref="AC295:AE295"/>
    <mergeCell ref="AF295:AH295"/>
    <mergeCell ref="K292:M292"/>
    <mergeCell ref="N292:P292"/>
    <mergeCell ref="Q292:S292"/>
    <mergeCell ref="W295:Y295"/>
    <mergeCell ref="Z295:AB295"/>
    <mergeCell ref="T295:V295"/>
    <mergeCell ref="D295:G295"/>
    <mergeCell ref="D294:G294"/>
    <mergeCell ref="H294:J294"/>
    <mergeCell ref="K294:M294"/>
    <mergeCell ref="N294:P294"/>
    <mergeCell ref="Q294:S294"/>
    <mergeCell ref="T294:V294"/>
    <mergeCell ref="W294:Y294"/>
    <mergeCell ref="Z294:AB294"/>
    <mergeCell ref="AC294:AE294"/>
    <mergeCell ref="AF294:AH294"/>
    <mergeCell ref="H295:J295"/>
    <mergeCell ref="D293:G293"/>
    <mergeCell ref="T300:V300"/>
    <mergeCell ref="W300:Y300"/>
    <mergeCell ref="AF300:AH300"/>
    <mergeCell ref="AC300:AE300"/>
    <mergeCell ref="D298:G298"/>
    <mergeCell ref="D297:G297"/>
    <mergeCell ref="H298:J298"/>
    <mergeCell ref="K298:M298"/>
    <mergeCell ref="N298:P298"/>
    <mergeCell ref="Q298:S298"/>
    <mergeCell ref="T298:V298"/>
    <mergeCell ref="W298:Y298"/>
    <mergeCell ref="Z298:AB298"/>
    <mergeCell ref="AC298:AE298"/>
    <mergeCell ref="Z297:AB297"/>
    <mergeCell ref="AC297:AE297"/>
    <mergeCell ref="D300:G300"/>
    <mergeCell ref="D299:G299"/>
    <mergeCell ref="H299:J299"/>
    <mergeCell ref="K299:M299"/>
    <mergeCell ref="N299:P299"/>
    <mergeCell ref="Q299:S299"/>
    <mergeCell ref="T299:V299"/>
    <mergeCell ref="W299:Y299"/>
    <mergeCell ref="Z299:AB299"/>
    <mergeCell ref="AC299:AE299"/>
    <mergeCell ref="AF299:AH299"/>
    <mergeCell ref="H301:J301"/>
    <mergeCell ref="K301:M301"/>
    <mergeCell ref="N301:P301"/>
    <mergeCell ref="H300:J300"/>
    <mergeCell ref="K300:M300"/>
    <mergeCell ref="N300:P300"/>
    <mergeCell ref="H297:J297"/>
    <mergeCell ref="K297:M297"/>
    <mergeCell ref="AC303:AE303"/>
    <mergeCell ref="AF303:AH303"/>
    <mergeCell ref="H303:J303"/>
    <mergeCell ref="K303:M303"/>
    <mergeCell ref="N303:P303"/>
    <mergeCell ref="Q303:S303"/>
    <mergeCell ref="T303:V303"/>
    <mergeCell ref="H304:J304"/>
    <mergeCell ref="K304:M304"/>
    <mergeCell ref="N304:P304"/>
    <mergeCell ref="Q304:S304"/>
    <mergeCell ref="AC304:AE304"/>
    <mergeCell ref="AC301:AE301"/>
    <mergeCell ref="AF301:AH301"/>
    <mergeCell ref="D305:G305"/>
    <mergeCell ref="D307:G307"/>
    <mergeCell ref="H305:J305"/>
    <mergeCell ref="AF304:AH304"/>
    <mergeCell ref="D301:G301"/>
    <mergeCell ref="T307:V307"/>
    <mergeCell ref="W307:Y307"/>
    <mergeCell ref="Z316:AB316"/>
    <mergeCell ref="Q301:S301"/>
    <mergeCell ref="T301:V301"/>
    <mergeCell ref="W301:Y301"/>
    <mergeCell ref="Z301:AB301"/>
    <mergeCell ref="N310:P310"/>
    <mergeCell ref="T304:V304"/>
    <mergeCell ref="W304:Y304"/>
    <mergeCell ref="H307:J307"/>
    <mergeCell ref="Z304:AB304"/>
    <mergeCell ref="Q300:S300"/>
    <mergeCell ref="D304:G304"/>
    <mergeCell ref="D303:G303"/>
    <mergeCell ref="W303:Y303"/>
    <mergeCell ref="Z303:AB303"/>
    <mergeCell ref="Z309:AB309"/>
    <mergeCell ref="Q310:S310"/>
    <mergeCell ref="K317:M317"/>
    <mergeCell ref="N317:P317"/>
    <mergeCell ref="Q317:S317"/>
    <mergeCell ref="T317:V317"/>
    <mergeCell ref="W317:Y317"/>
    <mergeCell ref="Z317:AB317"/>
    <mergeCell ref="AC317:AE317"/>
    <mergeCell ref="AF317:AH317"/>
    <mergeCell ref="D318:G318"/>
    <mergeCell ref="Q295:S295"/>
    <mergeCell ref="Z289:AB289"/>
    <mergeCell ref="D317:G317"/>
    <mergeCell ref="H317:J317"/>
    <mergeCell ref="D315:AH315"/>
    <mergeCell ref="Z307:AB307"/>
    <mergeCell ref="AC307:AE307"/>
    <mergeCell ref="AF307:AH307"/>
    <mergeCell ref="H309:J309"/>
    <mergeCell ref="K309:M309"/>
    <mergeCell ref="N309:P309"/>
    <mergeCell ref="Q309:S309"/>
    <mergeCell ref="T309:V309"/>
    <mergeCell ref="W309:Y309"/>
    <mergeCell ref="D316:G316"/>
    <mergeCell ref="H316:J316"/>
    <mergeCell ref="K316:M316"/>
    <mergeCell ref="N316:P316"/>
    <mergeCell ref="K307:M307"/>
    <mergeCell ref="N307:P307"/>
    <mergeCell ref="Q307:S307"/>
    <mergeCell ref="D319:G319"/>
    <mergeCell ref="AF316:AH316"/>
    <mergeCell ref="D288:G289"/>
    <mergeCell ref="D308:AH308"/>
    <mergeCell ref="D302:AH302"/>
    <mergeCell ref="D296:AH296"/>
    <mergeCell ref="D290:AH290"/>
    <mergeCell ref="D313:G314"/>
    <mergeCell ref="H313:AH313"/>
    <mergeCell ref="H314:J314"/>
    <mergeCell ref="K314:M314"/>
    <mergeCell ref="N314:P314"/>
    <mergeCell ref="Q314:S314"/>
    <mergeCell ref="T314:V314"/>
    <mergeCell ref="W314:Y314"/>
    <mergeCell ref="Z314:AB314"/>
    <mergeCell ref="AC314:AE314"/>
    <mergeCell ref="AF314:AH314"/>
    <mergeCell ref="H292:J292"/>
    <mergeCell ref="AF310:AH310"/>
    <mergeCell ref="AF309:AH309"/>
    <mergeCell ref="D310:G310"/>
    <mergeCell ref="AC309:AE309"/>
    <mergeCell ref="AF297:AH297"/>
    <mergeCell ref="K305:M305"/>
    <mergeCell ref="N305:P305"/>
    <mergeCell ref="Q305:S305"/>
    <mergeCell ref="T305:V305"/>
    <mergeCell ref="W305:Y305"/>
    <mergeCell ref="Z305:AB305"/>
    <mergeCell ref="AC305:AE305"/>
    <mergeCell ref="AF305:AH305"/>
    <mergeCell ref="Z318:AB318"/>
    <mergeCell ref="AC318:AE318"/>
    <mergeCell ref="T310:V310"/>
    <mergeCell ref="W310:Y310"/>
    <mergeCell ref="Z310:AB310"/>
    <mergeCell ref="Q316:S316"/>
    <mergeCell ref="AC316:AE316"/>
    <mergeCell ref="AC310:AE310"/>
    <mergeCell ref="T319:V319"/>
    <mergeCell ref="W319:Y319"/>
    <mergeCell ref="Z319:AB319"/>
    <mergeCell ref="AC319:AE319"/>
    <mergeCell ref="AF319:AH319"/>
    <mergeCell ref="H319:J319"/>
    <mergeCell ref="K319:M319"/>
    <mergeCell ref="N319:P319"/>
    <mergeCell ref="T316:V316"/>
    <mergeCell ref="W316:Y316"/>
    <mergeCell ref="AF318:AH318"/>
    <mergeCell ref="W318:Y318"/>
    <mergeCell ref="Z329:AB329"/>
    <mergeCell ref="AC329:AE329"/>
    <mergeCell ref="AF329:AH329"/>
    <mergeCell ref="W329:Y329"/>
    <mergeCell ref="Z328:AB328"/>
    <mergeCell ref="AC328:AE328"/>
    <mergeCell ref="N322:P322"/>
    <mergeCell ref="Q322:S322"/>
    <mergeCell ref="T322:V322"/>
    <mergeCell ref="D326:G326"/>
    <mergeCell ref="H326:J326"/>
    <mergeCell ref="D323:G323"/>
    <mergeCell ref="W324:Y324"/>
    <mergeCell ref="Z324:AB324"/>
    <mergeCell ref="AC324:AE324"/>
    <mergeCell ref="AF324:AH324"/>
    <mergeCell ref="K324:M324"/>
    <mergeCell ref="N324:P324"/>
    <mergeCell ref="AF323:AH323"/>
    <mergeCell ref="Z323:AB323"/>
    <mergeCell ref="AC323:AE323"/>
    <mergeCell ref="W320:Y320"/>
    <mergeCell ref="Z320:AB320"/>
    <mergeCell ref="D322:G322"/>
    <mergeCell ref="H322:J322"/>
    <mergeCell ref="K322:M322"/>
    <mergeCell ref="Z322:AB322"/>
    <mergeCell ref="W322:Y322"/>
    <mergeCell ref="D324:G324"/>
    <mergeCell ref="H324:J324"/>
    <mergeCell ref="AC322:AE322"/>
    <mergeCell ref="AF322:AH322"/>
    <mergeCell ref="D328:G328"/>
    <mergeCell ref="H328:J328"/>
    <mergeCell ref="Q325:S325"/>
    <mergeCell ref="Q323:S323"/>
    <mergeCell ref="T324:V324"/>
    <mergeCell ref="Q320:S320"/>
    <mergeCell ref="D321:AH321"/>
    <mergeCell ref="D320:G320"/>
    <mergeCell ref="H320:J320"/>
    <mergeCell ref="N320:P320"/>
    <mergeCell ref="T320:V320"/>
    <mergeCell ref="AC320:AE320"/>
    <mergeCell ref="AF320:AH320"/>
    <mergeCell ref="K320:M320"/>
    <mergeCell ref="Q291:S291"/>
    <mergeCell ref="N291:P291"/>
    <mergeCell ref="K291:M291"/>
    <mergeCell ref="H291:J291"/>
    <mergeCell ref="AI287:AQ287"/>
    <mergeCell ref="AS287:BA287"/>
    <mergeCell ref="BC287:BK287"/>
    <mergeCell ref="D332:G332"/>
    <mergeCell ref="H332:J332"/>
    <mergeCell ref="K332:M332"/>
    <mergeCell ref="N332:P332"/>
    <mergeCell ref="D306:G306"/>
    <mergeCell ref="H306:J306"/>
    <mergeCell ref="K306:M306"/>
    <mergeCell ref="N306:P306"/>
    <mergeCell ref="Q306:S306"/>
    <mergeCell ref="T306:V306"/>
    <mergeCell ref="W306:Y306"/>
    <mergeCell ref="Z306:AB306"/>
    <mergeCell ref="AC306:AE306"/>
    <mergeCell ref="AF306:AH306"/>
    <mergeCell ref="D325:G325"/>
    <mergeCell ref="H325:J325"/>
    <mergeCell ref="K325:M325"/>
    <mergeCell ref="AF331:AH331"/>
    <mergeCell ref="AF328:AH328"/>
    <mergeCell ref="Z332:AB332"/>
    <mergeCell ref="D329:G329"/>
    <mergeCell ref="H329:J329"/>
    <mergeCell ref="K329:M329"/>
    <mergeCell ref="T323:V323"/>
    <mergeCell ref="W323:Y323"/>
    <mergeCell ref="D746:M746"/>
    <mergeCell ref="D723:M723"/>
    <mergeCell ref="Q319:S319"/>
    <mergeCell ref="D327:AH327"/>
    <mergeCell ref="N35:R35"/>
    <mergeCell ref="S35:W35"/>
    <mergeCell ref="D36:M36"/>
    <mergeCell ref="N36:R36"/>
    <mergeCell ref="S36:W36"/>
    <mergeCell ref="X36:AB36"/>
    <mergeCell ref="AC36:AG36"/>
    <mergeCell ref="D37:M37"/>
    <mergeCell ref="N37:R37"/>
    <mergeCell ref="S37:W37"/>
    <mergeCell ref="X37:AB37"/>
    <mergeCell ref="AC37:AG37"/>
    <mergeCell ref="H288:AH288"/>
    <mergeCell ref="T292:V292"/>
    <mergeCell ref="W292:Y292"/>
    <mergeCell ref="AF298:AH298"/>
    <mergeCell ref="Z300:AB300"/>
    <mergeCell ref="M242:O242"/>
    <mergeCell ref="P242:R242"/>
    <mergeCell ref="S242:U242"/>
    <mergeCell ref="V242:X242"/>
    <mergeCell ref="Y242:AA242"/>
    <mergeCell ref="AB242:AD242"/>
    <mergeCell ref="AF292:AH292"/>
    <mergeCell ref="N297:P297"/>
    <mergeCell ref="Q297:S297"/>
    <mergeCell ref="T297:V297"/>
    <mergeCell ref="W297:Y297"/>
    <mergeCell ref="Q328:S328"/>
    <mergeCell ref="T328:V328"/>
    <mergeCell ref="W328:Y328"/>
    <mergeCell ref="T329:V329"/>
    <mergeCell ref="W289:Y289"/>
    <mergeCell ref="T289:V289"/>
    <mergeCell ref="AF291:AH291"/>
    <mergeCell ref="D309:G309"/>
    <mergeCell ref="H310:J310"/>
    <mergeCell ref="K310:M310"/>
    <mergeCell ref="H318:J318"/>
    <mergeCell ref="K318:M318"/>
    <mergeCell ref="N318:P318"/>
    <mergeCell ref="Q318:S318"/>
    <mergeCell ref="T318:V318"/>
    <mergeCell ref="N859:Q859"/>
    <mergeCell ref="R859:U859"/>
    <mergeCell ref="V859:Y859"/>
    <mergeCell ref="Z859:AC859"/>
    <mergeCell ref="AD859:AG859"/>
    <mergeCell ref="N789:W789"/>
    <mergeCell ref="X789:AG789"/>
    <mergeCell ref="N790:W790"/>
    <mergeCell ref="X790:AG790"/>
    <mergeCell ref="N717:W717"/>
    <mergeCell ref="X717:AG717"/>
    <mergeCell ref="X751:AG751"/>
    <mergeCell ref="X719:AG719"/>
    <mergeCell ref="N720:W720"/>
    <mergeCell ref="X720:AG720"/>
    <mergeCell ref="D853:M853"/>
    <mergeCell ref="D852:M852"/>
    <mergeCell ref="N702:Q702"/>
    <mergeCell ref="N331:P331"/>
    <mergeCell ref="Q331:S331"/>
    <mergeCell ref="T331:V331"/>
    <mergeCell ref="W331:Y331"/>
    <mergeCell ref="W330:Y330"/>
    <mergeCell ref="AC330:AE330"/>
    <mergeCell ref="Q324:S324"/>
    <mergeCell ref="K331:M331"/>
    <mergeCell ref="H323:J323"/>
    <mergeCell ref="K323:M323"/>
    <mergeCell ref="N323:P323"/>
    <mergeCell ref="N325:P325"/>
    <mergeCell ref="W326:Y326"/>
    <mergeCell ref="Z326:AB326"/>
    <mergeCell ref="AC326:AE326"/>
    <mergeCell ref="AF326:AH326"/>
    <mergeCell ref="T325:V325"/>
    <mergeCell ref="W325:Y325"/>
    <mergeCell ref="Z325:AB325"/>
    <mergeCell ref="AC325:AE325"/>
    <mergeCell ref="AF325:AH325"/>
    <mergeCell ref="N329:P329"/>
    <mergeCell ref="Z331:AB331"/>
    <mergeCell ref="Z330:AB330"/>
    <mergeCell ref="K326:M326"/>
    <mergeCell ref="N326:P326"/>
    <mergeCell ref="Q326:S326"/>
    <mergeCell ref="T326:V326"/>
    <mergeCell ref="Q329:S329"/>
    <mergeCell ref="K328:M328"/>
    <mergeCell ref="N328:P328"/>
    <mergeCell ref="AF335:AH335"/>
    <mergeCell ref="D331:G331"/>
    <mergeCell ref="AC331:AE331"/>
    <mergeCell ref="Q330:S330"/>
    <mergeCell ref="T330:V330"/>
    <mergeCell ref="AF330:AH330"/>
    <mergeCell ref="Q335:S335"/>
    <mergeCell ref="T335:V335"/>
    <mergeCell ref="W335:Y335"/>
    <mergeCell ref="D333:AH333"/>
    <mergeCell ref="D551:H551"/>
    <mergeCell ref="AC332:AE332"/>
    <mergeCell ref="D334:G334"/>
    <mergeCell ref="H334:J334"/>
    <mergeCell ref="K334:M334"/>
    <mergeCell ref="N334:P334"/>
    <mergeCell ref="Q334:S334"/>
    <mergeCell ref="I550:M550"/>
    <mergeCell ref="N550:R550"/>
    <mergeCell ref="S550:W550"/>
    <mergeCell ref="X550:AB550"/>
    <mergeCell ref="AC550:AG550"/>
    <mergeCell ref="D536:H536"/>
    <mergeCell ref="D540:H540"/>
    <mergeCell ref="I540:M540"/>
    <mergeCell ref="N540:R540"/>
    <mergeCell ref="S540:W540"/>
    <mergeCell ref="X540:AB540"/>
    <mergeCell ref="AC540:AG540"/>
    <mergeCell ref="D547:H547"/>
    <mergeCell ref="I547:M547"/>
    <mergeCell ref="N547:R547"/>
    <mergeCell ref="D740:AG740"/>
    <mergeCell ref="D725:AG725"/>
    <mergeCell ref="D727:M728"/>
    <mergeCell ref="H335:J335"/>
    <mergeCell ref="I551:M551"/>
    <mergeCell ref="N551:R551"/>
    <mergeCell ref="S551:W551"/>
    <mergeCell ref="X551:AB551"/>
    <mergeCell ref="AC551:AG551"/>
    <mergeCell ref="D714:M714"/>
    <mergeCell ref="N714:W714"/>
    <mergeCell ref="X714:AG714"/>
    <mergeCell ref="D715:M715"/>
    <mergeCell ref="N715:W715"/>
    <mergeCell ref="X715:AG715"/>
    <mergeCell ref="D716:M716"/>
    <mergeCell ref="N716:W716"/>
    <mergeCell ref="X716:AG716"/>
    <mergeCell ref="D717:M717"/>
    <mergeCell ref="D718:M718"/>
    <mergeCell ref="N718:W718"/>
    <mergeCell ref="X722:AG722"/>
    <mergeCell ref="N723:W723"/>
    <mergeCell ref="X723:AG723"/>
    <mergeCell ref="D733:M733"/>
    <mergeCell ref="K335:M335"/>
    <mergeCell ref="N335:P335"/>
    <mergeCell ref="X718:AG718"/>
    <mergeCell ref="D719:M719"/>
    <mergeCell ref="AD702:AG702"/>
    <mergeCell ref="D335:G335"/>
    <mergeCell ref="N719:W719"/>
    <mergeCell ref="X746:AG746"/>
    <mergeCell ref="D771:M771"/>
    <mergeCell ref="D722:M722"/>
    <mergeCell ref="D721:M721"/>
    <mergeCell ref="D720:M720"/>
    <mergeCell ref="N787:W787"/>
    <mergeCell ref="N733:W733"/>
    <mergeCell ref="T334:V334"/>
    <mergeCell ref="W334:Y334"/>
    <mergeCell ref="Z334:AB334"/>
    <mergeCell ref="AC334:AE334"/>
    <mergeCell ref="AF334:AH334"/>
    <mergeCell ref="X735:AG735"/>
    <mergeCell ref="D738:AG738"/>
    <mergeCell ref="D694:M694"/>
    <mergeCell ref="N697:Q697"/>
    <mergeCell ref="N698:Q698"/>
    <mergeCell ref="N699:Q699"/>
    <mergeCell ref="N700:Q700"/>
    <mergeCell ref="N701:Q701"/>
    <mergeCell ref="N727:W728"/>
    <mergeCell ref="X727:AG728"/>
    <mergeCell ref="D729:M729"/>
    <mergeCell ref="N729:W729"/>
    <mergeCell ref="X729:AG729"/>
    <mergeCell ref="N746:W746"/>
    <mergeCell ref="D730:M730"/>
    <mergeCell ref="N730:W730"/>
    <mergeCell ref="X730:AG730"/>
    <mergeCell ref="R695:U695"/>
    <mergeCell ref="R696:U696"/>
    <mergeCell ref="R697:U697"/>
    <mergeCell ref="Q332:S332"/>
    <mergeCell ref="T332:V332"/>
    <mergeCell ref="W332:Y332"/>
    <mergeCell ref="AF332:AH332"/>
    <mergeCell ref="D731:M731"/>
    <mergeCell ref="N731:W731"/>
    <mergeCell ref="X731:AG731"/>
    <mergeCell ref="D732:M732"/>
    <mergeCell ref="N732:W732"/>
    <mergeCell ref="X732:AG732"/>
    <mergeCell ref="D735:M735"/>
    <mergeCell ref="X733:AG733"/>
    <mergeCell ref="D734:M734"/>
    <mergeCell ref="N734:W734"/>
    <mergeCell ref="X734:AG734"/>
    <mergeCell ref="N735:W735"/>
    <mergeCell ref="D330:G330"/>
    <mergeCell ref="H330:J330"/>
    <mergeCell ref="K330:M330"/>
    <mergeCell ref="N330:P330"/>
    <mergeCell ref="N721:W721"/>
    <mergeCell ref="X721:AG721"/>
    <mergeCell ref="N722:W722"/>
    <mergeCell ref="R694:U694"/>
    <mergeCell ref="AD698:AG698"/>
    <mergeCell ref="AD699:AG699"/>
    <mergeCell ref="D601:M601"/>
    <mergeCell ref="N601:W601"/>
    <mergeCell ref="D527:AG527"/>
    <mergeCell ref="H331:J331"/>
    <mergeCell ref="Z335:AB335"/>
    <mergeCell ref="AC335:AE335"/>
  </mergeCells>
  <conditionalFormatting sqref="AI368:AM371 AM369:AM374 AM406:AM411 AI411:AM411 AI375:AM375">
    <cfRule type="cellIs" dxfId="59" priority="417" operator="lessThan">
      <formula>0</formula>
    </cfRule>
    <cfRule type="cellIs" dxfId="58" priority="418" operator="greaterThan">
      <formula>0</formula>
    </cfRule>
    <cfRule type="cellIs" dxfId="57" priority="419" operator="lessThan">
      <formula>0</formula>
    </cfRule>
    <cfRule type="cellIs" dxfId="56" priority="420" operator="greaterThan">
      <formula>0</formula>
    </cfRule>
  </conditionalFormatting>
  <conditionalFormatting sqref="AO368:AO375 AO429:AO435 AO437:AO444 AI227:AP235 BA231:BH235 AI252:AP260 BA256:BH260 AR227:AY235 AI291:AQ299 AI316:AQ324 AS291:BA299 BC295:BK299 BC335:BK335 AR237:AY241 BA237:BH241 AI238:AP241 AI244:AP246 BA243:BH246 AR243:AY245 BA262:BH266 AI263:AP266 AI269:AP271 BA268:BH271 BC301:BK305 AS301:BA305 AI302:AQ305 AI308:AQ310 AS307:BA309 BC307:BK310 AI327:AQ330 AI333:AQ335 AL744:AM772">
    <cfRule type="cellIs" dxfId="55" priority="403" operator="lessThan">
      <formula>0</formula>
    </cfRule>
    <cfRule type="cellIs" dxfId="54" priority="404" operator="greaterThan">
      <formula>0</formula>
    </cfRule>
  </conditionalFormatting>
  <conditionalFormatting sqref="AK430:AM435 AM437:AM438 AK439:AM444 AL482:AM484 AO484:AP484 AL493:AM502 AO493:AP502 AM524:AM528 AL613:AM615 AO615:AP615 AI694:AM702 AO694:AS702 AL735:AM735 AO729:AP735 AL571:AM576 AO571:AP576 AO535:AO538 AM546:AM550 AO546:AO549 AO623:AP625 AL634:AM640 AO634:AP640 AO717:AP723 AM751:AM772 AL535:AM539 AL541:AL547 AO849:AO855 AL849:AM855 AL858:AM864 AO858:AO864">
    <cfRule type="cellIs" dxfId="53" priority="340" operator="lessThan">
      <formula>0</formula>
    </cfRule>
    <cfRule type="cellIs" dxfId="52" priority="341" operator="greaterThan">
      <formula>0</formula>
    </cfRule>
  </conditionalFormatting>
  <conditionalFormatting sqref="AO480:AP484 AM546:AM550 AM535:AM539 AM541:AM542">
    <cfRule type="cellIs" dxfId="51" priority="331" operator="lessThan">
      <formula>0</formula>
    </cfRule>
    <cfRule type="cellIs" dxfId="50" priority="332" operator="greaterThan">
      <formula>0</formula>
    </cfRule>
    <cfRule type="cellIs" priority="333" stopIfTrue="1" operator="greaterThan">
      <formula>0</formula>
    </cfRule>
    <cfRule type="cellIs" priority="334" stopIfTrue="1" operator="greaterThan">
      <formula>0</formula>
    </cfRule>
    <cfRule type="cellIs" priority="335" stopIfTrue="1" operator="greaterThan">
      <formula>0</formula>
    </cfRule>
  </conditionalFormatting>
  <conditionalFormatting sqref="AI236:AP236 AR236:AY236">
    <cfRule type="cellIs" dxfId="49" priority="59" operator="lessThan">
      <formula>0</formula>
    </cfRule>
    <cfRule type="cellIs" dxfId="48" priority="60" operator="greaterThan">
      <formula>0</formula>
    </cfRule>
  </conditionalFormatting>
  <conditionalFormatting sqref="AI242:AP242 AR242:AY242">
    <cfRule type="cellIs" dxfId="47" priority="57" operator="lessThan">
      <formula>0</formula>
    </cfRule>
    <cfRule type="cellIs" dxfId="46" priority="58" operator="greaterThan">
      <formula>0</formula>
    </cfRule>
  </conditionalFormatting>
  <conditionalFormatting sqref="AI237:AP237">
    <cfRule type="cellIs" dxfId="45" priority="55" operator="lessThan">
      <formula>0</formula>
    </cfRule>
    <cfRule type="cellIs" dxfId="44" priority="56" operator="greaterThan">
      <formula>0</formula>
    </cfRule>
  </conditionalFormatting>
  <conditionalFormatting sqref="AI243:AP243">
    <cfRule type="cellIs" dxfId="43" priority="53" operator="lessThan">
      <formula>0</formula>
    </cfRule>
    <cfRule type="cellIs" dxfId="42" priority="54" operator="greaterThan">
      <formula>0</formula>
    </cfRule>
  </conditionalFormatting>
  <conditionalFormatting sqref="AI261:AP261">
    <cfRule type="cellIs" dxfId="41" priority="51" operator="lessThan">
      <formula>0</formula>
    </cfRule>
    <cfRule type="cellIs" dxfId="40" priority="52" operator="greaterThan">
      <formula>0</formula>
    </cfRule>
  </conditionalFormatting>
  <conditionalFormatting sqref="AI267:AP267">
    <cfRule type="cellIs" dxfId="39" priority="49" operator="lessThan">
      <formula>0</formula>
    </cfRule>
    <cfRule type="cellIs" dxfId="38" priority="50" operator="greaterThan">
      <formula>0</formula>
    </cfRule>
  </conditionalFormatting>
  <conditionalFormatting sqref="AI262:AP262">
    <cfRule type="cellIs" dxfId="37" priority="47" operator="lessThan">
      <formula>0</formula>
    </cfRule>
    <cfRule type="cellIs" dxfId="36" priority="48" operator="greaterThan">
      <formula>0</formula>
    </cfRule>
  </conditionalFormatting>
  <conditionalFormatting sqref="AI268:AP268">
    <cfRule type="cellIs" dxfId="35" priority="45" operator="lessThan">
      <formula>0</formula>
    </cfRule>
    <cfRule type="cellIs" dxfId="34" priority="46" operator="greaterThan">
      <formula>0</formula>
    </cfRule>
  </conditionalFormatting>
  <conditionalFormatting sqref="AI300:AQ300 AS300:BA300">
    <cfRule type="cellIs" dxfId="33" priority="43" operator="lessThan">
      <formula>0</formula>
    </cfRule>
    <cfRule type="cellIs" dxfId="32" priority="44" operator="greaterThan">
      <formula>0</formula>
    </cfRule>
  </conditionalFormatting>
  <conditionalFormatting sqref="AI306:AQ306 AS306:BA306">
    <cfRule type="cellIs" dxfId="31" priority="41" operator="lessThan">
      <formula>0</formula>
    </cfRule>
    <cfRule type="cellIs" dxfId="30" priority="42" operator="greaterThan">
      <formula>0</formula>
    </cfRule>
  </conditionalFormatting>
  <conditionalFormatting sqref="AI301:AQ301">
    <cfRule type="cellIs" dxfId="29" priority="39" operator="lessThan">
      <formula>0</formula>
    </cfRule>
    <cfRule type="cellIs" dxfId="28" priority="40" operator="greaterThan">
      <formula>0</formula>
    </cfRule>
  </conditionalFormatting>
  <conditionalFormatting sqref="AI307:AQ307">
    <cfRule type="cellIs" dxfId="27" priority="37" operator="lessThan">
      <formula>0</formula>
    </cfRule>
    <cfRule type="cellIs" dxfId="26" priority="38" operator="greaterThan">
      <formula>0</formula>
    </cfRule>
  </conditionalFormatting>
  <conditionalFormatting sqref="AI325:AQ325">
    <cfRule type="cellIs" dxfId="25" priority="35" operator="lessThan">
      <formula>0</formula>
    </cfRule>
    <cfRule type="cellIs" dxfId="24" priority="36" operator="greaterThan">
      <formula>0</formula>
    </cfRule>
  </conditionalFormatting>
  <conditionalFormatting sqref="AI331:AQ331">
    <cfRule type="cellIs" dxfId="23" priority="33" operator="lessThan">
      <formula>0</formula>
    </cfRule>
    <cfRule type="cellIs" dxfId="22" priority="34" operator="greaterThan">
      <formula>0</formula>
    </cfRule>
  </conditionalFormatting>
  <conditionalFormatting sqref="AI326:AQ326">
    <cfRule type="cellIs" dxfId="21" priority="31" operator="lessThan">
      <formula>0</formula>
    </cfRule>
    <cfRule type="cellIs" dxfId="20" priority="32" operator="greaterThan">
      <formula>0</formula>
    </cfRule>
  </conditionalFormatting>
  <conditionalFormatting sqref="AI332:AQ332">
    <cfRule type="cellIs" dxfId="19" priority="29" operator="lessThan">
      <formula>0</formula>
    </cfRule>
    <cfRule type="cellIs" dxfId="18" priority="30" operator="greaterThan">
      <formula>0</formula>
    </cfRule>
  </conditionalFormatting>
  <conditionalFormatting sqref="AL790:AM790">
    <cfRule type="cellIs" dxfId="17" priority="17" operator="lessThan">
      <formula>0</formula>
    </cfRule>
    <cfRule type="cellIs" dxfId="16" priority="18" operator="greaterThan">
      <formula>0</formula>
    </cfRule>
  </conditionalFormatting>
  <conditionalFormatting sqref="AL785:AM790">
    <cfRule type="cellIs" dxfId="15" priority="24" operator="lessThan">
      <formula>0</formula>
    </cfRule>
    <cfRule type="cellIs" dxfId="14" priority="25" operator="greaterThan">
      <formula>0</formula>
    </cfRule>
  </conditionalFormatting>
  <conditionalFormatting sqref="AO744:AP751 AL750:AM750 AM744:AM749 AO808:AP819 AM785:AM789 AO869:AO884 AM869:AM884 AO785:AP790">
    <cfRule type="cellIs" dxfId="13" priority="22" operator="lessThan">
      <formula>0</formula>
    </cfRule>
    <cfRule type="cellIs" dxfId="12" priority="23" operator="greaterThan">
      <formula>0</formula>
    </cfRule>
  </conditionalFormatting>
  <conditionalFormatting sqref="AL785:AM790 AL744:AM772">
    <cfRule type="cellIs" priority="26" stopIfTrue="1" operator="greaterThan">
      <formula>0</formula>
    </cfRule>
  </conditionalFormatting>
  <conditionalFormatting sqref="AO785:AP790 AO744:AP772">
    <cfRule type="cellIs" dxfId="11" priority="19" operator="lessThan">
      <formula>0</formula>
    </cfRule>
    <cfRule type="cellIs" dxfId="10" priority="20" operator="greaterThan">
      <formula>0</formula>
    </cfRule>
    <cfRule type="cellIs" priority="21" stopIfTrue="1" operator="greaterThan">
      <formula>0</formula>
    </cfRule>
  </conditionalFormatting>
  <conditionalFormatting sqref="AM551">
    <cfRule type="cellIs" dxfId="9" priority="15" operator="lessThan">
      <formula>0</formula>
    </cfRule>
    <cfRule type="cellIs" dxfId="8" priority="16" operator="greaterThan">
      <formula>0</formula>
    </cfRule>
  </conditionalFormatting>
  <conditionalFormatting sqref="AM551">
    <cfRule type="cellIs" dxfId="7" priority="10" operator="lessThan">
      <formula>0</formula>
    </cfRule>
    <cfRule type="cellIs" dxfId="6" priority="11" operator="greaterThan">
      <formula>0</formula>
    </cfRule>
    <cfRule type="cellIs" priority="12" stopIfTrue="1" operator="greaterThan">
      <formula>0</formula>
    </cfRule>
    <cfRule type="cellIs" priority="13" stopIfTrue="1" operator="greaterThan">
      <formula>0</formula>
    </cfRule>
    <cfRule type="cellIs" priority="14" stopIfTrue="1" operator="greaterThan">
      <formula>0</formula>
    </cfRule>
  </conditionalFormatting>
  <conditionalFormatting sqref="AL540:AM540">
    <cfRule type="cellIs" dxfId="5" priority="8" operator="lessThan">
      <formula>0</formula>
    </cfRule>
    <cfRule type="cellIs" dxfId="4" priority="9" operator="greaterThan">
      <formula>0</formula>
    </cfRule>
  </conditionalFormatting>
  <conditionalFormatting sqref="AM540">
    <cfRule type="cellIs" dxfId="3" priority="3" operator="lessThan">
      <formula>0</formula>
    </cfRule>
    <cfRule type="cellIs" dxfId="2" priority="4" operator="greaterThan">
      <formula>0</formula>
    </cfRule>
    <cfRule type="cellIs" priority="5" stopIfTrue="1" operator="greaterThan">
      <formula>0</formula>
    </cfRule>
    <cfRule type="cellIs" priority="6" stopIfTrue="1" operator="greaterThan">
      <formula>0</formula>
    </cfRule>
    <cfRule type="cellIs" priority="7" stopIfTrue="1" operator="greaterThan">
      <formula>0</formula>
    </cfRule>
  </conditionalFormatting>
  <conditionalFormatting sqref="AL856:AM857 AO856:AO857">
    <cfRule type="cellIs" dxfId="1" priority="1" operator="lessThan">
      <formula>0</formula>
    </cfRule>
    <cfRule type="cellIs" dxfId="0" priority="2" operator="greaterThan">
      <formula>0</formula>
    </cfRule>
  </conditionalFormatting>
  <pageMargins left="0.70866141732283472" right="0.23622047244094491" top="0.31496062992125984" bottom="0.70866141732283472" header="0.31496062992125984" footer="0.35433070866141736"/>
  <pageSetup paperSize="9" scale="65" firstPageNumber="13" fitToWidth="0" fitToHeight="0" orientation="portrait" blackAndWhite="1" useFirstPageNumber="1" r:id="rId1"/>
  <headerFooter>
    <oddFooter>&amp;C&amp;P
Neoddeliteľnou súčasťou účtovnej závierky je súvaha, výkaz ziskov a strát a poznámky.</oddFooter>
  </headerFooter>
  <rowBreaks count="21" manualBreakCount="21">
    <brk id="72" max="33" man="1"/>
    <brk id="118" max="33" man="1"/>
    <brk id="179" max="33" man="1"/>
    <brk id="217" max="33" man="1"/>
    <brk id="272" max="33" man="1"/>
    <brk id="311" max="33" man="1"/>
    <brk id="354" max="33" man="1"/>
    <brk id="393" max="33" man="1"/>
    <brk id="424" max="33" man="1"/>
    <brk id="444" max="33" man="1"/>
    <brk id="486" max="33" man="1"/>
    <brk id="527" max="33" man="1"/>
    <brk id="552" max="33" man="1"/>
    <brk id="579" max="33" man="1"/>
    <brk id="627" max="33" man="1"/>
    <brk id="687" max="33" man="1"/>
    <brk id="723" max="33" man="1"/>
    <brk id="760" max="33" man="1"/>
    <brk id="803" max="33" man="1"/>
    <brk id="820" max="33" man="1"/>
    <brk id="865" max="33" man="1"/>
  </rowBreaks>
  <legacy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9">
    <tabColor rgb="FF92D050"/>
  </sheetPr>
  <dimension ref="A1:Q143"/>
  <sheetViews>
    <sheetView showGridLines="0" showZeros="0" topLeftCell="A92" zoomScaleNormal="100" workbookViewId="0">
      <selection activeCell="B132" sqref="B132"/>
    </sheetView>
  </sheetViews>
  <sheetFormatPr defaultColWidth="9.140625" defaultRowHeight="11.25"/>
  <cols>
    <col min="1" max="1" width="6.85546875" style="178" customWidth="1"/>
    <col min="2" max="2" width="53.5703125" style="230" customWidth="1"/>
    <col min="3" max="3" width="5.85546875" style="178" customWidth="1"/>
    <col min="4" max="4" width="13.42578125" style="178" bestFit="1" customWidth="1"/>
    <col min="5" max="5" width="14.28515625" style="178" bestFit="1" customWidth="1"/>
    <col min="6" max="6" width="13.42578125" style="178" customWidth="1"/>
    <col min="7" max="7" width="15.140625" style="178" customWidth="1"/>
    <col min="8" max="8" width="10" style="178" bestFit="1" customWidth="1"/>
    <col min="9" max="11" width="9.140625" style="178"/>
    <col min="12" max="12" width="9.140625" style="178" customWidth="1"/>
    <col min="13" max="17" width="9.140625" style="178" hidden="1" customWidth="1"/>
    <col min="18" max="16384" width="9.140625" style="178"/>
  </cols>
  <sheetData>
    <row r="1" spans="1:17" ht="12.75" hidden="1">
      <c r="M1" s="179" t="s">
        <v>496</v>
      </c>
    </row>
    <row r="2" spans="1:17" s="185" customFormat="1" ht="12" customHeight="1">
      <c r="A2" s="180" t="s">
        <v>497</v>
      </c>
      <c r="B2" s="936">
        <v>0</v>
      </c>
      <c r="C2" s="181"/>
      <c r="D2" s="182"/>
      <c r="E2" s="183"/>
      <c r="F2" s="183"/>
      <c r="G2" s="184"/>
      <c r="K2" s="179"/>
      <c r="L2" s="179"/>
      <c r="M2" s="179" t="s">
        <v>499</v>
      </c>
      <c r="N2" s="179"/>
      <c r="O2" s="179"/>
      <c r="P2" s="179"/>
      <c r="Q2" s="179"/>
    </row>
    <row r="3" spans="1:17" ht="12" customHeight="1">
      <c r="A3" s="180" t="s">
        <v>500</v>
      </c>
      <c r="B3" s="936" t="s">
        <v>501</v>
      </c>
      <c r="D3" s="182"/>
      <c r="E3" s="183"/>
      <c r="F3" s="183"/>
      <c r="K3" s="179"/>
      <c r="L3" s="186" t="s">
        <v>502</v>
      </c>
      <c r="M3" s="187" t="s">
        <v>498</v>
      </c>
      <c r="N3" s="187" t="s">
        <v>503</v>
      </c>
      <c r="O3" s="187" t="s">
        <v>504</v>
      </c>
      <c r="P3" s="187" t="s">
        <v>505</v>
      </c>
      <c r="Q3" s="187" t="s">
        <v>506</v>
      </c>
    </row>
    <row r="4" spans="1:17" ht="12" customHeight="1">
      <c r="C4" s="375" t="s">
        <v>501</v>
      </c>
      <c r="D4" s="182"/>
      <c r="E4" s="183"/>
      <c r="F4" s="183"/>
      <c r="K4" s="179"/>
      <c r="L4" s="186"/>
      <c r="M4" s="179"/>
      <c r="N4" s="179"/>
      <c r="O4" s="179"/>
      <c r="P4" s="179"/>
      <c r="Q4" s="186" t="s">
        <v>502</v>
      </c>
    </row>
    <row r="5" spans="1:17" ht="13.5" customHeight="1">
      <c r="A5" s="188"/>
      <c r="B5" s="937"/>
      <c r="C5" s="189"/>
      <c r="D5" s="189"/>
      <c r="E5" s="189"/>
      <c r="F5" s="189"/>
      <c r="G5" s="189"/>
      <c r="K5" s="179"/>
      <c r="L5" s="179"/>
      <c r="M5" s="190">
        <v>0.1</v>
      </c>
      <c r="N5" s="191">
        <v>0.01</v>
      </c>
      <c r="O5" s="190">
        <v>0.05</v>
      </c>
      <c r="P5" s="192">
        <v>5.0000000000000001E-3</v>
      </c>
      <c r="Q5" s="193" t="e">
        <f>IF(#REF!=$M$3,M5,IF(#REF!=$N$3,N5,IF(#REF!=$O$3,O5,IF(#REF!=$P$3,P5,""))))</f>
        <v>#REF!</v>
      </c>
    </row>
    <row r="6" spans="1:17" ht="12" customHeight="1">
      <c r="C6" s="194" t="s">
        <v>507</v>
      </c>
      <c r="D6" s="195"/>
      <c r="E6" s="181"/>
      <c r="K6" s="179"/>
      <c r="L6" s="179"/>
      <c r="M6" s="190">
        <v>0.09</v>
      </c>
      <c r="N6" s="191">
        <v>8.9999999999999993E-3</v>
      </c>
      <c r="O6" s="190">
        <v>0.04</v>
      </c>
      <c r="P6" s="192">
        <v>4.0000000000000001E-3</v>
      </c>
      <c r="Q6" s="193" t="e">
        <f>IF(#REF!=$M$3,M6,IF(#REF!=$N$3,N6,IF(#REF!=$O$3,O6,IF(#REF!=$P$3,P6,""))))</f>
        <v>#REF!</v>
      </c>
    </row>
    <row r="7" spans="1:17" s="199" customFormat="1" ht="12" customHeight="1">
      <c r="A7" s="196" t="s">
        <v>508</v>
      </c>
      <c r="B7" s="938" t="s">
        <v>509</v>
      </c>
      <c r="C7" s="196" t="s">
        <v>510</v>
      </c>
      <c r="D7" s="197" t="s">
        <v>511</v>
      </c>
      <c r="E7" s="197"/>
      <c r="F7" s="197"/>
      <c r="G7" s="198" t="s">
        <v>512</v>
      </c>
      <c r="K7" s="179"/>
      <c r="L7" s="179"/>
      <c r="M7" s="190">
        <v>0.08</v>
      </c>
      <c r="N7" s="191">
        <v>8.0000000000000002E-3</v>
      </c>
      <c r="O7" s="190">
        <v>0.03</v>
      </c>
      <c r="P7" s="192">
        <v>3.0000000000000001E-3</v>
      </c>
      <c r="Q7" s="193" t="e">
        <f>IF(#REF!=$M$3,M7,IF(#REF!=$N$3,N7,IF(#REF!=$O$3,O7,IF(#REF!=$P$3,P7,""))))</f>
        <v>#REF!</v>
      </c>
    </row>
    <row r="8" spans="1:17" s="202" customFormat="1" ht="12" customHeight="1">
      <c r="A8" s="200" t="s">
        <v>513</v>
      </c>
      <c r="B8" s="201"/>
      <c r="C8" s="200" t="s">
        <v>514</v>
      </c>
      <c r="D8" s="196" t="s">
        <v>515</v>
      </c>
      <c r="E8" s="196" t="s">
        <v>516</v>
      </c>
      <c r="F8" s="196" t="s">
        <v>517</v>
      </c>
      <c r="G8" s="196" t="s">
        <v>517</v>
      </c>
      <c r="K8" s="179"/>
      <c r="L8" s="179"/>
      <c r="M8" s="190">
        <v>7.0000000000000007E-2</v>
      </c>
      <c r="N8" s="191">
        <v>7.0000000000000001E-3</v>
      </c>
      <c r="O8" s="190">
        <v>0.02</v>
      </c>
      <c r="P8" s="192">
        <v>2.5000000000000001E-3</v>
      </c>
      <c r="Q8" s="193" t="e">
        <f>IF(#REF!=$M$3,M8,IF(#REF!=$N$3,N8,IF(#REF!=$O$3,O8,IF(#REF!=$P$3,P8,""))))</f>
        <v>#REF!</v>
      </c>
    </row>
    <row r="9" spans="1:17" s="199" customFormat="1" ht="12" customHeight="1">
      <c r="A9" s="203" t="s">
        <v>518</v>
      </c>
      <c r="B9" s="939" t="s">
        <v>519</v>
      </c>
      <c r="C9" s="203" t="s">
        <v>520</v>
      </c>
      <c r="D9" s="203">
        <v>1</v>
      </c>
      <c r="E9" s="203">
        <v>2</v>
      </c>
      <c r="F9" s="203">
        <v>3</v>
      </c>
      <c r="G9" s="203">
        <v>4</v>
      </c>
      <c r="K9" s="179"/>
      <c r="L9" s="179"/>
      <c r="M9" s="190">
        <v>0.06</v>
      </c>
      <c r="N9" s="191">
        <v>6.0000000000000001E-3</v>
      </c>
      <c r="O9" s="190">
        <v>0.01</v>
      </c>
      <c r="P9" s="179"/>
      <c r="Q9" s="193" t="e">
        <f>IF(#REF!=$M$3,M9,IF(#REF!=$N$3,N9,IF(#REF!=$O$3,O9,IF(#REF!=$P$3,P9,""))))</f>
        <v>#REF!</v>
      </c>
    </row>
    <row r="10" spans="1:17" s="207" customFormat="1" ht="12" customHeight="1">
      <c r="A10" s="204"/>
      <c r="B10" s="940" t="s">
        <v>521</v>
      </c>
      <c r="C10" s="205" t="s">
        <v>522</v>
      </c>
      <c r="D10" s="877">
        <f>D11+D39+D70</f>
        <v>0</v>
      </c>
      <c r="E10" s="877">
        <f>E11+E39+E70</f>
        <v>0</v>
      </c>
      <c r="F10" s="877">
        <f>F11+F39+F70</f>
        <v>0</v>
      </c>
      <c r="G10" s="877">
        <f>G11+G39+G70</f>
        <v>0</v>
      </c>
      <c r="K10" s="179"/>
      <c r="L10" s="179"/>
      <c r="M10" s="190">
        <v>0.05</v>
      </c>
      <c r="N10" s="191">
        <v>5.0000000000000001E-3</v>
      </c>
      <c r="O10" s="179"/>
      <c r="P10" s="179"/>
      <c r="Q10" s="193" t="e">
        <f>IF(#REF!=$M$3,M10,IF(#REF!=$N$3,N10,IF(#REF!=$O$3,O10,IF(#REF!=$P$3,P10,""))))</f>
        <v>#REF!</v>
      </c>
    </row>
    <row r="11" spans="1:17" s="207" customFormat="1" ht="12" customHeight="1">
      <c r="A11" s="208" t="s">
        <v>523</v>
      </c>
      <c r="B11" s="941" t="s">
        <v>524</v>
      </c>
      <c r="C11" s="205" t="s">
        <v>525</v>
      </c>
      <c r="D11" s="877">
        <f>D12+D20+D30</f>
        <v>0</v>
      </c>
      <c r="E11" s="877">
        <f>E12+E20+E30</f>
        <v>0</v>
      </c>
      <c r="F11" s="877">
        <f>F12+F20+F30</f>
        <v>0</v>
      </c>
      <c r="G11" s="877">
        <f>G12+G20+G30</f>
        <v>0</v>
      </c>
    </row>
    <row r="12" spans="1:17" s="207" customFormat="1" ht="12" customHeight="1">
      <c r="A12" s="209" t="s">
        <v>526</v>
      </c>
      <c r="B12" s="942" t="s">
        <v>527</v>
      </c>
      <c r="C12" s="205" t="s">
        <v>528</v>
      </c>
      <c r="D12" s="877">
        <f>SUM(D13:D19)</f>
        <v>0</v>
      </c>
      <c r="E12" s="877">
        <f>SUM(E13:E19)</f>
        <v>0</v>
      </c>
      <c r="F12" s="877">
        <f>SUM(F13:F19)</f>
        <v>0</v>
      </c>
      <c r="G12" s="877">
        <f>SUM(G13:G19)</f>
        <v>0</v>
      </c>
    </row>
    <row r="13" spans="1:17" s="185" customFormat="1" ht="12" customHeight="1">
      <c r="A13" s="210" t="s">
        <v>529</v>
      </c>
      <c r="B13" s="943" t="s">
        <v>530</v>
      </c>
      <c r="C13" s="211" t="s">
        <v>531</v>
      </c>
      <c r="D13" s="878"/>
      <c r="E13" s="878"/>
      <c r="F13" s="878"/>
      <c r="G13" s="878"/>
      <c r="H13" s="212"/>
    </row>
    <row r="14" spans="1:17" s="185" customFormat="1" ht="12" customHeight="1">
      <c r="A14" s="210" t="s">
        <v>532</v>
      </c>
      <c r="B14" s="943" t="s">
        <v>533</v>
      </c>
      <c r="C14" s="211" t="s">
        <v>534</v>
      </c>
      <c r="D14" s="878"/>
      <c r="E14" s="878"/>
      <c r="F14" s="878"/>
      <c r="G14" s="879"/>
    </row>
    <row r="15" spans="1:17" s="185" customFormat="1" ht="12" customHeight="1">
      <c r="A15" s="210" t="s">
        <v>535</v>
      </c>
      <c r="B15" s="943" t="s">
        <v>536</v>
      </c>
      <c r="C15" s="211" t="s">
        <v>537</v>
      </c>
      <c r="D15" s="878"/>
      <c r="E15" s="878"/>
      <c r="F15" s="878"/>
      <c r="G15" s="878"/>
    </row>
    <row r="16" spans="1:17" s="185" customFormat="1" ht="12" customHeight="1">
      <c r="A16" s="210" t="s">
        <v>538</v>
      </c>
      <c r="B16" s="943" t="s">
        <v>539</v>
      </c>
      <c r="C16" s="211" t="s">
        <v>540</v>
      </c>
      <c r="D16" s="878"/>
      <c r="E16" s="878"/>
      <c r="F16" s="878"/>
      <c r="G16" s="878"/>
    </row>
    <row r="17" spans="1:7" s="185" customFormat="1" ht="12" customHeight="1">
      <c r="A17" s="210" t="s">
        <v>541</v>
      </c>
      <c r="B17" s="944" t="s">
        <v>542</v>
      </c>
      <c r="C17" s="211" t="s">
        <v>543</v>
      </c>
      <c r="D17" s="878"/>
      <c r="E17" s="878"/>
      <c r="F17" s="878"/>
      <c r="G17" s="878"/>
    </row>
    <row r="18" spans="1:7" s="185" customFormat="1" ht="12" customHeight="1">
      <c r="A18" s="210" t="s">
        <v>544</v>
      </c>
      <c r="B18" s="943" t="s">
        <v>545</v>
      </c>
      <c r="C18" s="211" t="s">
        <v>546</v>
      </c>
      <c r="D18" s="878"/>
      <c r="E18" s="878"/>
      <c r="F18" s="878"/>
      <c r="G18" s="878"/>
    </row>
    <row r="19" spans="1:7" s="185" customFormat="1" ht="12" customHeight="1">
      <c r="A19" s="210" t="s">
        <v>547</v>
      </c>
      <c r="B19" s="943" t="s">
        <v>548</v>
      </c>
      <c r="C19" s="211" t="s">
        <v>549</v>
      </c>
      <c r="D19" s="878"/>
      <c r="E19" s="878"/>
      <c r="F19" s="878"/>
      <c r="G19" s="878"/>
    </row>
    <row r="20" spans="1:7" s="207" customFormat="1" ht="12" customHeight="1">
      <c r="A20" s="213" t="s">
        <v>550</v>
      </c>
      <c r="B20" s="942" t="s">
        <v>551</v>
      </c>
      <c r="C20" s="205" t="s">
        <v>552</v>
      </c>
      <c r="D20" s="877">
        <f>SUM(D21:D29)</f>
        <v>0</v>
      </c>
      <c r="E20" s="877">
        <f>SUM(E21:E29)</f>
        <v>0</v>
      </c>
      <c r="F20" s="877">
        <f>SUM(F21:F29)</f>
        <v>0</v>
      </c>
      <c r="G20" s="877">
        <f>SUM(G21:G29)</f>
        <v>0</v>
      </c>
    </row>
    <row r="21" spans="1:7" s="185" customFormat="1" ht="12" customHeight="1">
      <c r="A21" s="214" t="s">
        <v>553</v>
      </c>
      <c r="B21" s="943" t="s">
        <v>554</v>
      </c>
      <c r="C21" s="211" t="s">
        <v>555</v>
      </c>
      <c r="D21" s="878"/>
      <c r="E21" s="878"/>
      <c r="F21" s="878"/>
      <c r="G21" s="878"/>
    </row>
    <row r="22" spans="1:7" s="185" customFormat="1" ht="12" customHeight="1">
      <c r="A22" s="210" t="s">
        <v>532</v>
      </c>
      <c r="B22" s="943" t="s">
        <v>556</v>
      </c>
      <c r="C22" s="211" t="s">
        <v>557</v>
      </c>
      <c r="D22" s="878"/>
      <c r="E22" s="878"/>
      <c r="F22" s="878"/>
      <c r="G22" s="878"/>
    </row>
    <row r="23" spans="1:7" s="185" customFormat="1" ht="12" customHeight="1">
      <c r="A23" s="210" t="s">
        <v>535</v>
      </c>
      <c r="B23" s="943" t="s">
        <v>558</v>
      </c>
      <c r="C23" s="211" t="s">
        <v>559</v>
      </c>
      <c r="D23" s="878"/>
      <c r="E23" s="880"/>
      <c r="F23" s="878"/>
      <c r="G23" s="878"/>
    </row>
    <row r="24" spans="1:7" s="185" customFormat="1" ht="12" customHeight="1">
      <c r="A24" s="210" t="s">
        <v>538</v>
      </c>
      <c r="B24" s="943" t="s">
        <v>560</v>
      </c>
      <c r="C24" s="211" t="s">
        <v>561</v>
      </c>
      <c r="D24" s="878"/>
      <c r="E24" s="878"/>
      <c r="F24" s="878"/>
      <c r="G24" s="880"/>
    </row>
    <row r="25" spans="1:7" s="185" customFormat="1" ht="12" customHeight="1">
      <c r="A25" s="210" t="s">
        <v>541</v>
      </c>
      <c r="B25" s="943" t="s">
        <v>562</v>
      </c>
      <c r="C25" s="211" t="s">
        <v>563</v>
      </c>
      <c r="D25" s="878"/>
      <c r="E25" s="878"/>
      <c r="F25" s="878"/>
      <c r="G25" s="880"/>
    </row>
    <row r="26" spans="1:7" s="185" customFormat="1" ht="12" customHeight="1">
      <c r="A26" s="210" t="s">
        <v>544</v>
      </c>
      <c r="B26" s="944" t="s">
        <v>564</v>
      </c>
      <c r="C26" s="211" t="s">
        <v>565</v>
      </c>
      <c r="D26" s="880"/>
      <c r="E26" s="880"/>
      <c r="F26" s="878"/>
      <c r="G26" s="880"/>
    </row>
    <row r="27" spans="1:7" s="185" customFormat="1" ht="12" customHeight="1">
      <c r="A27" s="210" t="s">
        <v>547</v>
      </c>
      <c r="B27" s="943" t="s">
        <v>566</v>
      </c>
      <c r="C27" s="211" t="s">
        <v>567</v>
      </c>
      <c r="D27" s="878"/>
      <c r="E27" s="878"/>
      <c r="F27" s="878"/>
      <c r="G27" s="878"/>
    </row>
    <row r="28" spans="1:7" s="185" customFormat="1" ht="12" customHeight="1">
      <c r="A28" s="210" t="s">
        <v>568</v>
      </c>
      <c r="B28" s="943" t="s">
        <v>569</v>
      </c>
      <c r="C28" s="211" t="s">
        <v>570</v>
      </c>
      <c r="D28" s="878"/>
      <c r="E28" s="878"/>
      <c r="F28" s="878"/>
      <c r="G28" s="878"/>
    </row>
    <row r="29" spans="1:7" s="185" customFormat="1" ht="12" customHeight="1">
      <c r="A29" s="210" t="s">
        <v>571</v>
      </c>
      <c r="B29" s="943" t="s">
        <v>572</v>
      </c>
      <c r="C29" s="211" t="s">
        <v>573</v>
      </c>
      <c r="D29" s="878"/>
      <c r="E29" s="878"/>
      <c r="F29" s="878"/>
      <c r="G29" s="878"/>
    </row>
    <row r="30" spans="1:7" s="207" customFormat="1" ht="12" customHeight="1">
      <c r="A30" s="213" t="s">
        <v>574</v>
      </c>
      <c r="B30" s="942" t="s">
        <v>575</v>
      </c>
      <c r="C30" s="205" t="s">
        <v>576</v>
      </c>
      <c r="D30" s="877">
        <f>SUM(D31:D38)</f>
        <v>0</v>
      </c>
      <c r="E30" s="877">
        <f>SUM(E31:E38)</f>
        <v>0</v>
      </c>
      <c r="F30" s="877">
        <f>SUM(F31:F38)</f>
        <v>0</v>
      </c>
      <c r="G30" s="877">
        <f>SUM(G31:G38)</f>
        <v>0</v>
      </c>
    </row>
    <row r="31" spans="1:7" s="185" customFormat="1" ht="12" customHeight="1">
      <c r="A31" s="214" t="s">
        <v>577</v>
      </c>
      <c r="B31" s="943" t="s">
        <v>578</v>
      </c>
      <c r="C31" s="211" t="s">
        <v>579</v>
      </c>
      <c r="D31" s="878"/>
      <c r="E31" s="878"/>
      <c r="F31" s="878"/>
      <c r="G31" s="878"/>
    </row>
    <row r="32" spans="1:7" s="185" customFormat="1" ht="12" customHeight="1">
      <c r="A32" s="210" t="s">
        <v>532</v>
      </c>
      <c r="B32" s="943" t="s">
        <v>580</v>
      </c>
      <c r="C32" s="211" t="s">
        <v>581</v>
      </c>
      <c r="D32" s="878"/>
      <c r="E32" s="878"/>
      <c r="F32" s="878"/>
      <c r="G32" s="878"/>
    </row>
    <row r="33" spans="1:7" s="185" customFormat="1" ht="12" customHeight="1">
      <c r="A33" s="210" t="s">
        <v>535</v>
      </c>
      <c r="B33" s="943" t="s">
        <v>582</v>
      </c>
      <c r="C33" s="211" t="s">
        <v>583</v>
      </c>
      <c r="D33" s="878"/>
      <c r="E33" s="878"/>
      <c r="F33" s="878"/>
      <c r="G33" s="878"/>
    </row>
    <row r="34" spans="1:7" s="185" customFormat="1" ht="12" customHeight="1">
      <c r="A34" s="210" t="s">
        <v>538</v>
      </c>
      <c r="B34" s="943" t="s">
        <v>584</v>
      </c>
      <c r="C34" s="211" t="s">
        <v>585</v>
      </c>
      <c r="D34" s="878"/>
      <c r="E34" s="878"/>
      <c r="F34" s="878"/>
      <c r="G34" s="878"/>
    </row>
    <row r="35" spans="1:7" s="185" customFormat="1" ht="12" customHeight="1">
      <c r="A35" s="210" t="s">
        <v>541</v>
      </c>
      <c r="B35" s="944" t="s">
        <v>586</v>
      </c>
      <c r="C35" s="211" t="s">
        <v>587</v>
      </c>
      <c r="D35" s="878"/>
      <c r="E35" s="878"/>
      <c r="F35" s="878"/>
      <c r="G35" s="878"/>
    </row>
    <row r="36" spans="1:7" s="185" customFormat="1" ht="12" customHeight="1">
      <c r="A36" s="210" t="s">
        <v>544</v>
      </c>
      <c r="B36" s="944" t="s">
        <v>588</v>
      </c>
      <c r="C36" s="211" t="s">
        <v>589</v>
      </c>
      <c r="D36" s="878"/>
      <c r="E36" s="878"/>
      <c r="F36" s="878"/>
      <c r="G36" s="878"/>
    </row>
    <row r="37" spans="1:7" s="185" customFormat="1" ht="12" customHeight="1">
      <c r="A37" s="210" t="s">
        <v>547</v>
      </c>
      <c r="B37" s="943" t="s">
        <v>590</v>
      </c>
      <c r="C37" s="211" t="s">
        <v>591</v>
      </c>
      <c r="D37" s="878"/>
      <c r="E37" s="878"/>
      <c r="F37" s="878"/>
      <c r="G37" s="878"/>
    </row>
    <row r="38" spans="1:7" s="185" customFormat="1" ht="12" customHeight="1">
      <c r="A38" s="210" t="s">
        <v>568</v>
      </c>
      <c r="B38" s="943" t="s">
        <v>592</v>
      </c>
      <c r="C38" s="211" t="s">
        <v>593</v>
      </c>
      <c r="D38" s="878"/>
      <c r="E38" s="878"/>
      <c r="F38" s="878"/>
      <c r="G38" s="878"/>
    </row>
    <row r="39" spans="1:7" s="207" customFormat="1" ht="12" customHeight="1">
      <c r="A39" s="213" t="s">
        <v>594</v>
      </c>
      <c r="B39" s="941" t="s">
        <v>595</v>
      </c>
      <c r="C39" s="205" t="s">
        <v>596</v>
      </c>
      <c r="D39" s="877">
        <f>D40+D47+D55+D64</f>
        <v>0</v>
      </c>
      <c r="E39" s="877">
        <f>E40+E47+E55+E64</f>
        <v>0</v>
      </c>
      <c r="F39" s="877">
        <f>F40+F47+F55+F64</f>
        <v>0</v>
      </c>
      <c r="G39" s="877">
        <f>G40+G47+G55+G64</f>
        <v>0</v>
      </c>
    </row>
    <row r="40" spans="1:7" s="207" customFormat="1" ht="12" customHeight="1">
      <c r="A40" s="209" t="s">
        <v>597</v>
      </c>
      <c r="B40" s="942" t="s">
        <v>598</v>
      </c>
      <c r="C40" s="205" t="s">
        <v>599</v>
      </c>
      <c r="D40" s="877">
        <f>SUM(D41:D46)</f>
        <v>0</v>
      </c>
      <c r="E40" s="877">
        <f>SUM(E41:E46)</f>
        <v>0</v>
      </c>
      <c r="F40" s="877">
        <f>SUM(F41:F46)</f>
        <v>0</v>
      </c>
      <c r="G40" s="877">
        <f>SUM(G41:G46)</f>
        <v>0</v>
      </c>
    </row>
    <row r="41" spans="1:7" s="185" customFormat="1" ht="12" customHeight="1">
      <c r="A41" s="214" t="s">
        <v>600</v>
      </c>
      <c r="B41" s="943" t="s">
        <v>601</v>
      </c>
      <c r="C41" s="211" t="s">
        <v>602</v>
      </c>
      <c r="D41" s="878"/>
      <c r="E41" s="878"/>
      <c r="F41" s="878"/>
      <c r="G41" s="878"/>
    </row>
    <row r="42" spans="1:7" s="185" customFormat="1" ht="12" customHeight="1">
      <c r="A42" s="210" t="s">
        <v>532</v>
      </c>
      <c r="B42" s="944" t="s">
        <v>603</v>
      </c>
      <c r="C42" s="211" t="s">
        <v>604</v>
      </c>
      <c r="D42" s="878"/>
      <c r="E42" s="878"/>
      <c r="F42" s="878"/>
      <c r="G42" s="878"/>
    </row>
    <row r="43" spans="1:7" s="185" customFormat="1" ht="12" customHeight="1">
      <c r="A43" s="210" t="s">
        <v>535</v>
      </c>
      <c r="B43" s="943" t="s">
        <v>605</v>
      </c>
      <c r="C43" s="211" t="s">
        <v>606</v>
      </c>
      <c r="D43" s="878"/>
      <c r="E43" s="878"/>
      <c r="F43" s="878"/>
      <c r="G43" s="878"/>
    </row>
    <row r="44" spans="1:7" s="185" customFormat="1" ht="12" customHeight="1">
      <c r="A44" s="210" t="s">
        <v>538</v>
      </c>
      <c r="B44" s="943" t="s">
        <v>607</v>
      </c>
      <c r="C44" s="211" t="s">
        <v>608</v>
      </c>
      <c r="D44" s="878"/>
      <c r="E44" s="878"/>
      <c r="F44" s="878"/>
      <c r="G44" s="878"/>
    </row>
    <row r="45" spans="1:7" s="185" customFormat="1" ht="12" customHeight="1">
      <c r="A45" s="210" t="s">
        <v>541</v>
      </c>
      <c r="B45" s="944" t="s">
        <v>609</v>
      </c>
      <c r="C45" s="211" t="s">
        <v>610</v>
      </c>
      <c r="D45" s="878"/>
      <c r="E45" s="878"/>
      <c r="F45" s="878"/>
      <c r="G45" s="878"/>
    </row>
    <row r="46" spans="1:7" s="185" customFormat="1" ht="12" customHeight="1">
      <c r="A46" s="210" t="s">
        <v>544</v>
      </c>
      <c r="B46" s="943" t="s">
        <v>611</v>
      </c>
      <c r="C46" s="211" t="s">
        <v>612</v>
      </c>
      <c r="D46" s="881"/>
      <c r="E46" s="881"/>
      <c r="F46" s="881"/>
      <c r="G46" s="878"/>
    </row>
    <row r="47" spans="1:7" s="207" customFormat="1" ht="12" customHeight="1">
      <c r="A47" s="213" t="s">
        <v>613</v>
      </c>
      <c r="B47" s="942" t="s">
        <v>614</v>
      </c>
      <c r="C47" s="205" t="s">
        <v>615</v>
      </c>
      <c r="D47" s="877">
        <f>SUM(D48:D54)</f>
        <v>0</v>
      </c>
      <c r="E47" s="877">
        <f>SUM(E48:E54)</f>
        <v>0</v>
      </c>
      <c r="F47" s="877">
        <f>SUM(F48:F54)</f>
        <v>0</v>
      </c>
      <c r="G47" s="877">
        <f>SUM(G48:G54)</f>
        <v>0</v>
      </c>
    </row>
    <row r="48" spans="1:7" s="185" customFormat="1" ht="12" customHeight="1">
      <c r="A48" s="214" t="s">
        <v>616</v>
      </c>
      <c r="B48" s="944" t="s">
        <v>617</v>
      </c>
      <c r="C48" s="211" t="s">
        <v>618</v>
      </c>
      <c r="D48" s="882"/>
      <c r="E48" s="882"/>
      <c r="F48" s="882"/>
      <c r="G48" s="882"/>
    </row>
    <row r="49" spans="1:7" s="185" customFormat="1" ht="12" customHeight="1">
      <c r="A49" s="217" t="s">
        <v>532</v>
      </c>
      <c r="B49" s="945" t="s">
        <v>619</v>
      </c>
      <c r="C49" s="218" t="s">
        <v>620</v>
      </c>
      <c r="D49" s="882"/>
      <c r="E49" s="880"/>
      <c r="F49" s="880"/>
      <c r="G49" s="882"/>
    </row>
    <row r="50" spans="1:7" s="185" customFormat="1" ht="12" customHeight="1">
      <c r="A50" s="210" t="s">
        <v>535</v>
      </c>
      <c r="B50" s="943" t="s">
        <v>621</v>
      </c>
      <c r="C50" s="211" t="s">
        <v>622</v>
      </c>
      <c r="D50" s="882"/>
      <c r="E50" s="882"/>
      <c r="F50" s="882"/>
      <c r="G50" s="882"/>
    </row>
    <row r="51" spans="1:7" s="185" customFormat="1" ht="12" customHeight="1">
      <c r="A51" s="210" t="s">
        <v>538</v>
      </c>
      <c r="B51" s="943" t="s">
        <v>623</v>
      </c>
      <c r="C51" s="211" t="s">
        <v>624</v>
      </c>
      <c r="D51" s="882"/>
      <c r="E51" s="882"/>
      <c r="F51" s="882"/>
      <c r="G51" s="882"/>
    </row>
    <row r="52" spans="1:7" s="185" customFormat="1" ht="12" customHeight="1">
      <c r="A52" s="210" t="s">
        <v>541</v>
      </c>
      <c r="B52" s="944" t="s">
        <v>625</v>
      </c>
      <c r="C52" s="211" t="s">
        <v>626</v>
      </c>
      <c r="D52" s="882"/>
      <c r="E52" s="882"/>
      <c r="F52" s="882"/>
      <c r="G52" s="882"/>
    </row>
    <row r="53" spans="1:7" s="185" customFormat="1" ht="12" customHeight="1">
      <c r="A53" s="210" t="s">
        <v>544</v>
      </c>
      <c r="B53" s="944" t="s">
        <v>627</v>
      </c>
      <c r="C53" s="211" t="s">
        <v>628</v>
      </c>
      <c r="D53" s="882"/>
      <c r="E53" s="883"/>
      <c r="F53" s="883"/>
      <c r="G53" s="882"/>
    </row>
    <row r="54" spans="1:7" s="185" customFormat="1" ht="12" customHeight="1">
      <c r="A54" s="210" t="s">
        <v>547</v>
      </c>
      <c r="B54" s="943" t="s">
        <v>629</v>
      </c>
      <c r="C54" s="211" t="s">
        <v>630</v>
      </c>
      <c r="D54" s="882"/>
      <c r="E54" s="883"/>
      <c r="F54" s="883"/>
      <c r="G54" s="882"/>
    </row>
    <row r="55" spans="1:7" s="207" customFormat="1" ht="12" customHeight="1">
      <c r="A55" s="213" t="s">
        <v>631</v>
      </c>
      <c r="B55" s="942" t="s">
        <v>632</v>
      </c>
      <c r="C55" s="205" t="s">
        <v>633</v>
      </c>
      <c r="D55" s="877">
        <f>SUM(D56:D63)</f>
        <v>0</v>
      </c>
      <c r="E55" s="877">
        <f>SUM(E56:E63)</f>
        <v>0</v>
      </c>
      <c r="F55" s="877">
        <f>SUM(F56:F63)</f>
        <v>0</v>
      </c>
      <c r="G55" s="877">
        <f>SUM(G56:G63)</f>
        <v>0</v>
      </c>
    </row>
    <row r="56" spans="1:7" s="185" customFormat="1" ht="12" customHeight="1">
      <c r="A56" s="214" t="s">
        <v>634</v>
      </c>
      <c r="B56" s="944" t="s">
        <v>635</v>
      </c>
      <c r="C56" s="211" t="s">
        <v>636</v>
      </c>
      <c r="D56" s="882"/>
      <c r="E56" s="882"/>
      <c r="F56" s="882"/>
      <c r="G56" s="882"/>
    </row>
    <row r="57" spans="1:7" s="185" customFormat="1" ht="12" customHeight="1">
      <c r="A57" s="217" t="s">
        <v>532</v>
      </c>
      <c r="B57" s="945" t="s">
        <v>619</v>
      </c>
      <c r="C57" s="218" t="s">
        <v>637</v>
      </c>
      <c r="D57" s="882"/>
      <c r="E57" s="880"/>
      <c r="F57" s="880"/>
      <c r="G57" s="882"/>
    </row>
    <row r="58" spans="1:7" s="185" customFormat="1" ht="12" customHeight="1">
      <c r="A58" s="210" t="s">
        <v>535</v>
      </c>
      <c r="B58" s="943" t="s">
        <v>638</v>
      </c>
      <c r="C58" s="211" t="s">
        <v>639</v>
      </c>
      <c r="D58" s="882"/>
      <c r="E58" s="882"/>
      <c r="F58" s="882"/>
      <c r="G58" s="882"/>
    </row>
    <row r="59" spans="1:7" s="185" customFormat="1" ht="12" customHeight="1">
      <c r="A59" s="210" t="s">
        <v>538</v>
      </c>
      <c r="B59" s="943" t="s">
        <v>623</v>
      </c>
      <c r="C59" s="211" t="s">
        <v>640</v>
      </c>
      <c r="D59" s="882"/>
      <c r="E59" s="882"/>
      <c r="F59" s="882"/>
      <c r="G59" s="882"/>
    </row>
    <row r="60" spans="1:7" s="185" customFormat="1" ht="12" customHeight="1">
      <c r="A60" s="210" t="s">
        <v>541</v>
      </c>
      <c r="B60" s="944" t="s">
        <v>641</v>
      </c>
      <c r="C60" s="211" t="s">
        <v>642</v>
      </c>
      <c r="D60" s="882"/>
      <c r="E60" s="882"/>
      <c r="F60" s="882"/>
      <c r="G60" s="882"/>
    </row>
    <row r="61" spans="1:7" s="185" customFormat="1" ht="12" customHeight="1">
      <c r="A61" s="210" t="s">
        <v>544</v>
      </c>
      <c r="B61" s="943" t="s">
        <v>643</v>
      </c>
      <c r="C61" s="211" t="s">
        <v>644</v>
      </c>
      <c r="D61" s="882"/>
      <c r="E61" s="882"/>
      <c r="F61" s="882"/>
      <c r="G61" s="882"/>
    </row>
    <row r="62" spans="1:7" s="185" customFormat="1" ht="12" customHeight="1">
      <c r="A62" s="210" t="s">
        <v>547</v>
      </c>
      <c r="B62" s="943" t="s">
        <v>645</v>
      </c>
      <c r="C62" s="211" t="s">
        <v>646</v>
      </c>
      <c r="D62" s="882"/>
      <c r="E62" s="882"/>
      <c r="F62" s="882"/>
      <c r="G62" s="882"/>
    </row>
    <row r="63" spans="1:7" s="185" customFormat="1" ht="12" customHeight="1">
      <c r="A63" s="210" t="s">
        <v>568</v>
      </c>
      <c r="B63" s="946" t="s">
        <v>647</v>
      </c>
      <c r="C63" s="211" t="s">
        <v>648</v>
      </c>
      <c r="D63" s="882"/>
      <c r="E63" s="882"/>
      <c r="F63" s="882"/>
      <c r="G63" s="882"/>
    </row>
    <row r="64" spans="1:7" s="207" customFormat="1" ht="12" customHeight="1">
      <c r="A64" s="213" t="s">
        <v>649</v>
      </c>
      <c r="B64" s="942" t="s">
        <v>650</v>
      </c>
      <c r="C64" s="205" t="s">
        <v>651</v>
      </c>
      <c r="D64" s="877">
        <f>SUM(D65:D69)</f>
        <v>0</v>
      </c>
      <c r="E64" s="877">
        <f>SUM(E65:E69)</f>
        <v>0</v>
      </c>
      <c r="F64" s="877">
        <f>SUM(F65:F69)</f>
        <v>0</v>
      </c>
      <c r="G64" s="877">
        <f>SUM(G65:G69)</f>
        <v>0</v>
      </c>
    </row>
    <row r="65" spans="1:7" s="207" customFormat="1" ht="12" customHeight="1">
      <c r="A65" s="214" t="s">
        <v>652</v>
      </c>
      <c r="B65" s="943" t="s">
        <v>653</v>
      </c>
      <c r="C65" s="211" t="s">
        <v>654</v>
      </c>
      <c r="D65" s="878"/>
      <c r="E65" s="878"/>
      <c r="F65" s="880"/>
      <c r="G65" s="878"/>
    </row>
    <row r="66" spans="1:7" s="185" customFormat="1" ht="12" customHeight="1">
      <c r="A66" s="210" t="s">
        <v>532</v>
      </c>
      <c r="B66" s="943" t="s">
        <v>655</v>
      </c>
      <c r="C66" s="211" t="s">
        <v>656</v>
      </c>
      <c r="D66" s="878"/>
      <c r="E66" s="878"/>
      <c r="F66" s="878"/>
      <c r="G66" s="878"/>
    </row>
    <row r="67" spans="1:7" s="185" customFormat="1" ht="12" customHeight="1">
      <c r="A67" s="210" t="s">
        <v>535</v>
      </c>
      <c r="B67" s="943" t="s">
        <v>657</v>
      </c>
      <c r="C67" s="211" t="s">
        <v>658</v>
      </c>
      <c r="D67" s="878"/>
      <c r="E67" s="878"/>
      <c r="F67" s="878"/>
      <c r="G67" s="878"/>
    </row>
    <row r="68" spans="1:7" s="185" customFormat="1" ht="12" customHeight="1">
      <c r="A68" s="210" t="s">
        <v>538</v>
      </c>
      <c r="B68" s="943" t="s">
        <v>659</v>
      </c>
      <c r="C68" s="211" t="s">
        <v>660</v>
      </c>
      <c r="D68" s="878"/>
      <c r="E68" s="878"/>
      <c r="F68" s="878"/>
      <c r="G68" s="878"/>
    </row>
    <row r="69" spans="1:7" s="185" customFormat="1" ht="12" customHeight="1">
      <c r="A69" s="210" t="s">
        <v>541</v>
      </c>
      <c r="B69" s="943" t="s">
        <v>661</v>
      </c>
      <c r="C69" s="211" t="s">
        <v>662</v>
      </c>
      <c r="D69" s="878"/>
      <c r="E69" s="878"/>
      <c r="F69" s="878"/>
      <c r="G69" s="878"/>
    </row>
    <row r="70" spans="1:7" s="207" customFormat="1" ht="12" customHeight="1">
      <c r="A70" s="213" t="s">
        <v>663</v>
      </c>
      <c r="B70" s="942" t="s">
        <v>664</v>
      </c>
      <c r="C70" s="205" t="s">
        <v>665</v>
      </c>
      <c r="D70" s="877">
        <f>SUM(D71:D74)</f>
        <v>0</v>
      </c>
      <c r="E70" s="877">
        <f>SUM(E71:E74)</f>
        <v>0</v>
      </c>
      <c r="F70" s="877">
        <f>SUM(F71:F74)</f>
        <v>0</v>
      </c>
      <c r="G70" s="877">
        <f>SUM(G71:G74)</f>
        <v>0</v>
      </c>
    </row>
    <row r="71" spans="1:7" s="185" customFormat="1" ht="12" customHeight="1">
      <c r="A71" s="214" t="s">
        <v>666</v>
      </c>
      <c r="B71" s="943" t="s">
        <v>667</v>
      </c>
      <c r="C71" s="211" t="s">
        <v>668</v>
      </c>
      <c r="D71" s="884"/>
      <c r="E71" s="885"/>
      <c r="F71" s="880"/>
      <c r="G71" s="885"/>
    </row>
    <row r="72" spans="1:7" s="185" customFormat="1" ht="12" customHeight="1">
      <c r="A72" s="210" t="s">
        <v>532</v>
      </c>
      <c r="B72" s="944" t="s">
        <v>669</v>
      </c>
      <c r="C72" s="211" t="s">
        <v>670</v>
      </c>
      <c r="D72" s="880"/>
      <c r="E72" s="880"/>
      <c r="F72" s="880"/>
      <c r="G72" s="880"/>
    </row>
    <row r="73" spans="1:7" s="185" customFormat="1" ht="12" customHeight="1">
      <c r="A73" s="210" t="s">
        <v>535</v>
      </c>
      <c r="B73" s="943" t="s">
        <v>671</v>
      </c>
      <c r="C73" s="211" t="s">
        <v>672</v>
      </c>
      <c r="D73" s="880"/>
      <c r="E73" s="880"/>
      <c r="F73" s="880"/>
      <c r="G73" s="880"/>
    </row>
    <row r="74" spans="1:7" s="185" customFormat="1" ht="12" customHeight="1">
      <c r="A74" s="210" t="s">
        <v>538</v>
      </c>
      <c r="B74" s="943" t="s">
        <v>673</v>
      </c>
      <c r="C74" s="211" t="s">
        <v>674</v>
      </c>
      <c r="D74" s="878"/>
      <c r="E74" s="878"/>
      <c r="F74" s="878"/>
      <c r="G74" s="878"/>
    </row>
    <row r="75" spans="1:7" s="185" customFormat="1" ht="12" customHeight="1">
      <c r="A75" s="219"/>
      <c r="B75" s="947" t="s">
        <v>675</v>
      </c>
      <c r="C75" s="220">
        <v>888</v>
      </c>
      <c r="D75" s="886">
        <f>(SUM(D10:D74))</f>
        <v>0</v>
      </c>
      <c r="E75" s="886">
        <f>(SUM(E10:E74))</f>
        <v>0</v>
      </c>
      <c r="F75" s="886">
        <f>SUM(F10:F74)</f>
        <v>0</v>
      </c>
      <c r="G75" s="886">
        <f>(SUM(G10:G74))</f>
        <v>0</v>
      </c>
    </row>
    <row r="76" spans="1:7" s="185" customFormat="1" ht="12" customHeight="1">
      <c r="A76" s="221"/>
      <c r="B76" s="230"/>
      <c r="D76" s="222"/>
      <c r="E76" s="222"/>
      <c r="F76" s="222"/>
      <c r="G76" s="222"/>
    </row>
    <row r="77" spans="1:7" s="185" customFormat="1" ht="12" customHeight="1">
      <c r="A77" s="221"/>
      <c r="B77" s="230"/>
      <c r="D77" s="222"/>
      <c r="E77" s="222"/>
      <c r="F77" s="222"/>
      <c r="G77" s="222"/>
    </row>
    <row r="78" spans="1:7" s="185" customFormat="1" ht="12" customHeight="1">
      <c r="A78" s="223" t="s">
        <v>508</v>
      </c>
      <c r="B78" s="948" t="s">
        <v>676</v>
      </c>
      <c r="C78" s="223" t="s">
        <v>510</v>
      </c>
      <c r="D78" s="224" t="s">
        <v>677</v>
      </c>
      <c r="E78" s="224" t="s">
        <v>678</v>
      </c>
      <c r="F78" s="225"/>
      <c r="G78" s="225"/>
    </row>
    <row r="79" spans="1:7" s="185" customFormat="1" ht="12" customHeight="1">
      <c r="A79" s="226" t="s">
        <v>513</v>
      </c>
      <c r="B79" s="949"/>
      <c r="C79" s="226" t="s">
        <v>514</v>
      </c>
      <c r="D79" s="227" t="s">
        <v>679</v>
      </c>
      <c r="E79" s="227" t="s">
        <v>679</v>
      </c>
      <c r="F79" s="225"/>
      <c r="G79" s="225"/>
    </row>
    <row r="80" spans="1:7" s="230" customFormat="1" ht="12" customHeight="1">
      <c r="A80" s="228" t="s">
        <v>518</v>
      </c>
      <c r="B80" s="950" t="s">
        <v>519</v>
      </c>
      <c r="C80" s="228" t="s">
        <v>520</v>
      </c>
      <c r="D80" s="229">
        <v>5</v>
      </c>
      <c r="E80" s="229">
        <v>6</v>
      </c>
      <c r="F80" s="225"/>
      <c r="G80" s="225"/>
    </row>
    <row r="81" spans="1:7" s="207" customFormat="1" ht="12" customHeight="1">
      <c r="A81" s="231"/>
      <c r="B81" s="951" t="s">
        <v>680</v>
      </c>
      <c r="C81" s="232" t="s">
        <v>681</v>
      </c>
      <c r="D81" s="877"/>
      <c r="E81" s="877"/>
      <c r="F81" s="233"/>
      <c r="G81" s="233"/>
    </row>
    <row r="82" spans="1:7" s="207" customFormat="1" ht="12" customHeight="1">
      <c r="A82" s="231" t="s">
        <v>523</v>
      </c>
      <c r="B82" s="951" t="s">
        <v>682</v>
      </c>
      <c r="C82" s="232" t="s">
        <v>683</v>
      </c>
      <c r="D82" s="877"/>
      <c r="E82" s="877"/>
      <c r="F82" s="2296"/>
      <c r="G82" s="2296"/>
    </row>
    <row r="83" spans="1:7" s="207" customFormat="1" ht="12" customHeight="1">
      <c r="A83" s="231" t="s">
        <v>526</v>
      </c>
      <c r="B83" s="951" t="s">
        <v>684</v>
      </c>
      <c r="C83" s="232" t="s">
        <v>685</v>
      </c>
      <c r="D83" s="877"/>
      <c r="E83" s="877"/>
      <c r="F83" s="215"/>
      <c r="G83" s="215"/>
    </row>
    <row r="84" spans="1:7" s="185" customFormat="1" ht="12" customHeight="1">
      <c r="A84" s="234" t="s">
        <v>529</v>
      </c>
      <c r="B84" s="952" t="s">
        <v>686</v>
      </c>
      <c r="C84" s="235" t="s">
        <v>687</v>
      </c>
      <c r="D84" s="878"/>
      <c r="E84" s="878"/>
      <c r="F84" s="215"/>
      <c r="G84" s="215"/>
    </row>
    <row r="85" spans="1:7" s="185" customFormat="1" ht="12" customHeight="1">
      <c r="A85" s="234" t="s">
        <v>532</v>
      </c>
      <c r="B85" s="952" t="s">
        <v>688</v>
      </c>
      <c r="C85" s="235" t="s">
        <v>689</v>
      </c>
      <c r="D85" s="878"/>
      <c r="E85" s="878"/>
      <c r="F85" s="225"/>
      <c r="G85" s="206"/>
    </row>
    <row r="86" spans="1:7" s="185" customFormat="1" ht="12" customHeight="1">
      <c r="A86" s="234" t="s">
        <v>535</v>
      </c>
      <c r="B86" s="952" t="s">
        <v>690</v>
      </c>
      <c r="C86" s="235" t="s">
        <v>691</v>
      </c>
      <c r="D86" s="878"/>
      <c r="E86" s="878"/>
      <c r="F86" s="225"/>
      <c r="G86" s="206"/>
    </row>
    <row r="87" spans="1:7" s="185" customFormat="1" ht="12" customHeight="1">
      <c r="A87" s="210" t="s">
        <v>538</v>
      </c>
      <c r="B87" s="943" t="s">
        <v>692</v>
      </c>
      <c r="C87" s="211" t="s">
        <v>693</v>
      </c>
      <c r="D87" s="887"/>
      <c r="E87" s="878"/>
      <c r="F87" s="225"/>
      <c r="G87" s="216"/>
    </row>
    <row r="88" spans="1:7" s="207" customFormat="1" ht="12" customHeight="1">
      <c r="A88" s="231" t="s">
        <v>550</v>
      </c>
      <c r="B88" s="951" t="s">
        <v>694</v>
      </c>
      <c r="C88" s="232" t="s">
        <v>695</v>
      </c>
      <c r="D88" s="877"/>
      <c r="E88" s="877"/>
      <c r="F88" s="233"/>
      <c r="G88" s="206"/>
    </row>
    <row r="89" spans="1:7" s="185" customFormat="1" ht="12" customHeight="1">
      <c r="A89" s="234" t="s">
        <v>553</v>
      </c>
      <c r="B89" s="952" t="s">
        <v>696</v>
      </c>
      <c r="C89" s="235" t="s">
        <v>697</v>
      </c>
      <c r="D89" s="878"/>
      <c r="E89" s="878"/>
      <c r="F89" s="225"/>
      <c r="G89" s="206"/>
    </row>
    <row r="90" spans="1:7" s="185" customFormat="1" ht="12" customHeight="1">
      <c r="A90" s="234" t="s">
        <v>532</v>
      </c>
      <c r="B90" s="952" t="s">
        <v>698</v>
      </c>
      <c r="C90" s="235" t="s">
        <v>699</v>
      </c>
      <c r="D90" s="878"/>
      <c r="E90" s="878"/>
      <c r="F90" s="225"/>
      <c r="G90" s="206"/>
    </row>
    <row r="91" spans="1:7" s="185" customFormat="1" ht="12" customHeight="1">
      <c r="A91" s="234" t="s">
        <v>535</v>
      </c>
      <c r="B91" s="952" t="s">
        <v>700</v>
      </c>
      <c r="C91" s="235" t="s">
        <v>701</v>
      </c>
      <c r="D91" s="878"/>
      <c r="E91" s="878"/>
      <c r="F91" s="225"/>
      <c r="G91" s="206"/>
    </row>
    <row r="92" spans="1:7" s="185" customFormat="1" ht="12" customHeight="1">
      <c r="A92" s="234" t="s">
        <v>538</v>
      </c>
      <c r="B92" s="952" t="s">
        <v>702</v>
      </c>
      <c r="C92" s="235" t="s">
        <v>703</v>
      </c>
      <c r="D92" s="878"/>
      <c r="E92" s="878"/>
      <c r="F92" s="225"/>
      <c r="G92" s="206"/>
    </row>
    <row r="93" spans="1:7" s="185" customFormat="1" ht="12" customHeight="1">
      <c r="A93" s="234" t="s">
        <v>541</v>
      </c>
      <c r="B93" s="952" t="s">
        <v>704</v>
      </c>
      <c r="C93" s="235" t="s">
        <v>705</v>
      </c>
      <c r="D93" s="878"/>
      <c r="E93" s="878"/>
      <c r="F93" s="225"/>
      <c r="G93" s="206"/>
    </row>
    <row r="94" spans="1:7" s="185" customFormat="1" ht="12" customHeight="1">
      <c r="A94" s="234" t="s">
        <v>544</v>
      </c>
      <c r="B94" s="952" t="s">
        <v>706</v>
      </c>
      <c r="C94" s="235" t="s">
        <v>707</v>
      </c>
      <c r="D94" s="878"/>
      <c r="E94" s="878"/>
      <c r="F94" s="225"/>
      <c r="G94" s="206"/>
    </row>
    <row r="95" spans="1:7" s="207" customFormat="1" ht="12" customHeight="1">
      <c r="A95" s="231" t="s">
        <v>574</v>
      </c>
      <c r="B95" s="951" t="s">
        <v>708</v>
      </c>
      <c r="C95" s="232" t="s">
        <v>709</v>
      </c>
      <c r="D95" s="877"/>
      <c r="E95" s="877"/>
      <c r="F95" s="233"/>
      <c r="G95" s="206"/>
    </row>
    <row r="96" spans="1:7" s="185" customFormat="1" ht="12" customHeight="1">
      <c r="A96" s="234" t="s">
        <v>577</v>
      </c>
      <c r="B96" s="952" t="s">
        <v>710</v>
      </c>
      <c r="C96" s="235" t="s">
        <v>711</v>
      </c>
      <c r="D96" s="878"/>
      <c r="E96" s="878"/>
      <c r="F96" s="225"/>
      <c r="G96" s="206"/>
    </row>
    <row r="97" spans="1:7" s="185" customFormat="1" ht="12" customHeight="1">
      <c r="A97" s="234" t="s">
        <v>532</v>
      </c>
      <c r="B97" s="952" t="s">
        <v>712</v>
      </c>
      <c r="C97" s="235" t="s">
        <v>713</v>
      </c>
      <c r="D97" s="878"/>
      <c r="E97" s="878"/>
      <c r="F97" s="225"/>
      <c r="G97" s="206"/>
    </row>
    <row r="98" spans="1:7" s="185" customFormat="1" ht="12" customHeight="1">
      <c r="A98" s="234" t="s">
        <v>535</v>
      </c>
      <c r="B98" s="952" t="s">
        <v>714</v>
      </c>
      <c r="C98" s="235" t="s">
        <v>715</v>
      </c>
      <c r="D98" s="878"/>
      <c r="E98" s="878"/>
      <c r="F98" s="225"/>
      <c r="G98" s="206"/>
    </row>
    <row r="99" spans="1:7" s="207" customFormat="1" ht="12" customHeight="1">
      <c r="A99" s="231" t="s">
        <v>716</v>
      </c>
      <c r="B99" s="951" t="s">
        <v>717</v>
      </c>
      <c r="C99" s="232" t="s">
        <v>718</v>
      </c>
      <c r="D99" s="877"/>
      <c r="E99" s="877"/>
      <c r="F99" s="233"/>
      <c r="G99" s="206"/>
    </row>
    <row r="100" spans="1:7" s="185" customFormat="1" ht="12" customHeight="1">
      <c r="A100" s="234" t="s">
        <v>719</v>
      </c>
      <c r="B100" s="952" t="s">
        <v>720</v>
      </c>
      <c r="C100" s="235" t="s">
        <v>721</v>
      </c>
      <c r="D100" s="878"/>
      <c r="E100" s="878"/>
      <c r="F100" s="225"/>
      <c r="G100" s="206"/>
    </row>
    <row r="101" spans="1:7" s="185" customFormat="1" ht="12" customHeight="1">
      <c r="A101" s="234" t="s">
        <v>532</v>
      </c>
      <c r="B101" s="952" t="s">
        <v>722</v>
      </c>
      <c r="C101" s="235" t="s">
        <v>723</v>
      </c>
      <c r="D101" s="878"/>
      <c r="E101" s="878"/>
      <c r="F101" s="225"/>
      <c r="G101" s="206"/>
    </row>
    <row r="102" spans="1:7" s="238" customFormat="1">
      <c r="A102" s="236" t="s">
        <v>724</v>
      </c>
      <c r="B102" s="953" t="s">
        <v>725</v>
      </c>
      <c r="C102" s="237" t="s">
        <v>726</v>
      </c>
      <c r="D102" s="888"/>
      <c r="E102" s="888"/>
      <c r="F102" s="233"/>
    </row>
    <row r="103" spans="1:7" s="207" customFormat="1" ht="12" customHeight="1">
      <c r="A103" s="231" t="s">
        <v>594</v>
      </c>
      <c r="B103" s="951" t="s">
        <v>727</v>
      </c>
      <c r="C103" s="232" t="s">
        <v>728</v>
      </c>
      <c r="D103" s="877"/>
      <c r="E103" s="877"/>
      <c r="F103" s="239"/>
      <c r="G103" s="206"/>
    </row>
    <row r="104" spans="1:7" s="207" customFormat="1" ht="12" customHeight="1">
      <c r="A104" s="231" t="s">
        <v>597</v>
      </c>
      <c r="B104" s="951" t="s">
        <v>729</v>
      </c>
      <c r="C104" s="232" t="s">
        <v>730</v>
      </c>
      <c r="D104" s="877"/>
      <c r="E104" s="877"/>
      <c r="F104" s="2295"/>
      <c r="G104" s="2295"/>
    </row>
    <row r="105" spans="1:7" s="185" customFormat="1" ht="12" customHeight="1">
      <c r="A105" s="234" t="s">
        <v>600</v>
      </c>
      <c r="B105" s="952" t="s">
        <v>731</v>
      </c>
      <c r="C105" s="235" t="s">
        <v>732</v>
      </c>
      <c r="D105" s="878"/>
      <c r="E105" s="878"/>
      <c r="F105" s="215"/>
      <c r="G105" s="215"/>
    </row>
    <row r="106" spans="1:7" s="185" customFormat="1" ht="12" customHeight="1">
      <c r="A106" s="234" t="s">
        <v>532</v>
      </c>
      <c r="B106" s="952" t="s">
        <v>733</v>
      </c>
      <c r="C106" s="235" t="s">
        <v>734</v>
      </c>
      <c r="D106" s="878"/>
      <c r="E106" s="878"/>
      <c r="F106" s="215"/>
      <c r="G106" s="215"/>
    </row>
    <row r="107" spans="1:7" s="185" customFormat="1" ht="12" customHeight="1">
      <c r="A107" s="234" t="s">
        <v>535</v>
      </c>
      <c r="B107" s="952" t="s">
        <v>735</v>
      </c>
      <c r="C107" s="235" t="s">
        <v>736</v>
      </c>
      <c r="D107" s="878"/>
      <c r="E107" s="878"/>
      <c r="F107" s="215"/>
      <c r="G107" s="215"/>
    </row>
    <row r="108" spans="1:7" s="185" customFormat="1" ht="12" customHeight="1">
      <c r="A108" s="234" t="s">
        <v>538</v>
      </c>
      <c r="B108" s="952" t="s">
        <v>737</v>
      </c>
      <c r="C108" s="235" t="s">
        <v>738</v>
      </c>
      <c r="D108" s="878"/>
      <c r="E108" s="878"/>
      <c r="F108" s="225"/>
      <c r="G108" s="206"/>
    </row>
    <row r="109" spans="1:7" s="207" customFormat="1" ht="12" customHeight="1">
      <c r="A109" s="231" t="s">
        <v>613</v>
      </c>
      <c r="B109" s="951" t="s">
        <v>739</v>
      </c>
      <c r="C109" s="232" t="s">
        <v>740</v>
      </c>
      <c r="D109" s="877"/>
      <c r="E109" s="877"/>
      <c r="F109" s="2295"/>
      <c r="G109" s="2295"/>
    </row>
    <row r="110" spans="1:7" s="185" customFormat="1" ht="12" customHeight="1">
      <c r="A110" s="240" t="s">
        <v>616</v>
      </c>
      <c r="B110" s="954" t="s">
        <v>741</v>
      </c>
      <c r="C110" s="241" t="s">
        <v>742</v>
      </c>
      <c r="D110" s="880"/>
      <c r="E110" s="882"/>
      <c r="F110" s="215"/>
      <c r="G110" s="215"/>
    </row>
    <row r="111" spans="1:7" s="185" customFormat="1" ht="12" customHeight="1">
      <c r="A111" s="240" t="s">
        <v>532</v>
      </c>
      <c r="B111" s="954" t="s">
        <v>619</v>
      </c>
      <c r="C111" s="241" t="s">
        <v>743</v>
      </c>
      <c r="D111" s="880"/>
      <c r="E111" s="882"/>
      <c r="F111" s="215"/>
      <c r="G111" s="215"/>
    </row>
    <row r="112" spans="1:7" s="185" customFormat="1" ht="12" customHeight="1">
      <c r="A112" s="240" t="s">
        <v>535</v>
      </c>
      <c r="B112" s="954" t="s">
        <v>744</v>
      </c>
      <c r="C112" s="241" t="s">
        <v>745</v>
      </c>
      <c r="D112" s="880"/>
      <c r="E112" s="882"/>
      <c r="F112" s="215"/>
      <c r="G112" s="215"/>
    </row>
    <row r="113" spans="1:7" s="185" customFormat="1" ht="12" customHeight="1">
      <c r="A113" s="240" t="s">
        <v>538</v>
      </c>
      <c r="B113" s="954" t="s">
        <v>746</v>
      </c>
      <c r="C113" s="241" t="s">
        <v>747</v>
      </c>
      <c r="D113" s="880"/>
      <c r="E113" s="882"/>
      <c r="F113" s="225"/>
      <c r="G113" s="206"/>
    </row>
    <row r="114" spans="1:7" s="185" customFormat="1" ht="12" customHeight="1">
      <c r="A114" s="240" t="s">
        <v>541</v>
      </c>
      <c r="B114" s="954" t="s">
        <v>748</v>
      </c>
      <c r="C114" s="241" t="s">
        <v>749</v>
      </c>
      <c r="D114" s="880"/>
      <c r="E114" s="882"/>
      <c r="F114" s="225"/>
      <c r="G114" s="206"/>
    </row>
    <row r="115" spans="1:7" s="185" customFormat="1" ht="12" customHeight="1">
      <c r="A115" s="240" t="s">
        <v>544</v>
      </c>
      <c r="B115" s="954" t="s">
        <v>750</v>
      </c>
      <c r="C115" s="241" t="s">
        <v>751</v>
      </c>
      <c r="D115" s="880"/>
      <c r="E115" s="882"/>
      <c r="F115" s="225"/>
      <c r="G115" s="206"/>
    </row>
    <row r="116" spans="1:7" s="185" customFormat="1" ht="12" customHeight="1">
      <c r="A116" s="240" t="s">
        <v>547</v>
      </c>
      <c r="B116" s="954" t="s">
        <v>752</v>
      </c>
      <c r="C116" s="241" t="s">
        <v>753</v>
      </c>
      <c r="D116" s="882"/>
      <c r="E116" s="882"/>
      <c r="F116" s="225"/>
      <c r="G116" s="206"/>
    </row>
    <row r="117" spans="1:7" s="185" customFormat="1" ht="12" customHeight="1">
      <c r="A117" s="240" t="s">
        <v>568</v>
      </c>
      <c r="B117" s="954" t="s">
        <v>754</v>
      </c>
      <c r="C117" s="241" t="s">
        <v>755</v>
      </c>
      <c r="D117" s="882"/>
      <c r="E117" s="882"/>
      <c r="F117" s="225"/>
      <c r="G117" s="206"/>
    </row>
    <row r="118" spans="1:7" s="185" customFormat="1" ht="12" customHeight="1">
      <c r="A118" s="240" t="s">
        <v>571</v>
      </c>
      <c r="B118" s="954" t="s">
        <v>756</v>
      </c>
      <c r="C118" s="241" t="s">
        <v>757</v>
      </c>
      <c r="D118" s="882"/>
      <c r="E118" s="882"/>
      <c r="F118" s="225"/>
      <c r="G118" s="206"/>
    </row>
    <row r="119" spans="1:7" s="185" customFormat="1" ht="12" customHeight="1">
      <c r="A119" s="240" t="s">
        <v>758</v>
      </c>
      <c r="B119" s="954" t="s">
        <v>759</v>
      </c>
      <c r="C119" s="241" t="s">
        <v>760</v>
      </c>
      <c r="D119" s="882"/>
      <c r="E119" s="882"/>
      <c r="F119" s="225"/>
      <c r="G119" s="206"/>
    </row>
    <row r="120" spans="1:7" s="185" customFormat="1" ht="12" customHeight="1">
      <c r="A120" s="240" t="s">
        <v>761</v>
      </c>
      <c r="B120" s="955" t="s">
        <v>762</v>
      </c>
      <c r="C120" s="241" t="s">
        <v>763</v>
      </c>
      <c r="D120" s="882"/>
      <c r="E120" s="882"/>
      <c r="F120" s="225"/>
      <c r="G120" s="206"/>
    </row>
    <row r="121" spans="1:7" s="207" customFormat="1" ht="12" customHeight="1">
      <c r="A121" s="231" t="s">
        <v>631</v>
      </c>
      <c r="B121" s="951" t="s">
        <v>764</v>
      </c>
      <c r="C121" s="232" t="s">
        <v>765</v>
      </c>
      <c r="D121" s="877"/>
      <c r="E121" s="877"/>
      <c r="F121" s="2295"/>
      <c r="G121" s="2295"/>
    </row>
    <row r="122" spans="1:7" s="185" customFormat="1" ht="12" customHeight="1">
      <c r="A122" s="234" t="s">
        <v>634</v>
      </c>
      <c r="B122" s="952" t="s">
        <v>766</v>
      </c>
      <c r="C122" s="235" t="s">
        <v>767</v>
      </c>
      <c r="D122" s="880"/>
      <c r="E122" s="882"/>
      <c r="F122" s="215"/>
      <c r="G122" s="215"/>
    </row>
    <row r="123" spans="1:7" s="185" customFormat="1" ht="12" customHeight="1">
      <c r="A123" s="240" t="s">
        <v>532</v>
      </c>
      <c r="B123" s="954" t="s">
        <v>619</v>
      </c>
      <c r="C123" s="241" t="s">
        <v>768</v>
      </c>
      <c r="D123" s="880"/>
      <c r="E123" s="882"/>
      <c r="F123" s="215"/>
      <c r="G123" s="215"/>
    </row>
    <row r="124" spans="1:7" s="185" customFormat="1" ht="12" customHeight="1">
      <c r="A124" s="234" t="s">
        <v>535</v>
      </c>
      <c r="B124" s="952" t="s">
        <v>769</v>
      </c>
      <c r="C124" s="235" t="s">
        <v>770</v>
      </c>
      <c r="D124" s="880"/>
      <c r="E124" s="882"/>
      <c r="F124" s="215"/>
      <c r="G124" s="215"/>
    </row>
    <row r="125" spans="1:7" s="185" customFormat="1" ht="12" customHeight="1">
      <c r="A125" s="234" t="s">
        <v>538</v>
      </c>
      <c r="B125" s="952" t="s">
        <v>771</v>
      </c>
      <c r="C125" s="235" t="s">
        <v>772</v>
      </c>
      <c r="D125" s="880"/>
      <c r="E125" s="882"/>
      <c r="F125" s="215"/>
      <c r="G125" s="215"/>
    </row>
    <row r="126" spans="1:7" s="185" customFormat="1" ht="12" customHeight="1">
      <c r="A126" s="234" t="s">
        <v>541</v>
      </c>
      <c r="B126" s="952" t="s">
        <v>773</v>
      </c>
      <c r="C126" s="235" t="s">
        <v>774</v>
      </c>
      <c r="D126" s="880"/>
      <c r="E126" s="882"/>
      <c r="F126" s="2296"/>
      <c r="G126" s="2296"/>
    </row>
    <row r="127" spans="1:7" s="185" customFormat="1" ht="12" customHeight="1">
      <c r="A127" s="234" t="s">
        <v>544</v>
      </c>
      <c r="B127" s="952" t="s">
        <v>775</v>
      </c>
      <c r="C127" s="235" t="s">
        <v>776</v>
      </c>
      <c r="D127" s="880"/>
      <c r="E127" s="882"/>
      <c r="F127" s="2296"/>
      <c r="G127" s="2296"/>
    </row>
    <row r="128" spans="1:7" s="185" customFormat="1" ht="12" customHeight="1">
      <c r="A128" s="234" t="s">
        <v>547</v>
      </c>
      <c r="B128" s="952" t="s">
        <v>777</v>
      </c>
      <c r="C128" s="235" t="s">
        <v>778</v>
      </c>
      <c r="D128" s="882"/>
      <c r="E128" s="882"/>
      <c r="F128" s="2296"/>
      <c r="G128" s="2296"/>
    </row>
    <row r="129" spans="1:7" s="185" customFormat="1" ht="12" customHeight="1">
      <c r="A129" s="234" t="s">
        <v>568</v>
      </c>
      <c r="B129" s="952" t="s">
        <v>779</v>
      </c>
      <c r="C129" s="235" t="s">
        <v>780</v>
      </c>
      <c r="D129" s="882"/>
      <c r="E129" s="882"/>
      <c r="F129" s="225"/>
      <c r="G129" s="206"/>
    </row>
    <row r="130" spans="1:7" s="185" customFormat="1" ht="12" customHeight="1">
      <c r="A130" s="234" t="s">
        <v>571</v>
      </c>
      <c r="B130" s="952" t="s">
        <v>781</v>
      </c>
      <c r="C130" s="235" t="s">
        <v>782</v>
      </c>
      <c r="D130" s="882"/>
      <c r="E130" s="882"/>
      <c r="F130" s="225"/>
      <c r="G130" s="206"/>
    </row>
    <row r="131" spans="1:7" s="185" customFormat="1" ht="12" customHeight="1">
      <c r="A131" s="234" t="s">
        <v>758</v>
      </c>
      <c r="B131" s="956" t="s">
        <v>783</v>
      </c>
      <c r="C131" s="235" t="s">
        <v>784</v>
      </c>
      <c r="D131" s="882"/>
      <c r="E131" s="882"/>
      <c r="F131" s="225"/>
      <c r="G131" s="206"/>
    </row>
    <row r="132" spans="1:7" s="185" customFormat="1" ht="12" customHeight="1">
      <c r="A132" s="242" t="s">
        <v>649</v>
      </c>
      <c r="B132" s="957" t="s">
        <v>785</v>
      </c>
      <c r="C132" s="243" t="s">
        <v>786</v>
      </c>
      <c r="D132" s="889"/>
      <c r="E132" s="889"/>
      <c r="F132" s="2295"/>
      <c r="G132" s="2295"/>
    </row>
    <row r="133" spans="1:7" s="207" customFormat="1" ht="12" customHeight="1">
      <c r="A133" s="231" t="s">
        <v>787</v>
      </c>
      <c r="B133" s="951" t="s">
        <v>788</v>
      </c>
      <c r="C133" s="232" t="s">
        <v>789</v>
      </c>
      <c r="D133" s="877"/>
      <c r="E133" s="877"/>
      <c r="F133" s="2295"/>
      <c r="G133" s="2295"/>
    </row>
    <row r="134" spans="1:7" s="185" customFormat="1" ht="12" customHeight="1">
      <c r="A134" s="234" t="s">
        <v>790</v>
      </c>
      <c r="B134" s="952" t="s">
        <v>791</v>
      </c>
      <c r="C134" s="235" t="s">
        <v>792</v>
      </c>
      <c r="D134" s="882"/>
      <c r="E134" s="882"/>
      <c r="F134" s="215"/>
      <c r="G134" s="215"/>
    </row>
    <row r="135" spans="1:7" s="185" customFormat="1" ht="12" customHeight="1">
      <c r="A135" s="234" t="s">
        <v>532</v>
      </c>
      <c r="B135" s="952" t="s">
        <v>793</v>
      </c>
      <c r="C135" s="235" t="s">
        <v>794</v>
      </c>
      <c r="D135" s="882"/>
      <c r="E135" s="882"/>
      <c r="F135" s="215"/>
      <c r="G135" s="215"/>
    </row>
    <row r="136" spans="1:7" s="207" customFormat="1" ht="12" customHeight="1">
      <c r="A136" s="231" t="s">
        <v>663</v>
      </c>
      <c r="B136" s="951" t="s">
        <v>795</v>
      </c>
      <c r="C136" s="232" t="s">
        <v>796</v>
      </c>
      <c r="D136" s="877"/>
      <c r="E136" s="877"/>
      <c r="F136" s="2295"/>
      <c r="G136" s="2295"/>
    </row>
    <row r="137" spans="1:7" s="185" customFormat="1" ht="12" customHeight="1">
      <c r="A137" s="234" t="s">
        <v>666</v>
      </c>
      <c r="B137" s="952" t="s">
        <v>797</v>
      </c>
      <c r="C137" s="235" t="s">
        <v>798</v>
      </c>
      <c r="D137" s="878"/>
      <c r="E137" s="878"/>
      <c r="F137" s="215"/>
      <c r="G137" s="215"/>
    </row>
    <row r="138" spans="1:7" s="185" customFormat="1" ht="12" customHeight="1">
      <c r="A138" s="234" t="s">
        <v>532</v>
      </c>
      <c r="B138" s="952" t="s">
        <v>799</v>
      </c>
      <c r="C138" s="235" t="s">
        <v>800</v>
      </c>
      <c r="D138" s="880"/>
      <c r="E138" s="880"/>
      <c r="F138" s="215"/>
      <c r="G138" s="215"/>
    </row>
    <row r="139" spans="1:7" s="185" customFormat="1" ht="12" customHeight="1">
      <c r="A139" s="234" t="s">
        <v>535</v>
      </c>
      <c r="B139" s="952" t="s">
        <v>801</v>
      </c>
      <c r="C139" s="235" t="s">
        <v>802</v>
      </c>
      <c r="D139" s="880"/>
      <c r="E139" s="880"/>
      <c r="F139" s="2296"/>
      <c r="G139" s="2296"/>
    </row>
    <row r="140" spans="1:7" s="185" customFormat="1" ht="12" customHeight="1">
      <c r="A140" s="234" t="s">
        <v>538</v>
      </c>
      <c r="B140" s="952" t="s">
        <v>803</v>
      </c>
      <c r="C140" s="235" t="s">
        <v>804</v>
      </c>
      <c r="D140" s="878"/>
      <c r="E140" s="878"/>
      <c r="F140" s="225"/>
      <c r="G140" s="206"/>
    </row>
    <row r="141" spans="1:7" ht="12" customHeight="1">
      <c r="A141" s="244"/>
      <c r="B141" s="958" t="s">
        <v>805</v>
      </c>
      <c r="C141" s="245" t="s">
        <v>806</v>
      </c>
      <c r="D141" s="886"/>
      <c r="E141" s="886"/>
      <c r="F141" s="225"/>
      <c r="G141" s="206"/>
    </row>
    <row r="142" spans="1:7" ht="15" customHeight="1">
      <c r="A142" s="246"/>
      <c r="B142" s="959"/>
      <c r="C142" s="247"/>
      <c r="D142" s="248"/>
      <c r="E142" s="248"/>
    </row>
    <row r="143" spans="1:7" ht="15" customHeight="1">
      <c r="A143" s="246"/>
      <c r="B143" s="959"/>
      <c r="C143" s="247"/>
      <c r="D143" s="248"/>
      <c r="E143" s="248"/>
    </row>
  </sheetData>
  <mergeCells count="9">
    <mergeCell ref="F104:G104"/>
    <mergeCell ref="F82:G82"/>
    <mergeCell ref="F139:G139"/>
    <mergeCell ref="F109:G109"/>
    <mergeCell ref="F121:G121"/>
    <mergeCell ref="F126:G128"/>
    <mergeCell ref="F132:G132"/>
    <mergeCell ref="F133:G133"/>
    <mergeCell ref="F136:G136"/>
  </mergeCells>
  <hyperlinks>
    <hyperlink ref="F132:G132" location="Q!A1" display="Total - Q Bank loans and Short-term financial borrowings"/>
  </hyperlinks>
  <pageMargins left="0.18" right="0.16" top="0.21" bottom="0.97" header="0.25" footer="0.31496062992125984"/>
  <pageSetup paperSize="9" scale="83" fitToWidth="2" orientation="portrait" horizontalDpi="360" verticalDpi="300" r:id="rId1"/>
  <headerFooter alignWithMargins="0">
    <oddFooter xml:space="preserve">&amp;C&amp;"EYlogo,Regular"&amp;8e&amp;R&amp;"Times New Roman CE,Tučné"&amp;5Lead schedules v2.0&amp;"Times New Roman CE,Normálne"
</oddFooter>
  </headerFooter>
  <rowBreaks count="1" manualBreakCount="1">
    <brk id="76" max="7"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7">
    <tabColor rgb="FF92D050"/>
    <pageSetUpPr fitToPage="1"/>
  </sheetPr>
  <dimension ref="A1:E88"/>
  <sheetViews>
    <sheetView showGridLines="0" showZeros="0" topLeftCell="A25" zoomScaleNormal="100" workbookViewId="0">
      <selection activeCell="B53" sqref="B53"/>
    </sheetView>
  </sheetViews>
  <sheetFormatPr defaultColWidth="9.140625" defaultRowHeight="11.25"/>
  <cols>
    <col min="1" max="1" width="5.7109375" style="178" customWidth="1"/>
    <col min="2" max="2" width="65" style="178" customWidth="1"/>
    <col min="3" max="3" width="9.28515625" style="199" customWidth="1"/>
    <col min="4" max="4" width="15.5703125" style="290" customWidth="1"/>
    <col min="5" max="5" width="14.5703125" style="178" customWidth="1"/>
    <col min="6" max="16384" width="9.140625" style="178"/>
  </cols>
  <sheetData>
    <row r="1" spans="1:5" ht="12" customHeight="1">
      <c r="A1" s="180" t="s">
        <v>497</v>
      </c>
      <c r="B1" s="249">
        <v>0</v>
      </c>
      <c r="C1" s="250"/>
      <c r="D1" s="251"/>
      <c r="E1" s="252"/>
    </row>
    <row r="2" spans="1:5" s="185" customFormat="1" ht="12" customHeight="1">
      <c r="A2" s="180" t="s">
        <v>500</v>
      </c>
      <c r="B2" s="253" t="s">
        <v>807</v>
      </c>
      <c r="C2" s="250"/>
      <c r="D2" s="251"/>
      <c r="E2" s="252"/>
    </row>
    <row r="3" spans="1:5" ht="11.25" customHeight="1">
      <c r="B3" s="376" t="s">
        <v>807</v>
      </c>
      <c r="C3" s="178"/>
      <c r="D3" s="178"/>
    </row>
    <row r="4" spans="1:5" ht="11.25" customHeight="1">
      <c r="A4" s="188"/>
      <c r="B4" s="189"/>
      <c r="C4" s="189"/>
      <c r="D4" s="254"/>
      <c r="E4" s="255"/>
    </row>
    <row r="5" spans="1:5" ht="12" customHeight="1">
      <c r="B5" s="256" t="s">
        <v>808</v>
      </c>
      <c r="C5" s="195"/>
      <c r="D5" s="257"/>
      <c r="E5" s="258"/>
    </row>
    <row r="6" spans="1:5" s="199" customFormat="1" ht="12" customHeight="1">
      <c r="A6" s="259" t="s">
        <v>508</v>
      </c>
      <c r="B6" s="260" t="s">
        <v>809</v>
      </c>
      <c r="C6" s="259" t="s">
        <v>510</v>
      </c>
      <c r="D6" s="261" t="s">
        <v>810</v>
      </c>
      <c r="E6" s="262"/>
    </row>
    <row r="7" spans="1:5" s="202" customFormat="1" ht="12" customHeight="1">
      <c r="A7" s="263" t="s">
        <v>513</v>
      </c>
      <c r="B7" s="264"/>
      <c r="C7" s="263" t="s">
        <v>514</v>
      </c>
      <c r="D7" s="265" t="s">
        <v>811</v>
      </c>
      <c r="E7" s="266" t="s">
        <v>812</v>
      </c>
    </row>
    <row r="8" spans="1:5" s="199" customFormat="1" ht="12" customHeight="1">
      <c r="A8" s="267" t="s">
        <v>518</v>
      </c>
      <c r="B8" s="268" t="s">
        <v>519</v>
      </c>
      <c r="C8" s="267" t="s">
        <v>520</v>
      </c>
      <c r="D8" s="269">
        <v>1</v>
      </c>
      <c r="E8" s="267">
        <v>2</v>
      </c>
    </row>
    <row r="9" spans="1:5" s="185" customFormat="1" ht="12" customHeight="1">
      <c r="A9" s="270" t="s">
        <v>813</v>
      </c>
      <c r="B9" s="271" t="s">
        <v>1381</v>
      </c>
      <c r="C9" s="272" t="s">
        <v>814</v>
      </c>
      <c r="D9" s="890"/>
      <c r="E9" s="891"/>
    </row>
    <row r="10" spans="1:5" s="185" customFormat="1" ht="12" customHeight="1">
      <c r="A10" s="270" t="s">
        <v>815</v>
      </c>
      <c r="B10" s="271" t="s">
        <v>816</v>
      </c>
      <c r="C10" s="272" t="s">
        <v>817</v>
      </c>
      <c r="D10" s="892"/>
      <c r="E10" s="893"/>
    </row>
    <row r="11" spans="1:5" s="275" customFormat="1" ht="12" customHeight="1">
      <c r="A11" s="273" t="s">
        <v>818</v>
      </c>
      <c r="B11" s="273" t="s">
        <v>819</v>
      </c>
      <c r="C11" s="274" t="s">
        <v>820</v>
      </c>
      <c r="D11" s="894">
        <f>D9-D10</f>
        <v>0</v>
      </c>
      <c r="E11" s="894">
        <f>E9-E10</f>
        <v>0</v>
      </c>
    </row>
    <row r="12" spans="1:5" s="207" customFormat="1" ht="12" customHeight="1">
      <c r="A12" s="276" t="s">
        <v>821</v>
      </c>
      <c r="B12" s="276" t="s">
        <v>822</v>
      </c>
      <c r="C12" s="277" t="s">
        <v>823</v>
      </c>
      <c r="D12" s="895">
        <f>SUM(D13:D15)</f>
        <v>0</v>
      </c>
      <c r="E12" s="895">
        <f>SUM(E13:E15)</f>
        <v>0</v>
      </c>
    </row>
    <row r="13" spans="1:5" s="185" customFormat="1" ht="12" customHeight="1">
      <c r="A13" s="270" t="s">
        <v>824</v>
      </c>
      <c r="B13" s="271" t="s">
        <v>825</v>
      </c>
      <c r="C13" s="272" t="s">
        <v>826</v>
      </c>
      <c r="D13" s="890"/>
      <c r="E13" s="891"/>
    </row>
    <row r="14" spans="1:5" s="185" customFormat="1" ht="12" customHeight="1">
      <c r="A14" s="270" t="s">
        <v>532</v>
      </c>
      <c r="B14" s="271" t="s">
        <v>827</v>
      </c>
      <c r="C14" s="272" t="s">
        <v>828</v>
      </c>
      <c r="D14" s="890"/>
      <c r="E14" s="891"/>
    </row>
    <row r="15" spans="1:5" s="185" customFormat="1" ht="12" customHeight="1">
      <c r="A15" s="270" t="s">
        <v>535</v>
      </c>
      <c r="B15" s="271" t="s">
        <v>829</v>
      </c>
      <c r="C15" s="272" t="s">
        <v>830</v>
      </c>
      <c r="D15" s="890"/>
      <c r="E15" s="891"/>
    </row>
    <row r="16" spans="1:5" s="185" customFormat="1" ht="12" customHeight="1">
      <c r="A16" s="278" t="s">
        <v>594</v>
      </c>
      <c r="B16" s="279" t="s">
        <v>831</v>
      </c>
      <c r="C16" s="280" t="s">
        <v>832</v>
      </c>
      <c r="D16" s="896">
        <f>SUM(D17:D18)</f>
        <v>0</v>
      </c>
      <c r="E16" s="896">
        <f>SUM(E17:E18)</f>
        <v>0</v>
      </c>
    </row>
    <row r="17" spans="1:5" s="185" customFormat="1" ht="12" customHeight="1">
      <c r="A17" s="270" t="s">
        <v>833</v>
      </c>
      <c r="B17" s="271" t="s">
        <v>834</v>
      </c>
      <c r="C17" s="272" t="s">
        <v>835</v>
      </c>
      <c r="D17" s="890"/>
      <c r="E17" s="891"/>
    </row>
    <row r="18" spans="1:5" s="185" customFormat="1" ht="12" customHeight="1">
      <c r="A18" s="270" t="s">
        <v>836</v>
      </c>
      <c r="B18" s="271" t="s">
        <v>837</v>
      </c>
      <c r="C18" s="272" t="s">
        <v>838</v>
      </c>
      <c r="D18" s="892"/>
      <c r="E18" s="891"/>
    </row>
    <row r="19" spans="1:5" s="275" customFormat="1" ht="12" customHeight="1">
      <c r="A19" s="273" t="s">
        <v>818</v>
      </c>
      <c r="B19" s="273" t="s">
        <v>839</v>
      </c>
      <c r="C19" s="274" t="s">
        <v>840</v>
      </c>
      <c r="D19" s="894">
        <f>D11+D12-D16</f>
        <v>0</v>
      </c>
      <c r="E19" s="894">
        <f>E11+E12-E16</f>
        <v>0</v>
      </c>
    </row>
    <row r="20" spans="1:5" s="207" customFormat="1" ht="12" customHeight="1">
      <c r="A20" s="276" t="s">
        <v>663</v>
      </c>
      <c r="B20" s="276" t="s">
        <v>841</v>
      </c>
      <c r="C20" s="277" t="s">
        <v>842</v>
      </c>
      <c r="D20" s="895">
        <f>SUM(D21:D24)</f>
        <v>0</v>
      </c>
      <c r="E20" s="895">
        <f>SUM(E21:E24)</f>
        <v>0</v>
      </c>
    </row>
    <row r="21" spans="1:5" s="185" customFormat="1" ht="12" customHeight="1">
      <c r="A21" s="270" t="s">
        <v>666</v>
      </c>
      <c r="B21" s="271" t="s">
        <v>843</v>
      </c>
      <c r="C21" s="272" t="s">
        <v>844</v>
      </c>
      <c r="D21" s="890"/>
      <c r="E21" s="891"/>
    </row>
    <row r="22" spans="1:5" s="185" customFormat="1" ht="12" customHeight="1">
      <c r="A22" s="270" t="s">
        <v>836</v>
      </c>
      <c r="B22" s="271" t="s">
        <v>845</v>
      </c>
      <c r="C22" s="272" t="s">
        <v>846</v>
      </c>
      <c r="D22" s="890"/>
      <c r="E22" s="891"/>
    </row>
    <row r="23" spans="1:5" s="185" customFormat="1" ht="12" customHeight="1">
      <c r="A23" s="270" t="s">
        <v>847</v>
      </c>
      <c r="B23" s="271" t="s">
        <v>848</v>
      </c>
      <c r="C23" s="272" t="s">
        <v>849</v>
      </c>
      <c r="D23" s="890"/>
      <c r="E23" s="891"/>
    </row>
    <row r="24" spans="1:5" s="185" customFormat="1" ht="12" customHeight="1">
      <c r="A24" s="270" t="s">
        <v>850</v>
      </c>
      <c r="B24" s="271" t="s">
        <v>851</v>
      </c>
      <c r="C24" s="272" t="s">
        <v>852</v>
      </c>
      <c r="D24" s="890"/>
      <c r="E24" s="891"/>
    </row>
    <row r="25" spans="1:5" s="185" customFormat="1" ht="12" customHeight="1">
      <c r="A25" s="270" t="s">
        <v>853</v>
      </c>
      <c r="B25" s="271" t="s">
        <v>854</v>
      </c>
      <c r="C25" s="272" t="s">
        <v>855</v>
      </c>
      <c r="D25" s="890"/>
      <c r="E25" s="891"/>
    </row>
    <row r="26" spans="1:5" s="185" customFormat="1" ht="12" customHeight="1">
      <c r="A26" s="270" t="s">
        <v>856</v>
      </c>
      <c r="B26" s="271" t="s">
        <v>857</v>
      </c>
      <c r="C26" s="272" t="s">
        <v>858</v>
      </c>
      <c r="D26" s="890"/>
      <c r="E26" s="891"/>
    </row>
    <row r="27" spans="1:5" s="185" customFormat="1" ht="12" customHeight="1">
      <c r="A27" s="270" t="s">
        <v>859</v>
      </c>
      <c r="B27" s="271" t="s">
        <v>860</v>
      </c>
      <c r="C27" s="272" t="s">
        <v>861</v>
      </c>
      <c r="D27" s="890"/>
      <c r="E27" s="891"/>
    </row>
    <row r="28" spans="1:5" s="185" customFormat="1" ht="12" customHeight="1">
      <c r="A28" s="270" t="s">
        <v>862</v>
      </c>
      <c r="B28" s="271" t="s">
        <v>863</v>
      </c>
      <c r="C28" s="272" t="s">
        <v>864</v>
      </c>
      <c r="D28" s="890"/>
      <c r="E28" s="891"/>
    </row>
    <row r="29" spans="1:5" s="185" customFormat="1" ht="12" customHeight="1">
      <c r="A29" s="270" t="s">
        <v>865</v>
      </c>
      <c r="B29" s="281" t="s">
        <v>866</v>
      </c>
      <c r="C29" s="272" t="s">
        <v>867</v>
      </c>
      <c r="D29" s="890"/>
      <c r="E29" s="891"/>
    </row>
    <row r="30" spans="1:5" s="185" customFormat="1" ht="12" customHeight="1">
      <c r="A30" s="270" t="s">
        <v>868</v>
      </c>
      <c r="B30" s="281" t="s">
        <v>869</v>
      </c>
      <c r="C30" s="272" t="s">
        <v>870</v>
      </c>
      <c r="D30" s="890"/>
      <c r="E30" s="891"/>
    </row>
    <row r="31" spans="1:5" s="185" customFormat="1" ht="12" customHeight="1">
      <c r="A31" s="270" t="s">
        <v>871</v>
      </c>
      <c r="B31" s="281" t="s">
        <v>872</v>
      </c>
      <c r="C31" s="272" t="s">
        <v>873</v>
      </c>
      <c r="D31" s="890"/>
      <c r="E31" s="891"/>
    </row>
    <row r="32" spans="1:5" s="185" customFormat="1" ht="12" customHeight="1">
      <c r="A32" s="270" t="s">
        <v>874</v>
      </c>
      <c r="B32" s="281" t="s">
        <v>875</v>
      </c>
      <c r="C32" s="272" t="s">
        <v>876</v>
      </c>
      <c r="D32" s="890"/>
      <c r="E32" s="891"/>
    </row>
    <row r="33" spans="1:5" s="185" customFormat="1" ht="12" customHeight="1">
      <c r="A33" s="270" t="s">
        <v>877</v>
      </c>
      <c r="B33" s="281" t="s">
        <v>878</v>
      </c>
      <c r="C33" s="272" t="s">
        <v>879</v>
      </c>
      <c r="D33" s="890"/>
      <c r="E33" s="891"/>
    </row>
    <row r="34" spans="1:5" s="275" customFormat="1" ht="30.75" customHeight="1">
      <c r="A34" s="273" t="s">
        <v>880</v>
      </c>
      <c r="B34" s="282" t="s">
        <v>881</v>
      </c>
      <c r="C34" s="283" t="s">
        <v>882</v>
      </c>
      <c r="D34" s="894">
        <f>D19-D20-D25-D26+D27-D28-D29+D30-D31+(-D32)-(-D33)</f>
        <v>0</v>
      </c>
      <c r="E34" s="894">
        <f>E19-E20-E25-E26+E27-E28-E29+E30-E31+(-E32)-(-E33)</f>
        <v>0</v>
      </c>
    </row>
    <row r="35" spans="1:5" s="185" customFormat="1" ht="12" customHeight="1">
      <c r="A35" s="270" t="s">
        <v>883</v>
      </c>
      <c r="B35" s="281" t="s">
        <v>884</v>
      </c>
      <c r="C35" s="272" t="s">
        <v>885</v>
      </c>
      <c r="D35" s="890"/>
      <c r="E35" s="891"/>
    </row>
    <row r="36" spans="1:5" s="185" customFormat="1" ht="12" customHeight="1">
      <c r="A36" s="270" t="s">
        <v>886</v>
      </c>
      <c r="B36" s="281" t="s">
        <v>887</v>
      </c>
      <c r="C36" s="272" t="s">
        <v>888</v>
      </c>
      <c r="D36" s="890"/>
      <c r="E36" s="891"/>
    </row>
    <row r="37" spans="1:5" s="185" customFormat="1" ht="12" customHeight="1">
      <c r="A37" s="278" t="s">
        <v>889</v>
      </c>
      <c r="B37" s="278" t="s">
        <v>890</v>
      </c>
      <c r="C37" s="280" t="s">
        <v>891</v>
      </c>
      <c r="D37" s="896">
        <f>(SUM(D38:D40))</f>
        <v>0</v>
      </c>
      <c r="E37" s="896">
        <f>(SUM(E38:E40))</f>
        <v>0</v>
      </c>
    </row>
    <row r="38" spans="1:5" s="185" customFormat="1" ht="12" customHeight="1">
      <c r="A38" s="270" t="s">
        <v>892</v>
      </c>
      <c r="B38" s="281" t="s">
        <v>893</v>
      </c>
      <c r="C38" s="272" t="s">
        <v>894</v>
      </c>
      <c r="D38" s="890"/>
      <c r="E38" s="891"/>
    </row>
    <row r="39" spans="1:5" s="185" customFormat="1" ht="12" customHeight="1">
      <c r="A39" s="270" t="s">
        <v>895</v>
      </c>
      <c r="B39" s="281" t="s">
        <v>896</v>
      </c>
      <c r="C39" s="272" t="s">
        <v>897</v>
      </c>
      <c r="D39" s="890"/>
      <c r="E39" s="891"/>
    </row>
    <row r="40" spans="1:5" s="185" customFormat="1" ht="12" customHeight="1">
      <c r="A40" s="270" t="s">
        <v>898</v>
      </c>
      <c r="B40" s="281" t="s">
        <v>899</v>
      </c>
      <c r="C40" s="272" t="s">
        <v>900</v>
      </c>
      <c r="D40" s="890"/>
      <c r="E40" s="891"/>
    </row>
    <row r="41" spans="1:5" s="185" customFormat="1" ht="12" customHeight="1">
      <c r="A41" s="270" t="s">
        <v>901</v>
      </c>
      <c r="B41" s="281" t="s">
        <v>902</v>
      </c>
      <c r="C41" s="272" t="s">
        <v>903</v>
      </c>
      <c r="D41" s="890"/>
      <c r="E41" s="891"/>
    </row>
    <row r="42" spans="1:5" s="185" customFormat="1" ht="12" customHeight="1">
      <c r="A42" s="270" t="s">
        <v>904</v>
      </c>
      <c r="B42" s="281" t="s">
        <v>905</v>
      </c>
      <c r="C42" s="272" t="s">
        <v>906</v>
      </c>
      <c r="D42" s="890"/>
      <c r="E42" s="891"/>
    </row>
    <row r="43" spans="1:5" s="185" customFormat="1" ht="12" customHeight="1">
      <c r="A43" s="270" t="s">
        <v>907</v>
      </c>
      <c r="B43" s="281" t="s">
        <v>908</v>
      </c>
      <c r="C43" s="272" t="s">
        <v>909</v>
      </c>
      <c r="D43" s="890"/>
      <c r="E43" s="891"/>
    </row>
    <row r="44" spans="1:5" s="185" customFormat="1" ht="12" customHeight="1">
      <c r="A44" s="270" t="s">
        <v>910</v>
      </c>
      <c r="B44" s="281" t="s">
        <v>911</v>
      </c>
      <c r="C44" s="272" t="s">
        <v>912</v>
      </c>
      <c r="D44" s="890"/>
      <c r="E44" s="891"/>
    </row>
    <row r="45" spans="1:5" s="185" customFormat="1" ht="12" customHeight="1">
      <c r="A45" s="270" t="s">
        <v>913</v>
      </c>
      <c r="B45" s="281" t="s">
        <v>914</v>
      </c>
      <c r="C45" s="272" t="s">
        <v>915</v>
      </c>
      <c r="D45" s="890"/>
      <c r="E45" s="891"/>
    </row>
    <row r="46" spans="1:5" s="185" customFormat="1" ht="12" customHeight="1">
      <c r="A46" s="270" t="s">
        <v>916</v>
      </c>
      <c r="B46" s="281" t="s">
        <v>917</v>
      </c>
      <c r="C46" s="272" t="s">
        <v>918</v>
      </c>
      <c r="D46" s="890"/>
      <c r="E46" s="891"/>
    </row>
    <row r="47" spans="1:5" s="185" customFormat="1" ht="12" customHeight="1">
      <c r="A47" s="270" t="s">
        <v>919</v>
      </c>
      <c r="B47" s="281" t="s">
        <v>920</v>
      </c>
      <c r="C47" s="272" t="s">
        <v>921</v>
      </c>
      <c r="D47" s="890"/>
      <c r="E47" s="891"/>
    </row>
    <row r="48" spans="1:5" s="185" customFormat="1" ht="12" customHeight="1">
      <c r="A48" s="270" t="s">
        <v>922</v>
      </c>
      <c r="B48" s="281" t="s">
        <v>923</v>
      </c>
      <c r="C48" s="272" t="s">
        <v>924</v>
      </c>
      <c r="D48" s="890"/>
      <c r="E48" s="891"/>
    </row>
    <row r="49" spans="1:5" s="185" customFormat="1" ht="12" customHeight="1">
      <c r="A49" s="270" t="s">
        <v>925</v>
      </c>
      <c r="B49" s="281" t="s">
        <v>926</v>
      </c>
      <c r="C49" s="272" t="s">
        <v>927</v>
      </c>
      <c r="D49" s="890"/>
      <c r="E49" s="891"/>
    </row>
    <row r="50" spans="1:5" s="185" customFormat="1" ht="12" customHeight="1">
      <c r="A50" s="270" t="s">
        <v>928</v>
      </c>
      <c r="B50" s="281" t="s">
        <v>929</v>
      </c>
      <c r="C50" s="272" t="s">
        <v>930</v>
      </c>
      <c r="D50" s="890"/>
      <c r="E50" s="891"/>
    </row>
    <row r="51" spans="1:5" s="185" customFormat="1" ht="12" customHeight="1">
      <c r="A51" s="270" t="s">
        <v>931</v>
      </c>
      <c r="B51" s="281" t="s">
        <v>932</v>
      </c>
      <c r="C51" s="272" t="s">
        <v>933</v>
      </c>
      <c r="D51" s="890"/>
      <c r="E51" s="891"/>
    </row>
    <row r="52" spans="1:5" s="185" customFormat="1" ht="12" customHeight="1">
      <c r="A52" s="270" t="s">
        <v>934</v>
      </c>
      <c r="B52" s="281" t="s">
        <v>935</v>
      </c>
      <c r="C52" s="272" t="s">
        <v>936</v>
      </c>
      <c r="D52" s="890"/>
      <c r="E52" s="891"/>
    </row>
    <row r="53" spans="1:5" s="185" customFormat="1" ht="12" customHeight="1">
      <c r="A53" s="270" t="s">
        <v>937</v>
      </c>
      <c r="B53" s="281" t="s">
        <v>938</v>
      </c>
      <c r="C53" s="272" t="s">
        <v>939</v>
      </c>
      <c r="D53" s="890"/>
      <c r="E53" s="891"/>
    </row>
    <row r="54" spans="1:5" s="275" customFormat="1" ht="30" customHeight="1">
      <c r="A54" s="276" t="s">
        <v>880</v>
      </c>
      <c r="B54" s="282" t="s">
        <v>940</v>
      </c>
      <c r="C54" s="283" t="s">
        <v>941</v>
      </c>
      <c r="D54" s="894">
        <f>D35-D36+D37+D41-D42+D43-D44-D45+D46-D47+D48-D49+D50-D51+(-D52)-(-D53)</f>
        <v>0</v>
      </c>
      <c r="E54" s="894">
        <f>E35-E36+E37+E41-E42+E43-E44-E45+E46-E47+E48-E49+E50-E51+(-E52)-(-E53)</f>
        <v>0</v>
      </c>
    </row>
    <row r="55" spans="1:5" s="185" customFormat="1" ht="12" customHeight="1">
      <c r="A55" s="278" t="s">
        <v>942</v>
      </c>
      <c r="B55" s="278" t="s">
        <v>943</v>
      </c>
      <c r="C55" s="280" t="s">
        <v>944</v>
      </c>
      <c r="D55" s="896"/>
      <c r="E55" s="896"/>
    </row>
    <row r="56" spans="1:5" s="185" customFormat="1" ht="12" customHeight="1">
      <c r="A56" s="278" t="s">
        <v>945</v>
      </c>
      <c r="B56" s="278" t="s">
        <v>946</v>
      </c>
      <c r="C56" s="280" t="s">
        <v>947</v>
      </c>
      <c r="D56" s="896">
        <f>SUM(D57:D58)</f>
        <v>0</v>
      </c>
      <c r="E56" s="896">
        <f>SUM(E57:E58)</f>
        <v>0</v>
      </c>
    </row>
    <row r="57" spans="1:5" s="185" customFormat="1" ht="12" customHeight="1">
      <c r="A57" s="270" t="s">
        <v>948</v>
      </c>
      <c r="B57" s="284" t="s">
        <v>949</v>
      </c>
      <c r="C57" s="272" t="s">
        <v>950</v>
      </c>
      <c r="D57" s="891"/>
      <c r="E57" s="891"/>
    </row>
    <row r="58" spans="1:5" s="275" customFormat="1" ht="12" customHeight="1">
      <c r="A58" s="270" t="s">
        <v>836</v>
      </c>
      <c r="B58" s="284" t="s">
        <v>951</v>
      </c>
      <c r="C58" s="272" t="s">
        <v>952</v>
      </c>
      <c r="D58" s="891"/>
      <c r="E58" s="891"/>
    </row>
    <row r="59" spans="1:5" s="185" customFormat="1" ht="12" customHeight="1">
      <c r="A59" s="276" t="s">
        <v>942</v>
      </c>
      <c r="B59" s="273" t="s">
        <v>953</v>
      </c>
      <c r="C59" s="283" t="s">
        <v>954</v>
      </c>
      <c r="D59" s="894">
        <f>D55-D56</f>
        <v>0</v>
      </c>
      <c r="E59" s="894">
        <f>E55-E56</f>
        <v>0</v>
      </c>
    </row>
    <row r="60" spans="1:5" s="185" customFormat="1" ht="12" customHeight="1">
      <c r="A60" s="270" t="s">
        <v>955</v>
      </c>
      <c r="B60" s="281" t="s">
        <v>956</v>
      </c>
      <c r="C60" s="272" t="s">
        <v>957</v>
      </c>
      <c r="D60" s="891"/>
      <c r="E60" s="891"/>
    </row>
    <row r="61" spans="1:5" s="185" customFormat="1" ht="12" customHeight="1">
      <c r="A61" s="270" t="s">
        <v>958</v>
      </c>
      <c r="B61" s="281" t="s">
        <v>959</v>
      </c>
      <c r="C61" s="272" t="s">
        <v>960</v>
      </c>
      <c r="D61" s="891"/>
      <c r="E61" s="891"/>
    </row>
    <row r="62" spans="1:5" s="185" customFormat="1" ht="12" customHeight="1">
      <c r="A62" s="278" t="s">
        <v>880</v>
      </c>
      <c r="B62" s="278" t="s">
        <v>961</v>
      </c>
      <c r="C62" s="280" t="s">
        <v>962</v>
      </c>
      <c r="D62" s="896">
        <f>D60-D61</f>
        <v>0</v>
      </c>
      <c r="E62" s="896">
        <f>E60-E61</f>
        <v>0</v>
      </c>
    </row>
    <row r="63" spans="1:5" s="185" customFormat="1" ht="12" customHeight="1">
      <c r="A63" s="278" t="s">
        <v>963</v>
      </c>
      <c r="B63" s="278" t="s">
        <v>964</v>
      </c>
      <c r="C63" s="280" t="s">
        <v>965</v>
      </c>
      <c r="D63" s="896">
        <f>SUM(D64:D65)</f>
        <v>0</v>
      </c>
      <c r="E63" s="896">
        <f>SUM(E64:E65)</f>
        <v>0</v>
      </c>
    </row>
    <row r="64" spans="1:5" s="275" customFormat="1" ht="12" customHeight="1">
      <c r="A64" s="270" t="s">
        <v>966</v>
      </c>
      <c r="B64" s="284" t="s">
        <v>967</v>
      </c>
      <c r="C64" s="272" t="s">
        <v>968</v>
      </c>
      <c r="D64" s="891"/>
      <c r="E64" s="891"/>
    </row>
    <row r="65" spans="1:5" s="185" customFormat="1" ht="12" customHeight="1">
      <c r="A65" s="270" t="s">
        <v>836</v>
      </c>
      <c r="B65" s="284" t="s">
        <v>969</v>
      </c>
      <c r="C65" s="272" t="s">
        <v>970</v>
      </c>
      <c r="D65" s="891"/>
      <c r="E65" s="891"/>
    </row>
    <row r="66" spans="1:5" s="285" customFormat="1" ht="12" customHeight="1">
      <c r="A66" s="276" t="s">
        <v>880</v>
      </c>
      <c r="B66" s="273" t="s">
        <v>971</v>
      </c>
      <c r="C66" s="280" t="s">
        <v>972</v>
      </c>
      <c r="D66" s="894">
        <f>D62-D63</f>
        <v>0</v>
      </c>
      <c r="E66" s="894">
        <f>E62-E63</f>
        <v>0</v>
      </c>
    </row>
    <row r="67" spans="1:5" s="185" customFormat="1" ht="12" customHeight="1">
      <c r="A67" s="278" t="s">
        <v>973</v>
      </c>
      <c r="B67" s="286" t="s">
        <v>974</v>
      </c>
      <c r="C67" s="280" t="s">
        <v>975</v>
      </c>
      <c r="D67" s="896">
        <f>D55+D62</f>
        <v>0</v>
      </c>
      <c r="E67" s="896">
        <f>E55+E62</f>
        <v>0</v>
      </c>
    </row>
    <row r="68" spans="1:5" ht="12" customHeight="1">
      <c r="A68" s="270" t="s">
        <v>976</v>
      </c>
      <c r="B68" s="271" t="s">
        <v>977</v>
      </c>
      <c r="C68" s="272" t="s">
        <v>978</v>
      </c>
      <c r="D68" s="897"/>
      <c r="E68" s="891"/>
    </row>
    <row r="69" spans="1:5" ht="12" customHeight="1">
      <c r="A69" s="287" t="s">
        <v>973</v>
      </c>
      <c r="B69" s="288" t="s">
        <v>979</v>
      </c>
      <c r="C69" s="289" t="s">
        <v>980</v>
      </c>
      <c r="D69" s="898">
        <f>D59+D66-D68</f>
        <v>0</v>
      </c>
      <c r="E69" s="898">
        <f>E59+E66-E68</f>
        <v>0</v>
      </c>
    </row>
    <row r="70" spans="1:5" ht="12" customHeight="1"/>
    <row r="71" spans="1:5" ht="12" customHeight="1"/>
    <row r="72" spans="1:5" ht="12" customHeight="1"/>
    <row r="73" spans="1:5" ht="12" customHeight="1">
      <c r="E73" s="290"/>
    </row>
    <row r="74" spans="1:5" ht="12" customHeight="1"/>
    <row r="75" spans="1:5" ht="12" customHeight="1"/>
    <row r="76" spans="1:5" ht="12" customHeight="1"/>
    <row r="77" spans="1:5" ht="12" customHeight="1"/>
    <row r="78" spans="1:5" ht="12" customHeight="1"/>
    <row r="79" spans="1:5" ht="12" customHeight="1"/>
    <row r="80" spans="1:5" ht="12" customHeight="1"/>
    <row r="81" ht="12" customHeight="1"/>
    <row r="82" ht="12" customHeight="1"/>
    <row r="83" ht="12" customHeight="1"/>
    <row r="84" ht="12" customHeight="1"/>
    <row r="85" ht="12" customHeight="1"/>
    <row r="86" ht="12" customHeight="1"/>
    <row r="87" ht="12" customHeight="1"/>
    <row r="88" ht="12" customHeight="1"/>
  </sheetData>
  <pageMargins left="0.64" right="0.19685039370078741" top="0.28000000000000003" bottom="0.59055118110236227" header="0.21" footer="0.31496062992125984"/>
  <pageSetup paperSize="9" scale="10" fitToWidth="2" orientation="portrait" horizontalDpi="360" verticalDpi="300" r:id="rId1"/>
  <headerFooter alignWithMargins="0">
    <oddFooter>&amp;C&amp;"EYlogo,Regular"&amp;8e&amp;R&amp;"Times New Roman CE,Tučné"&amp;5Lead schedules v2.0</oddFooter>
  </headerFooter>
  <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outlinePr summaryBelow="0" summaryRight="0"/>
    <pageSetUpPr fitToPage="1"/>
  </sheetPr>
  <dimension ref="A1:AR53"/>
  <sheetViews>
    <sheetView showGridLines="0" view="pageBreakPreview" zoomScaleNormal="100" zoomScaleSheetLayoutView="100" workbookViewId="0">
      <selection activeCell="A19" sqref="A19"/>
    </sheetView>
  </sheetViews>
  <sheetFormatPr defaultColWidth="9.140625" defaultRowHeight="12.75"/>
  <cols>
    <col min="1" max="45" width="2.5703125" style="899" customWidth="1"/>
    <col min="46" max="46" width="7.7109375" style="899" customWidth="1"/>
    <col min="47" max="61" width="2.5703125" style="899" customWidth="1"/>
    <col min="62" max="16384" width="9.140625" style="899"/>
  </cols>
  <sheetData>
    <row r="1" spans="1:37" s="500" customFormat="1" ht="9.75">
      <c r="C1" s="501" t="s">
        <v>1717</v>
      </c>
    </row>
    <row r="2" spans="1:37" s="397" customFormat="1" ht="21" customHeight="1">
      <c r="C2" s="499" t="s">
        <v>1718</v>
      </c>
      <c r="D2" s="498"/>
      <c r="E2" s="498"/>
      <c r="F2" s="498"/>
      <c r="G2" s="498"/>
      <c r="H2" s="498"/>
      <c r="I2" s="498"/>
      <c r="J2" s="498"/>
      <c r="K2" s="497"/>
      <c r="Q2" s="496" t="s">
        <v>1410</v>
      </c>
    </row>
    <row r="3" spans="1:37" ht="13.5" thickBot="1">
      <c r="N3" s="904"/>
      <c r="O3" s="904" t="s">
        <v>1715</v>
      </c>
    </row>
    <row r="4" spans="1:37" ht="28.5" customHeight="1" thickBot="1">
      <c r="K4" s="901" t="s">
        <v>1716</v>
      </c>
      <c r="L4" s="494"/>
      <c r="M4" s="494"/>
      <c r="N4" s="494"/>
      <c r="O4" s="494" t="str">
        <f>+MID('Input data'!$B$11,1,1)</f>
        <v>3</v>
      </c>
      <c r="P4" s="494" t="str">
        <f>+MID('Input data'!$B$11,2,1)</f>
        <v>1</v>
      </c>
      <c r="Q4" s="494" t="s">
        <v>1063</v>
      </c>
      <c r="R4" s="494" t="str">
        <f>LEFT('Input data'!B13,1)</f>
        <v>0</v>
      </c>
      <c r="S4" s="494" t="str">
        <f>RIGHT('Input data'!B13,1)</f>
        <v>3</v>
      </c>
      <c r="T4" s="494" t="s">
        <v>1063</v>
      </c>
      <c r="U4" s="494" t="str">
        <f>+LEFT('Input data'!$B$14,1)</f>
        <v>2</v>
      </c>
      <c r="V4" s="494" t="str">
        <f>+MID('Input data'!$B$14,2,1)</f>
        <v>0</v>
      </c>
      <c r="W4" s="494" t="str">
        <f>+MID('Input data'!$B$14,3,1)</f>
        <v>1</v>
      </c>
      <c r="X4" s="494" t="str">
        <f>+MID('Input data'!$B$14,4,1)</f>
        <v>8</v>
      </c>
      <c r="Y4" s="902"/>
      <c r="Z4" s="491"/>
    </row>
    <row r="5" spans="1:37" ht="7.5" customHeight="1" thickBot="1"/>
    <row r="6" spans="1:37" s="487" customFormat="1" ht="14.25" customHeight="1">
      <c r="A6" s="490" t="s">
        <v>1065</v>
      </c>
      <c r="B6" s="489"/>
      <c r="C6" s="489"/>
      <c r="D6" s="489"/>
      <c r="E6" s="489"/>
      <c r="F6" s="489"/>
      <c r="G6" s="489"/>
      <c r="H6" s="489"/>
      <c r="I6" s="489"/>
      <c r="J6" s="489"/>
      <c r="K6" s="489"/>
      <c r="L6" s="489"/>
      <c r="M6" s="489"/>
      <c r="N6" s="489"/>
      <c r="O6" s="489"/>
      <c r="P6" s="489"/>
      <c r="Q6" s="489"/>
      <c r="R6" s="489"/>
      <c r="S6" s="488"/>
      <c r="T6" s="489"/>
      <c r="U6" s="489"/>
      <c r="V6" s="489"/>
      <c r="W6" s="489"/>
      <c r="X6" s="489"/>
      <c r="Y6" s="489"/>
      <c r="Z6" s="489"/>
      <c r="AA6" s="489"/>
      <c r="AB6" s="489"/>
      <c r="AC6" s="489"/>
      <c r="AD6" s="489"/>
      <c r="AE6" s="489"/>
      <c r="AF6" s="489"/>
      <c r="AG6" s="489"/>
      <c r="AH6" s="489"/>
      <c r="AI6" s="489"/>
      <c r="AJ6" s="489"/>
      <c r="AK6" s="488"/>
    </row>
    <row r="7" spans="1:37" s="391" customFormat="1" ht="15" customHeight="1">
      <c r="A7" s="403" t="s">
        <v>1066</v>
      </c>
      <c r="B7" s="402"/>
      <c r="C7" s="402"/>
      <c r="D7" s="402"/>
      <c r="E7" s="402"/>
      <c r="F7" s="402"/>
      <c r="G7" s="402"/>
      <c r="H7" s="402"/>
      <c r="I7" s="402"/>
      <c r="J7" s="402"/>
      <c r="K7" s="402"/>
      <c r="L7" s="402"/>
      <c r="M7" s="402"/>
      <c r="N7" s="402"/>
      <c r="O7" s="402"/>
      <c r="P7" s="402"/>
      <c r="Q7" s="402"/>
      <c r="R7" s="402"/>
      <c r="S7" s="486"/>
      <c r="T7" s="402"/>
      <c r="U7" s="402"/>
      <c r="V7" s="402"/>
      <c r="W7" s="402"/>
      <c r="X7" s="402"/>
      <c r="Y7" s="402"/>
      <c r="Z7" s="402"/>
      <c r="AA7" s="402"/>
      <c r="AB7" s="402"/>
      <c r="AC7" s="402"/>
      <c r="AD7" s="402"/>
      <c r="AE7" s="402"/>
      <c r="AF7" s="402"/>
      <c r="AG7" s="402"/>
      <c r="AH7" s="402"/>
      <c r="AI7" s="402"/>
      <c r="AJ7" s="402"/>
      <c r="AK7" s="486"/>
    </row>
    <row r="8" spans="1:37" s="482" customFormat="1" ht="18" customHeight="1" thickBot="1">
      <c r="A8" s="485" t="s">
        <v>1067</v>
      </c>
      <c r="B8" s="484"/>
      <c r="C8" s="484"/>
      <c r="D8" s="484"/>
      <c r="E8" s="485"/>
      <c r="F8" s="484"/>
      <c r="G8" s="484"/>
      <c r="H8" s="484"/>
      <c r="I8" s="484"/>
      <c r="J8" s="484"/>
      <c r="K8" s="484"/>
      <c r="L8" s="484"/>
      <c r="M8" s="484"/>
      <c r="N8" s="484"/>
      <c r="O8" s="484"/>
      <c r="P8" s="484"/>
      <c r="Q8" s="484"/>
      <c r="R8" s="484"/>
      <c r="S8" s="483"/>
      <c r="T8" s="484"/>
      <c r="U8" s="484"/>
      <c r="V8" s="484"/>
      <c r="W8" s="484"/>
      <c r="X8" s="484"/>
      <c r="Y8" s="484"/>
      <c r="Z8" s="484"/>
      <c r="AA8" s="484"/>
      <c r="AB8" s="484"/>
      <c r="AC8" s="484"/>
      <c r="AD8" s="484"/>
      <c r="AE8" s="484"/>
      <c r="AF8" s="484"/>
      <c r="AG8" s="484"/>
      <c r="AH8" s="484"/>
      <c r="AI8" s="484"/>
      <c r="AJ8" s="484"/>
      <c r="AK8" s="483"/>
    </row>
    <row r="9" spans="1:37" s="462" customFormat="1" ht="3.75" customHeight="1" thickBot="1"/>
    <row r="10" spans="1:37" s="462" customFormat="1" ht="14.25" customHeight="1">
      <c r="A10" s="464" t="s">
        <v>1231</v>
      </c>
      <c r="B10" s="463"/>
      <c r="C10" s="463"/>
      <c r="D10" s="463"/>
      <c r="E10" s="463"/>
      <c r="F10" s="463"/>
      <c r="G10" s="463"/>
      <c r="H10" s="463"/>
      <c r="I10" s="407"/>
      <c r="J10" s="406"/>
      <c r="K10" s="480" t="s">
        <v>1069</v>
      </c>
      <c r="L10" s="463"/>
      <c r="M10" s="481"/>
      <c r="N10" s="481"/>
      <c r="O10" s="481"/>
      <c r="P10" s="463"/>
      <c r="Q10" s="480" t="s">
        <v>1069</v>
      </c>
      <c r="R10" s="463"/>
      <c r="S10" s="407"/>
      <c r="T10" s="463"/>
      <c r="U10" s="463"/>
      <c r="V10" s="479"/>
      <c r="W10" s="463"/>
      <c r="X10" s="463"/>
      <c r="Y10" s="463"/>
      <c r="Z10" s="463"/>
      <c r="AA10" s="463"/>
      <c r="AB10" s="463"/>
      <c r="AC10" s="463"/>
      <c r="AD10" s="480" t="s">
        <v>1070</v>
      </c>
      <c r="AE10" s="480"/>
      <c r="AF10" s="480"/>
      <c r="AG10" s="480" t="s">
        <v>1071</v>
      </c>
      <c r="AH10" s="463"/>
      <c r="AI10" s="463"/>
      <c r="AJ10" s="463"/>
      <c r="AK10" s="479"/>
    </row>
    <row r="11" spans="1:37" s="462" customFormat="1" ht="19.5" customHeight="1">
      <c r="A11" s="476" t="str">
        <f>LEFT('Input data'!C24,1)</f>
        <v>2</v>
      </c>
      <c r="B11" s="441" t="str">
        <f>MID('Input data'!$C$24,2,1)</f>
        <v>0</v>
      </c>
      <c r="C11" s="441" t="str">
        <f>MID('Input data'!$C$24,3,1)</f>
        <v>2</v>
      </c>
      <c r="D11" s="441" t="str">
        <f>MID('Input data'!$C$24,4,1)</f>
        <v>0</v>
      </c>
      <c r="E11" s="441" t="str">
        <f>MID('Input data'!$C$24,5,1)</f>
        <v>3</v>
      </c>
      <c r="F11" s="441" t="str">
        <f>MID('Input data'!$C$24,6,1)</f>
        <v>1</v>
      </c>
      <c r="G11" s="441" t="str">
        <f>MID('Input data'!$C$24,7,1)</f>
        <v>9</v>
      </c>
      <c r="H11" s="441" t="str">
        <f>MID('Input data'!$C$24,8,1)</f>
        <v>8</v>
      </c>
      <c r="I11" s="441" t="str">
        <f>MID('Input data'!$C$24,9,1)</f>
        <v>2</v>
      </c>
      <c r="J11" s="448" t="str">
        <f>MID('Input data'!$C$24,10,1)</f>
        <v>9</v>
      </c>
      <c r="K11" s="399"/>
      <c r="L11" s="478" t="str">
        <f>IF('Input data'!D7="x","x"," ")</f>
        <v>x</v>
      </c>
      <c r="M11" s="470" t="s">
        <v>1075</v>
      </c>
      <c r="N11" s="472"/>
      <c r="O11" s="472"/>
      <c r="P11" s="472"/>
      <c r="Q11" s="472"/>
      <c r="R11" s="478" t="str">
        <f>IF('Input data'!D17="x","x"," ")</f>
        <v>x</v>
      </c>
      <c r="S11" s="470" t="s">
        <v>1076</v>
      </c>
      <c r="T11" s="465"/>
      <c r="U11" s="465"/>
      <c r="V11" s="471"/>
      <c r="W11" s="470" t="s">
        <v>1072</v>
      </c>
      <c r="X11" s="465"/>
      <c r="Y11" s="465"/>
      <c r="Z11" s="465"/>
      <c r="AA11" s="465"/>
      <c r="AB11" s="470" t="s">
        <v>1073</v>
      </c>
      <c r="AC11" s="465"/>
      <c r="AD11" s="441" t="str">
        <f>MID('Input data'!$B$8,1,1)</f>
        <v>0</v>
      </c>
      <c r="AE11" s="441" t="str">
        <f>MID('Input data'!$B$8,2,1)</f>
        <v>4</v>
      </c>
      <c r="AF11" s="441"/>
      <c r="AG11" s="441" t="str">
        <f>MID('Input data'!$B$9,1,1)</f>
        <v>2</v>
      </c>
      <c r="AH11" s="441" t="str">
        <f>MID('Input data'!$B$9,2,1)</f>
        <v>0</v>
      </c>
      <c r="AI11" s="441" t="str">
        <f>MID('Input data'!$B$9,3,1)</f>
        <v>1</v>
      </c>
      <c r="AJ11" s="441" t="str">
        <f>MID('Input data'!$B$9,4,1)</f>
        <v>7</v>
      </c>
      <c r="AK11" s="471"/>
    </row>
    <row r="12" spans="1:37" s="462" customFormat="1" ht="19.5" customHeight="1" thickBot="1">
      <c r="A12" s="403" t="s">
        <v>1074</v>
      </c>
      <c r="B12" s="465"/>
      <c r="C12" s="465"/>
      <c r="D12" s="465"/>
      <c r="E12" s="465"/>
      <c r="F12" s="465"/>
      <c r="G12" s="465"/>
      <c r="H12" s="399"/>
      <c r="I12" s="399"/>
      <c r="J12" s="398"/>
      <c r="K12" s="399"/>
      <c r="L12" s="474" t="str">
        <f>IF('Input data'!D8="x","x", "")</f>
        <v/>
      </c>
      <c r="M12" s="470" t="s">
        <v>1078</v>
      </c>
      <c r="N12" s="472"/>
      <c r="O12" s="472"/>
      <c r="P12" s="472"/>
      <c r="Q12" s="472"/>
      <c r="R12" s="475" t="str">
        <f>IF('Input data'!D18="x","x"," ")</f>
        <v xml:space="preserve"> </v>
      </c>
      <c r="S12" s="470" t="s">
        <v>1079</v>
      </c>
      <c r="T12" s="465"/>
      <c r="U12" s="465"/>
      <c r="V12" s="471"/>
      <c r="W12" s="477"/>
      <c r="X12" s="467"/>
      <c r="Y12" s="467"/>
      <c r="Z12" s="467"/>
      <c r="AA12" s="467"/>
      <c r="AB12" s="466" t="s">
        <v>1077</v>
      </c>
      <c r="AC12" s="467"/>
      <c r="AD12" s="439" t="str">
        <f>MID('Input data'!$B$13,1,1)</f>
        <v>0</v>
      </c>
      <c r="AE12" s="439" t="str">
        <f>MID('Input data'!$B$13,2,1)</f>
        <v>3</v>
      </c>
      <c r="AF12" s="439"/>
      <c r="AG12" s="439" t="str">
        <f>MID('Input data'!$B$14,1,1)</f>
        <v>2</v>
      </c>
      <c r="AH12" s="439" t="str">
        <f>MID('Input data'!$B$14,2,1)</f>
        <v>0</v>
      </c>
      <c r="AI12" s="439" t="str">
        <f>MID('Input data'!$B$14,3,1)</f>
        <v>1</v>
      </c>
      <c r="AJ12" s="439" t="str">
        <f>MID('Input data'!$B$14,4,1)</f>
        <v>8</v>
      </c>
      <c r="AK12" s="468"/>
    </row>
    <row r="13" spans="1:37" s="462" customFormat="1" ht="19.5" customHeight="1">
      <c r="A13" s="476" t="str">
        <f>LEFT('Input data'!C26,1)</f>
        <v>3</v>
      </c>
      <c r="B13" s="441" t="str">
        <f>MID('Input data'!$C$26,2,1)</f>
        <v>1</v>
      </c>
      <c r="C13" s="441" t="str">
        <f>MID('Input data'!$C$26,3,1)</f>
        <v>3</v>
      </c>
      <c r="D13" s="441" t="str">
        <f>MID('Input data'!$C$26,4,1)</f>
        <v>6</v>
      </c>
      <c r="E13" s="441" t="str">
        <f>MID('Input data'!$C$26,5,1)</f>
        <v>5</v>
      </c>
      <c r="F13" s="441" t="str">
        <f>MID('Input data'!$C$26,6,1)</f>
        <v>5</v>
      </c>
      <c r="G13" s="441" t="str">
        <f>MID('Input data'!$C$26,7,1)</f>
        <v>0</v>
      </c>
      <c r="H13" s="441" t="str">
        <f>MID('Input data'!$C$26,8,1)</f>
        <v>7</v>
      </c>
      <c r="I13" s="399"/>
      <c r="J13" s="398"/>
      <c r="K13" s="905"/>
      <c r="L13" s="826"/>
      <c r="M13" s="827" t="s">
        <v>1411</v>
      </c>
      <c r="N13" s="826"/>
      <c r="O13" s="826"/>
      <c r="P13" s="826"/>
      <c r="Q13" s="826"/>
      <c r="R13" s="906" t="s">
        <v>1082</v>
      </c>
      <c r="S13" s="826"/>
      <c r="T13" s="826"/>
      <c r="U13" s="826"/>
      <c r="V13" s="829"/>
      <c r="W13" s="470" t="s">
        <v>1080</v>
      </c>
      <c r="X13" s="465"/>
      <c r="Y13" s="402"/>
      <c r="Z13" s="399"/>
      <c r="AA13" s="399"/>
      <c r="AB13" s="472"/>
      <c r="AC13" s="399"/>
      <c r="AD13" s="474"/>
      <c r="AE13" s="474"/>
      <c r="AF13" s="474"/>
      <c r="AG13" s="474"/>
      <c r="AH13" s="474"/>
      <c r="AI13" s="474"/>
      <c r="AJ13" s="474"/>
      <c r="AK13" s="398"/>
    </row>
    <row r="14" spans="1:37" s="462" customFormat="1" ht="19.5" customHeight="1">
      <c r="A14" s="403" t="s">
        <v>1081</v>
      </c>
      <c r="B14" s="465"/>
      <c r="C14" s="465"/>
      <c r="D14" s="465"/>
      <c r="E14" s="465"/>
      <c r="F14" s="465"/>
      <c r="G14" s="465"/>
      <c r="H14" s="465"/>
      <c r="I14" s="399"/>
      <c r="J14" s="398"/>
      <c r="K14" s="399"/>
      <c r="L14" s="478"/>
      <c r="M14" s="470" t="s">
        <v>1719</v>
      </c>
      <c r="N14" s="472"/>
      <c r="O14" s="472"/>
      <c r="P14" s="472"/>
      <c r="Q14" s="472"/>
      <c r="S14" s="472"/>
      <c r="T14" s="465"/>
      <c r="U14" s="465"/>
      <c r="V14" s="471"/>
      <c r="W14" s="470" t="s">
        <v>983</v>
      </c>
      <c r="X14" s="465"/>
      <c r="Y14" s="402"/>
      <c r="Z14" s="399"/>
      <c r="AA14" s="399"/>
      <c r="AB14" s="470" t="s">
        <v>1073</v>
      </c>
      <c r="AC14" s="399"/>
      <c r="AD14" s="441" t="str">
        <f>MID('Input data'!$B$18,1,1)</f>
        <v>0</v>
      </c>
      <c r="AE14" s="441" t="str">
        <f>MID('Input data'!$B$18,2,1)</f>
        <v>4</v>
      </c>
      <c r="AF14" s="441"/>
      <c r="AG14" s="441" t="str">
        <f>MID('Input data'!$B$19,1,1)</f>
        <v>2</v>
      </c>
      <c r="AH14" s="441" t="str">
        <f>MID('Input data'!$B$19,2,1)</f>
        <v>0</v>
      </c>
      <c r="AI14" s="441" t="str">
        <f>MID('Input data'!$B$19,3,1)</f>
        <v>1</v>
      </c>
      <c r="AJ14" s="441" t="str">
        <f>MID('Input data'!$B$19,4,1)</f>
        <v>6</v>
      </c>
      <c r="AK14" s="398"/>
    </row>
    <row r="15" spans="1:37" s="462" customFormat="1" ht="19.5" customHeight="1" thickBot="1">
      <c r="A15" s="469" t="str">
        <f>LEFT('Input data'!$F$7,1)</f>
        <v>2</v>
      </c>
      <c r="B15" s="394" t="str">
        <f>MID('Input data'!$F$7,2,1)</f>
        <v>7</v>
      </c>
      <c r="C15" s="467" t="s">
        <v>1063</v>
      </c>
      <c r="D15" s="394" t="str">
        <f>MID('Input data'!$F$7,3,1)</f>
        <v>3</v>
      </c>
      <c r="E15" s="394" t="str">
        <f>MID('Input data'!$F$7,4,1)</f>
        <v>1</v>
      </c>
      <c r="F15" s="418" t="s">
        <v>1063</v>
      </c>
      <c r="G15" s="394" t="str">
        <f>MID('Input data'!$F$7,5,1)</f>
        <v>0</v>
      </c>
      <c r="H15" s="394"/>
      <c r="I15" s="394"/>
      <c r="J15" s="393"/>
      <c r="K15" s="394"/>
      <c r="L15" s="394"/>
      <c r="M15" s="466" t="s">
        <v>1720</v>
      </c>
      <c r="N15" s="394"/>
      <c r="O15" s="394"/>
      <c r="P15" s="394"/>
      <c r="Q15" s="394"/>
      <c r="R15" s="907" t="s">
        <v>1082</v>
      </c>
      <c r="S15" s="394"/>
      <c r="T15" s="467"/>
      <c r="U15" s="467"/>
      <c r="V15" s="468"/>
      <c r="W15" s="466" t="s">
        <v>1083</v>
      </c>
      <c r="X15" s="467"/>
      <c r="Y15" s="395"/>
      <c r="Z15" s="394"/>
      <c r="AA15" s="394"/>
      <c r="AB15" s="466" t="s">
        <v>1077</v>
      </c>
      <c r="AC15" s="394"/>
      <c r="AD15" s="439" t="str">
        <f>MID('Input data'!$B$21,1,1)</f>
        <v>0</v>
      </c>
      <c r="AE15" s="439" t="str">
        <f>MID('Input data'!$B$21,2,1)</f>
        <v>3</v>
      </c>
      <c r="AF15" s="439"/>
      <c r="AG15" s="439" t="str">
        <f>MID('Input data'!$B$22,1,1)</f>
        <v>2</v>
      </c>
      <c r="AH15" s="439" t="str">
        <f>MID('Input data'!$B$22,2,1)</f>
        <v>0</v>
      </c>
      <c r="AI15" s="439" t="str">
        <f>MID('Input data'!$B$22,3,1)</f>
        <v>1</v>
      </c>
      <c r="AJ15" s="439" t="str">
        <f>MID('Input data'!$B$22,4,1)</f>
        <v>7</v>
      </c>
      <c r="AK15" s="393"/>
    </row>
    <row r="16" spans="1:37" s="462" customFormat="1" ht="4.5" customHeight="1">
      <c r="A16" s="465"/>
      <c r="B16" s="465"/>
      <c r="C16" s="465"/>
      <c r="D16" s="465"/>
      <c r="E16" s="465"/>
      <c r="F16" s="463"/>
      <c r="G16" s="465"/>
      <c r="H16" s="399"/>
      <c r="I16" s="399"/>
      <c r="J16" s="399"/>
      <c r="K16" s="399"/>
      <c r="L16" s="399"/>
      <c r="M16" s="399"/>
      <c r="N16" s="399"/>
      <c r="O16" s="399"/>
      <c r="P16" s="399"/>
      <c r="Q16" s="399"/>
      <c r="R16" s="399"/>
      <c r="S16" s="399"/>
      <c r="T16" s="465"/>
      <c r="U16" s="465"/>
      <c r="V16" s="399"/>
      <c r="W16" s="399"/>
      <c r="X16" s="399"/>
      <c r="Y16" s="399"/>
      <c r="Z16" s="399"/>
      <c r="AA16" s="399"/>
      <c r="AB16" s="399"/>
      <c r="AC16" s="399"/>
      <c r="AD16" s="399"/>
      <c r="AE16" s="399"/>
      <c r="AF16" s="399"/>
      <c r="AG16" s="399"/>
      <c r="AH16" s="399"/>
      <c r="AI16" s="399"/>
      <c r="AJ16" s="399"/>
      <c r="AK16" s="399"/>
    </row>
    <row r="17" spans="1:44" s="462" customFormat="1" ht="3" customHeight="1" thickBot="1">
      <c r="H17" s="392"/>
      <c r="I17" s="392"/>
      <c r="J17" s="392"/>
      <c r="K17" s="392"/>
      <c r="L17" s="392"/>
      <c r="M17" s="392"/>
      <c r="N17" s="392"/>
      <c r="O17" s="392"/>
      <c r="P17" s="392"/>
      <c r="Q17" s="392"/>
      <c r="R17" s="392"/>
      <c r="S17" s="392"/>
      <c r="W17" s="392"/>
      <c r="X17" s="392"/>
      <c r="Y17" s="392"/>
      <c r="Z17" s="392"/>
      <c r="AA17" s="392"/>
      <c r="AB17" s="392"/>
      <c r="AC17" s="392"/>
      <c r="AD17" s="392"/>
      <c r="AE17" s="392"/>
      <c r="AF17" s="392"/>
      <c r="AG17" s="392"/>
      <c r="AH17" s="392"/>
      <c r="AI17" s="392"/>
      <c r="AJ17" s="392"/>
      <c r="AK17" s="392"/>
    </row>
    <row r="18" spans="1:44" s="462" customFormat="1" ht="16.5">
      <c r="A18" s="464" t="s">
        <v>1084</v>
      </c>
      <c r="B18" s="463"/>
      <c r="C18" s="463"/>
      <c r="D18" s="463"/>
      <c r="E18" s="463"/>
      <c r="F18" s="463"/>
      <c r="G18" s="463"/>
      <c r="H18" s="407"/>
      <c r="I18" s="407"/>
      <c r="J18" s="407"/>
      <c r="K18" s="407"/>
      <c r="L18" s="407"/>
      <c r="M18" s="407"/>
      <c r="N18" s="407"/>
      <c r="O18" s="407"/>
      <c r="P18" s="407"/>
      <c r="Q18" s="407"/>
      <c r="R18" s="407"/>
      <c r="S18" s="407"/>
      <c r="T18" s="463"/>
      <c r="U18" s="463"/>
      <c r="V18" s="463"/>
      <c r="W18" s="407"/>
      <c r="X18" s="407"/>
      <c r="Y18" s="407"/>
      <c r="Z18" s="407"/>
      <c r="AA18" s="407"/>
      <c r="AB18" s="407"/>
      <c r="AC18" s="407"/>
      <c r="AD18" s="407"/>
      <c r="AE18" s="407"/>
      <c r="AF18" s="407"/>
      <c r="AG18" s="407"/>
      <c r="AH18" s="407"/>
      <c r="AI18" s="407"/>
      <c r="AJ18" s="407"/>
      <c r="AK18" s="406"/>
    </row>
    <row r="19" spans="1:44" s="462" customFormat="1" ht="19.5" customHeight="1">
      <c r="A19" s="449" t="str">
        <f>+LEFT('Input data'!$F$3,1)</f>
        <v>F</v>
      </c>
      <c r="B19" s="441" t="str">
        <f>+MID('Input data'!$F$3,2,1)</f>
        <v>o</v>
      </c>
      <c r="C19" s="441" t="str">
        <f>+MID('Input data'!$F$3,3,1)</f>
        <v>s</v>
      </c>
      <c r="D19" s="441" t="str">
        <f>+MID('Input data'!$F$3,4,1)</f>
        <v>s</v>
      </c>
      <c r="E19" s="441" t="str">
        <f>+MID('Input data'!$F$3,5,1)</f>
        <v xml:space="preserve"> </v>
      </c>
      <c r="F19" s="441" t="str">
        <f>+MID('Input data'!$F$3,6,1)</f>
        <v>F</v>
      </c>
      <c r="G19" s="441" t="str">
        <f>+MID('Input data'!$F$3,7,1)</f>
        <v>i</v>
      </c>
      <c r="H19" s="441" t="str">
        <f>+MID('Input data'!$F$3,8,1)</f>
        <v>b</v>
      </c>
      <c r="I19" s="441" t="str">
        <f>+MID('Input data'!$F$3,9,1)</f>
        <v>r</v>
      </c>
      <c r="J19" s="441" t="str">
        <f>+MID('Input data'!$F$3,10,1)</f>
        <v>e</v>
      </c>
      <c r="K19" s="441" t="str">
        <f>+MID('Input data'!$F$3,11,1)</f>
        <v xml:space="preserve"> </v>
      </c>
      <c r="L19" s="441" t="str">
        <f>+MID('Input data'!$F$3,12,1)</f>
        <v>O</v>
      </c>
      <c r="M19" s="441" t="str">
        <f>+MID('Input data'!$F$3,13,1)</f>
        <v>p</v>
      </c>
      <c r="N19" s="441" t="str">
        <f>+MID('Input data'!$F$3,14,1)</f>
        <v>t</v>
      </c>
      <c r="O19" s="441" t="str">
        <f>+MID('Input data'!$F$3,15,1)</f>
        <v>i</v>
      </c>
      <c r="P19" s="441" t="str">
        <f>+MID('Input data'!$F$3,16,1)</f>
        <v>c</v>
      </c>
      <c r="Q19" s="441" t="str">
        <f>+MID('Input data'!$F$3,17,1)</f>
        <v>s</v>
      </c>
      <c r="R19" s="441" t="str">
        <f>+MID('Input data'!$F$3,18,1)</f>
        <v>,</v>
      </c>
      <c r="S19" s="441" t="str">
        <f>+MID('Input data'!$F$3,19,1)</f>
        <v xml:space="preserve"> </v>
      </c>
      <c r="T19" s="441" t="str">
        <f>+MID('Input data'!$F$3,20,1)</f>
        <v>s</v>
      </c>
      <c r="U19" s="441" t="str">
        <f>+MID('Input data'!$F$3,21,1)</f>
        <v>.</v>
      </c>
      <c r="V19" s="441" t="str">
        <f>+MID('Input data'!$F$3,22,1)</f>
        <v>r</v>
      </c>
      <c r="W19" s="441" t="str">
        <f>+MID('Input data'!$F$3,23,1)</f>
        <v>.</v>
      </c>
      <c r="X19" s="441" t="str">
        <f>+MID('Input data'!$F$3,24,1)</f>
        <v>o</v>
      </c>
      <c r="Y19" s="441" t="str">
        <f>+MID('Input data'!$F$3,25,1)</f>
        <v>.</v>
      </c>
      <c r="Z19" s="441" t="str">
        <f>+MID('Input data'!$F$3,26,1)</f>
        <v xml:space="preserve"> </v>
      </c>
      <c r="AA19" s="441" t="str">
        <f>+MID('Input data'!$F$3,27,1)</f>
        <v xml:space="preserve">
</v>
      </c>
      <c r="AB19" s="441" t="str">
        <f>+MID('Input data'!$F$3,28,1)</f>
        <v/>
      </c>
      <c r="AC19" s="441" t="str">
        <f>+MID('Input data'!$F$3,29,1)</f>
        <v/>
      </c>
      <c r="AD19" s="441" t="str">
        <f>+MID('Input data'!$F$3,30,1)</f>
        <v/>
      </c>
      <c r="AE19" s="441" t="str">
        <f>+MID('Input data'!$F$3,31,1)</f>
        <v/>
      </c>
      <c r="AF19" s="441" t="str">
        <f>+MID('Input data'!$F$3,32,1)</f>
        <v/>
      </c>
      <c r="AG19" s="441" t="str">
        <f>+MID('Input data'!$F$3,33,1)</f>
        <v/>
      </c>
      <c r="AH19" s="441" t="str">
        <f>+MID('Input data'!$F$3,34,1)</f>
        <v/>
      </c>
      <c r="AI19" s="441" t="str">
        <f>+MID('Input data'!$F$3,35,1)</f>
        <v/>
      </c>
      <c r="AJ19" s="441" t="str">
        <f>+MID('Input data'!$F$3,36,1)</f>
        <v/>
      </c>
      <c r="AK19" s="448" t="str">
        <f>+MID('Input data'!$F$3,37,1)</f>
        <v/>
      </c>
    </row>
    <row r="20" spans="1:44" ht="19.5" customHeight="1">
      <c r="A20" s="449" t="str">
        <f>+MID('Input data'!$F$3,38,1)</f>
        <v/>
      </c>
      <c r="B20" s="441" t="str">
        <f>+MID('Input data'!$F$3,39,1)</f>
        <v/>
      </c>
      <c r="C20" s="441" t="str">
        <f>+MID('Input data'!$F$3,40,1)</f>
        <v/>
      </c>
      <c r="D20" s="441" t="str">
        <f>+MID('Input data'!$F$3,41,1)</f>
        <v/>
      </c>
      <c r="E20" s="441" t="str">
        <f>+MID('Input data'!$F$3,42,1)</f>
        <v/>
      </c>
      <c r="F20" s="441" t="str">
        <f>+MID('Input data'!$F$3,43,1)</f>
        <v/>
      </c>
      <c r="G20" s="441" t="str">
        <f>+MID('Input data'!$F$3,44,1)</f>
        <v/>
      </c>
      <c r="H20" s="441" t="str">
        <f>+MID('Input data'!$F$3,45,1)</f>
        <v/>
      </c>
      <c r="I20" s="441" t="str">
        <f>+MID('Input data'!$F$3,46,1)</f>
        <v/>
      </c>
      <c r="J20" s="441" t="str">
        <f>+MID('Input data'!$F$3,47,1)</f>
        <v/>
      </c>
      <c r="K20" s="441" t="str">
        <f>+MID('Input data'!$F$3,48,1)</f>
        <v/>
      </c>
      <c r="L20" s="441" t="str">
        <f>+MID('Input data'!$F$3,49,1)</f>
        <v/>
      </c>
      <c r="M20" s="441" t="str">
        <f>+MID('Input data'!$F$3,50,1)</f>
        <v/>
      </c>
      <c r="N20" s="441" t="str">
        <f>+MID('Input data'!$F$3,51,1)</f>
        <v/>
      </c>
      <c r="O20" s="441" t="str">
        <f>+MID('Input data'!$F$3,52,1)</f>
        <v/>
      </c>
      <c r="P20" s="441" t="str">
        <f>+MID('Input data'!$F$3,53,1)</f>
        <v/>
      </c>
      <c r="Q20" s="441" t="str">
        <f>+MID('Input data'!$F$3,54,1)</f>
        <v/>
      </c>
      <c r="R20" s="441" t="str">
        <f>+MID('Input data'!$F$3,55,1)</f>
        <v/>
      </c>
      <c r="S20" s="441" t="str">
        <f>+MID('Input data'!$F$3,56,1)</f>
        <v/>
      </c>
      <c r="T20" s="441" t="str">
        <f>+MID('Input data'!$F$3,57,1)</f>
        <v/>
      </c>
      <c r="U20" s="441" t="str">
        <f>+MID('Input data'!$F$3,58,1)</f>
        <v/>
      </c>
      <c r="V20" s="441" t="str">
        <f>+MID('Input data'!$F$3,59,1)</f>
        <v/>
      </c>
      <c r="W20" s="441" t="str">
        <f>+MID('Input data'!$F$3,60,1)</f>
        <v/>
      </c>
      <c r="X20" s="441" t="str">
        <f>+MID('Input data'!$F$3,61,1)</f>
        <v/>
      </c>
      <c r="Y20" s="441" t="str">
        <f>+MID('Input data'!$F$3,62,1)</f>
        <v/>
      </c>
      <c r="Z20" s="441" t="str">
        <f>+MID('Input data'!$F$3,63,1)</f>
        <v/>
      </c>
      <c r="AA20" s="441" t="str">
        <f>+MID('Input data'!$F$3,64,1)</f>
        <v/>
      </c>
      <c r="AB20" s="441" t="str">
        <f>+MID('Input data'!$F$3,65,1)</f>
        <v/>
      </c>
      <c r="AC20" s="441" t="str">
        <f>+MID('Input data'!$F$3,66,1)</f>
        <v/>
      </c>
      <c r="AD20" s="441" t="str">
        <f>+MID('Input data'!$F$3,67,1)</f>
        <v/>
      </c>
      <c r="AE20" s="441" t="str">
        <f>+MID('Input data'!$F$3,68,1)</f>
        <v/>
      </c>
      <c r="AF20" s="441" t="str">
        <f>+MID('Input data'!$F$3,69,1)</f>
        <v/>
      </c>
      <c r="AG20" s="441" t="str">
        <f>+MID('Input data'!$F$3,70,1)</f>
        <v/>
      </c>
      <c r="AH20" s="441" t="str">
        <f>+MID('Input data'!$F$3,71,1)</f>
        <v/>
      </c>
      <c r="AI20" s="441" t="str">
        <f>+MID('Input data'!$F$3,72,1)</f>
        <v/>
      </c>
      <c r="AJ20" s="441" t="str">
        <f>+MID('Input data'!$F$3,73,1)</f>
        <v/>
      </c>
      <c r="AK20" s="448" t="str">
        <f>+MID('Input data'!$F$3,74,1)</f>
        <v/>
      </c>
    </row>
    <row r="21" spans="1:44" ht="14.25" customHeight="1">
      <c r="A21" s="461"/>
      <c r="B21" s="460"/>
      <c r="C21" s="460"/>
      <c r="D21" s="460"/>
      <c r="E21" s="460"/>
      <c r="F21" s="460"/>
      <c r="G21" s="460"/>
      <c r="H21" s="460"/>
      <c r="I21" s="460"/>
      <c r="J21" s="460"/>
      <c r="K21" s="460"/>
      <c r="L21" s="460"/>
      <c r="M21" s="460"/>
      <c r="N21" s="460"/>
      <c r="O21" s="460"/>
      <c r="P21" s="460"/>
      <c r="Q21" s="460"/>
      <c r="R21" s="460"/>
      <c r="S21" s="460"/>
      <c r="T21" s="460"/>
      <c r="U21" s="460"/>
      <c r="V21" s="460"/>
      <c r="W21" s="459"/>
      <c r="X21" s="459"/>
      <c r="Y21" s="459"/>
      <c r="Z21" s="459"/>
      <c r="AA21" s="459"/>
      <c r="AB21" s="459"/>
      <c r="AC21" s="459"/>
      <c r="AD21" s="459"/>
      <c r="AE21" s="459"/>
      <c r="AF21" s="459"/>
      <c r="AG21" s="459"/>
      <c r="AH21" s="459"/>
      <c r="AI21" s="459"/>
      <c r="AJ21" s="459"/>
      <c r="AK21" s="458"/>
    </row>
    <row r="22" spans="1:44" ht="19.5" hidden="1" customHeight="1">
      <c r="A22" s="457"/>
      <c r="B22" s="456"/>
      <c r="C22" s="456"/>
      <c r="D22" s="456"/>
      <c r="E22" s="456"/>
      <c r="F22" s="456"/>
      <c r="G22" s="456" t="e">
        <f>+MID('Input data'!#REF!,7,1)</f>
        <v>#REF!</v>
      </c>
      <c r="H22" s="456" t="e">
        <f>+MID('Input data'!#REF!,8,1)</f>
        <v>#REF!</v>
      </c>
      <c r="I22" s="456" t="e">
        <f>+MID('Input data'!#REF!,9,1)</f>
        <v>#REF!</v>
      </c>
      <c r="J22" s="456" t="e">
        <f>+MID('Input data'!#REF!,10,1)</f>
        <v>#REF!</v>
      </c>
      <c r="K22" s="456" t="e">
        <f>+MID('Input data'!#REF!,11,1)</f>
        <v>#REF!</v>
      </c>
      <c r="L22" s="456" t="e">
        <f>+MID('Input data'!#REF!,12,1)</f>
        <v>#REF!</v>
      </c>
      <c r="M22" s="456" t="e">
        <f>+MID('Input data'!#REF!,13,1)</f>
        <v>#REF!</v>
      </c>
      <c r="N22" s="456" t="e">
        <f>+MID('Input data'!#REF!,14,1)</f>
        <v>#REF!</v>
      </c>
      <c r="O22" s="456" t="e">
        <f>+MID('Input data'!#REF!,15,1)</f>
        <v>#REF!</v>
      </c>
      <c r="P22" s="456" t="e">
        <f>+MID('Input data'!#REF!,16,1)</f>
        <v>#REF!</v>
      </c>
      <c r="Q22" s="456" t="e">
        <f>+MID('Input data'!#REF!,17,1)</f>
        <v>#REF!</v>
      </c>
      <c r="R22" s="456" t="e">
        <f>+MID('Input data'!#REF!,18,1)</f>
        <v>#REF!</v>
      </c>
      <c r="S22" s="456" t="e">
        <f>+MID('Input data'!#REF!,19,1)</f>
        <v>#REF!</v>
      </c>
      <c r="T22" s="456" t="e">
        <f>+MID('Input data'!#REF!,20,1)</f>
        <v>#REF!</v>
      </c>
      <c r="U22" s="456" t="e">
        <f>+MID('Input data'!#REF!,21,1)</f>
        <v>#REF!</v>
      </c>
      <c r="V22" s="456" t="e">
        <f>+MID('Input data'!#REF!,22,1)</f>
        <v>#REF!</v>
      </c>
      <c r="W22" s="456" t="e">
        <f>+MID('Input data'!#REF!,23,1)</f>
        <v>#REF!</v>
      </c>
      <c r="X22" s="456" t="e">
        <f>+MID('Input data'!#REF!,24,1)</f>
        <v>#REF!</v>
      </c>
      <c r="Y22" s="456" t="e">
        <f>+MID('Input data'!#REF!,25,1)</f>
        <v>#REF!</v>
      </c>
      <c r="Z22" s="456" t="e">
        <f>+MID('Input data'!#REF!,26,1)</f>
        <v>#REF!</v>
      </c>
      <c r="AA22" s="456" t="e">
        <f>+MID('Input data'!#REF!,27,1)</f>
        <v>#REF!</v>
      </c>
      <c r="AB22" s="456" t="e">
        <f>+MID('Input data'!#REF!,28,1)</f>
        <v>#REF!</v>
      </c>
      <c r="AC22" s="456" t="e">
        <f>+MID('Input data'!#REF!,29,1)</f>
        <v>#REF!</v>
      </c>
      <c r="AD22" s="456" t="e">
        <f>+MID('Input data'!#REF!,30,1)</f>
        <v>#REF!</v>
      </c>
      <c r="AE22" s="456" t="e">
        <f>+MID('Input data'!#REF!,31,1)</f>
        <v>#REF!</v>
      </c>
      <c r="AF22" s="456" t="e">
        <f>+MID('Input data'!#REF!,32,1)</f>
        <v>#REF!</v>
      </c>
      <c r="AG22" s="456" t="e">
        <f>+MID('Input data'!#REF!,33,1)</f>
        <v>#REF!</v>
      </c>
      <c r="AH22" s="456" t="e">
        <f>+MID('Input data'!#REF!,34,1)</f>
        <v>#REF!</v>
      </c>
      <c r="AI22" s="456" t="e">
        <f>+MID('Input data'!#REF!,35,1)</f>
        <v>#REF!</v>
      </c>
      <c r="AJ22" s="456" t="e">
        <f>+MID('Input data'!#REF!,36,1)</f>
        <v>#REF!</v>
      </c>
      <c r="AK22" s="455" t="e">
        <f>+MID('Input data'!#REF!,37,1)</f>
        <v>#REF!</v>
      </c>
    </row>
    <row r="23" spans="1:44" s="450" customFormat="1" ht="12" customHeight="1">
      <c r="A23" s="454" t="s">
        <v>1085</v>
      </c>
      <c r="B23" s="453"/>
      <c r="C23" s="453"/>
      <c r="D23" s="453"/>
      <c r="E23" s="453"/>
      <c r="F23" s="453"/>
      <c r="G23" s="453"/>
      <c r="H23" s="453"/>
      <c r="I23" s="453"/>
      <c r="J23" s="453"/>
      <c r="K23" s="453"/>
      <c r="L23" s="453"/>
      <c r="M23" s="453"/>
      <c r="N23" s="453"/>
      <c r="O23" s="453"/>
      <c r="P23" s="453"/>
      <c r="Q23" s="453"/>
      <c r="R23" s="453"/>
      <c r="S23" s="453"/>
      <c r="T23" s="453"/>
      <c r="U23" s="453"/>
      <c r="V23" s="453"/>
      <c r="W23" s="452"/>
      <c r="X23" s="452"/>
      <c r="Y23" s="452"/>
      <c r="Z23" s="452"/>
      <c r="AA23" s="452"/>
      <c r="AB23" s="452"/>
      <c r="AC23" s="452"/>
      <c r="AD23" s="452"/>
      <c r="AE23" s="452"/>
      <c r="AF23" s="452"/>
      <c r="AG23" s="452"/>
      <c r="AH23" s="452"/>
      <c r="AI23" s="452"/>
      <c r="AJ23" s="452"/>
      <c r="AK23" s="451"/>
    </row>
    <row r="24" spans="1:44">
      <c r="A24" s="446" t="s">
        <v>1086</v>
      </c>
      <c r="B24" s="900"/>
      <c r="C24" s="900"/>
      <c r="D24" s="900"/>
      <c r="E24" s="900"/>
      <c r="F24" s="900"/>
      <c r="G24" s="900"/>
      <c r="H24" s="900"/>
      <c r="I24" s="900"/>
      <c r="J24" s="900"/>
      <c r="K24" s="900"/>
      <c r="L24" s="900"/>
      <c r="M24" s="900"/>
      <c r="N24" s="900"/>
      <c r="O24" s="900"/>
      <c r="P24" s="900"/>
      <c r="Q24" s="900"/>
      <c r="R24" s="900"/>
      <c r="S24" s="900"/>
      <c r="T24" s="900"/>
      <c r="U24" s="900"/>
      <c r="V24" s="900"/>
      <c r="W24" s="399"/>
      <c r="X24" s="399"/>
      <c r="Y24" s="399"/>
      <c r="Z24" s="399"/>
      <c r="AA24" s="399"/>
      <c r="AB24" s="900"/>
      <c r="AC24" s="399"/>
      <c r="AD24" s="402" t="s">
        <v>1087</v>
      </c>
      <c r="AE24" s="399"/>
      <c r="AF24" s="399"/>
      <c r="AG24" s="399"/>
      <c r="AH24" s="399"/>
      <c r="AI24" s="399"/>
      <c r="AJ24" s="399"/>
      <c r="AK24" s="398"/>
    </row>
    <row r="25" spans="1:44" ht="19.5" customHeight="1">
      <c r="A25" s="449" t="str">
        <f>+LEFT('Input data'!$C$28,1)</f>
        <v>O</v>
      </c>
      <c r="B25" s="441" t="str">
        <f>+MID('Input data'!$C$28,2,1)</f>
        <v>d</v>
      </c>
      <c r="C25" s="441" t="str">
        <f>+MID('Input data'!$C$28,3,1)</f>
        <v>b</v>
      </c>
      <c r="D25" s="441" t="str">
        <f>+MID('Input data'!$C$28,4,1)</f>
        <v>o</v>
      </c>
      <c r="E25" s="441" t="str">
        <f>+MID('Input data'!$C$28,5,1)</f>
        <v>r</v>
      </c>
      <c r="F25" s="441" t="str">
        <f>+MID('Input data'!$C$28,6,1)</f>
        <v>á</v>
      </c>
      <c r="G25" s="441" t="str">
        <f>+MID('Input data'!$C$28,7,1)</f>
        <v>r</v>
      </c>
      <c r="H25" s="441" t="str">
        <f>+MID('Input data'!$C$28,8,1)</f>
        <v>s</v>
      </c>
      <c r="I25" s="441" t="str">
        <f>+MID('Input data'!$C$28,9,1)</f>
        <v>k</v>
      </c>
      <c r="J25" s="441" t="str">
        <f>+MID('Input data'!$C$28,10,1)</f>
        <v>a</v>
      </c>
      <c r="K25" s="441" t="str">
        <f>+MID('Input data'!$C$28,11,1)</f>
        <v/>
      </c>
      <c r="L25" s="441" t="str">
        <f>+MID('Input data'!$C$28,12,1)</f>
        <v/>
      </c>
      <c r="M25" s="441" t="str">
        <f>+MID('Input data'!$C$28,13,1)</f>
        <v/>
      </c>
      <c r="N25" s="441" t="str">
        <f>+MID('Input data'!$C$28,14,1)</f>
        <v/>
      </c>
      <c r="O25" s="441" t="str">
        <f>+MID('Input data'!$C$28,15,1)</f>
        <v/>
      </c>
      <c r="P25" s="441" t="str">
        <f>+MID('Input data'!$C$28,16,1)</f>
        <v/>
      </c>
      <c r="Q25" s="441" t="str">
        <f>+MID('Input data'!$C$28,17,1)</f>
        <v/>
      </c>
      <c r="R25" s="441" t="str">
        <f>+MID('Input data'!$C$28,18,1)</f>
        <v/>
      </c>
      <c r="S25" s="441" t="str">
        <f>+MID('Input data'!$C$28,19,1)</f>
        <v/>
      </c>
      <c r="T25" s="441" t="str">
        <f>+MID('Input data'!$C$28,20,1)</f>
        <v/>
      </c>
      <c r="U25" s="441" t="str">
        <f>+MID('Input data'!$C$28,21,1)</f>
        <v/>
      </c>
      <c r="V25" s="441" t="str">
        <f>+MID('Input data'!$C$28,22,1)</f>
        <v/>
      </c>
      <c r="W25" s="441" t="str">
        <f>+MID('Input data'!$C$28,23,1)</f>
        <v/>
      </c>
      <c r="X25" s="441" t="str">
        <f>+MID('Input data'!$C$28,24,1)</f>
        <v/>
      </c>
      <c r="Y25" s="441" t="str">
        <f>+MID('Input data'!$C$28,25,1)</f>
        <v/>
      </c>
      <c r="Z25" s="441" t="str">
        <f>+MID('Input data'!$C$28,26,1)</f>
        <v/>
      </c>
      <c r="AA25" s="441" t="str">
        <f>+MID('Input data'!$C$28,27,1)</f>
        <v/>
      </c>
      <c r="AB25" s="441" t="str">
        <f>+MID('Input data'!$C$28,28,1)</f>
        <v/>
      </c>
      <c r="AC25" s="443"/>
      <c r="AD25" s="441" t="str">
        <f>+LEFT('Input data'!$C$30,1)</f>
        <v>5</v>
      </c>
      <c r="AE25" s="441" t="str">
        <f>+MID('Input data'!$C$30,2,1)</f>
        <v>2</v>
      </c>
      <c r="AF25" s="441" t="str">
        <f>+MID('Input data'!$C$30,3,1)</f>
        <v/>
      </c>
      <c r="AG25" s="441" t="str">
        <f>+MID('Input data'!$C$30,4,1)</f>
        <v/>
      </c>
      <c r="AH25" s="441" t="str">
        <f>+MID('Input data'!$C$30,5,1)</f>
        <v/>
      </c>
      <c r="AI25" s="441" t="str">
        <f>+MID('Input data'!$C$30,6,1)</f>
        <v/>
      </c>
      <c r="AJ25" s="441" t="str">
        <f>+MID('Input data'!$C$30,7,1)</f>
        <v/>
      </c>
      <c r="AK25" s="448" t="str">
        <f>+MID('Input data'!$C$30,8,1)</f>
        <v/>
      </c>
      <c r="AR25" s="935"/>
    </row>
    <row r="26" spans="1:44">
      <c r="A26" s="446" t="s">
        <v>1088</v>
      </c>
      <c r="B26" s="928"/>
      <c r="C26" s="928"/>
      <c r="D26" s="928"/>
      <c r="E26" s="928"/>
      <c r="F26" s="928"/>
      <c r="G26" s="445" t="s">
        <v>1089</v>
      </c>
      <c r="H26" s="445"/>
      <c r="I26" s="445"/>
      <c r="J26" s="445"/>
      <c r="K26" s="445"/>
      <c r="L26" s="445"/>
      <c r="M26" s="445"/>
      <c r="N26" s="445"/>
      <c r="O26" s="445"/>
      <c r="P26" s="445"/>
      <c r="Q26" s="445"/>
      <c r="R26" s="445"/>
      <c r="S26" s="445"/>
      <c r="T26" s="445"/>
      <c r="U26" s="445"/>
      <c r="V26" s="445"/>
      <c r="W26" s="445"/>
      <c r="X26" s="445"/>
      <c r="Y26" s="445"/>
      <c r="Z26" s="445"/>
      <c r="AA26" s="445"/>
      <c r="AB26" s="445"/>
      <c r="AC26" s="445"/>
      <c r="AD26" s="445"/>
      <c r="AE26" s="399"/>
      <c r="AF26" s="399"/>
      <c r="AG26" s="399"/>
      <c r="AH26" s="399"/>
      <c r="AI26" s="399"/>
      <c r="AJ26" s="399"/>
      <c r="AK26" s="398"/>
    </row>
    <row r="27" spans="1:44" s="447" customFormat="1" ht="19.5" customHeight="1">
      <c r="A27" s="449" t="str">
        <f>+LEFT('Input data'!$C$32,1)</f>
        <v>8</v>
      </c>
      <c r="B27" s="441" t="str">
        <f>+MID('Input data'!$C$32,2,1)</f>
        <v>3</v>
      </c>
      <c r="C27" s="441" t="str">
        <f>+MID('Input data'!$C$32,3,1)</f>
        <v>1</v>
      </c>
      <c r="D27" s="441" t="str">
        <f>+MID('Input data'!$C$32,4,1)</f>
        <v xml:space="preserve"> </v>
      </c>
      <c r="E27" s="441" t="str">
        <f>+MID('Input data'!$C$32,5,1)</f>
        <v>0</v>
      </c>
      <c r="F27" s="441"/>
      <c r="G27" s="441" t="str">
        <f>+LEFT('Input data'!$C$34,1)</f>
        <v>B</v>
      </c>
      <c r="H27" s="441" t="str">
        <f>+MID('Input data'!$C$34,2,1)</f>
        <v>r</v>
      </c>
      <c r="I27" s="441" t="str">
        <f>+MID('Input data'!$C$34,3,1)</f>
        <v>a</v>
      </c>
      <c r="J27" s="441" t="str">
        <f>+MID('Input data'!$C$34,4,1)</f>
        <v>t</v>
      </c>
      <c r="K27" s="441" t="str">
        <f>+MID('Input data'!$C$34,5,1)</f>
        <v>i</v>
      </c>
      <c r="L27" s="441" t="str">
        <f>+MID('Input data'!$C$34,6,1)</f>
        <v>s</v>
      </c>
      <c r="M27" s="441" t="str">
        <f>+MID('Input data'!$C$34,7,1)</f>
        <v>l</v>
      </c>
      <c r="N27" s="441" t="str">
        <f>+MID('Input data'!$C$34,8,1)</f>
        <v>a</v>
      </c>
      <c r="O27" s="441" t="str">
        <f>+MID('Input data'!$C$34,9,1)</f>
        <v>v</v>
      </c>
      <c r="P27" s="441" t="str">
        <f>+MID('Input data'!$C$34,10,1)</f>
        <v>a</v>
      </c>
      <c r="Q27" s="441" t="str">
        <f>+MID('Input data'!$C$34,11,1)</f>
        <v xml:space="preserve"> </v>
      </c>
      <c r="R27" s="441" t="str">
        <f>+MID('Input data'!$C$34,12,1)</f>
        <v/>
      </c>
      <c r="S27" s="441" t="str">
        <f>+MID('Input data'!$C$34,13,1)</f>
        <v/>
      </c>
      <c r="T27" s="441" t="str">
        <f>+MID('Input data'!$C$34,14,1)</f>
        <v/>
      </c>
      <c r="U27" s="441" t="str">
        <f>+MID('Input data'!$C$34,15,1)</f>
        <v/>
      </c>
      <c r="V27" s="441" t="str">
        <f>+MID('Input data'!$C$34,16,1)</f>
        <v/>
      </c>
      <c r="W27" s="441" t="str">
        <f>+MID('Input data'!$C$34,17,1)</f>
        <v/>
      </c>
      <c r="X27" s="441" t="str">
        <f>+MID('Input data'!$C$34,18,1)</f>
        <v/>
      </c>
      <c r="Y27" s="441" t="str">
        <f>+MID('Input data'!$C$34,19,1)</f>
        <v/>
      </c>
      <c r="Z27" s="441" t="str">
        <f>+MID('Input data'!$C$34,20,1)</f>
        <v/>
      </c>
      <c r="AA27" s="441" t="str">
        <f>+MID('Input data'!$C$34,21,1)</f>
        <v/>
      </c>
      <c r="AB27" s="441" t="str">
        <f>+MID('Input data'!$C$34,22,1)</f>
        <v/>
      </c>
      <c r="AC27" s="441" t="str">
        <f>+MID('Input data'!$C$34,23,1)</f>
        <v/>
      </c>
      <c r="AD27" s="441" t="str">
        <f>+MID('Input data'!$C$34,24,1)</f>
        <v/>
      </c>
      <c r="AE27" s="441" t="str">
        <f>+MID('Input data'!$C$34,25,1)</f>
        <v/>
      </c>
      <c r="AF27" s="441" t="str">
        <f>+MID('Input data'!$C$34,26,1)</f>
        <v/>
      </c>
      <c r="AG27" s="441" t="str">
        <f>+MID('Input data'!$C$34,27,1)</f>
        <v/>
      </c>
      <c r="AH27" s="441" t="str">
        <f>+MID('Input data'!$C$34,28,1)</f>
        <v/>
      </c>
      <c r="AI27" s="441" t="str">
        <f>+MID('Input data'!$C$34,29,1)</f>
        <v/>
      </c>
      <c r="AJ27" s="441" t="str">
        <f>+MID('Input data'!$C$34,30,1)</f>
        <v/>
      </c>
      <c r="AK27" s="448" t="str">
        <f>+MID('Input data'!$C$34,31,1)</f>
        <v/>
      </c>
    </row>
    <row r="28" spans="1:44">
      <c r="A28" s="446" t="s">
        <v>1090</v>
      </c>
      <c r="B28" s="928"/>
      <c r="C28" s="928"/>
      <c r="D28" s="928"/>
      <c r="E28" s="928"/>
      <c r="F28" s="928"/>
      <c r="G28" s="445"/>
      <c r="H28" s="445"/>
      <c r="I28" s="445"/>
      <c r="J28" s="445"/>
      <c r="K28" s="445"/>
      <c r="L28" s="445"/>
      <c r="M28" s="445"/>
      <c r="N28" s="928"/>
      <c r="O28" s="445" t="s">
        <v>1091</v>
      </c>
      <c r="P28" s="445"/>
      <c r="Q28" s="445"/>
      <c r="R28" s="445"/>
      <c r="S28" s="445"/>
      <c r="T28" s="445"/>
      <c r="U28" s="445"/>
      <c r="V28" s="445"/>
      <c r="W28" s="445"/>
      <c r="X28" s="445"/>
      <c r="Y28" s="445"/>
      <c r="Z28" s="445"/>
      <c r="AA28" s="445"/>
      <c r="AB28" s="445"/>
      <c r="AC28" s="445"/>
      <c r="AD28" s="445"/>
      <c r="AE28" s="399"/>
      <c r="AF28" s="399"/>
      <c r="AG28" s="399"/>
      <c r="AH28" s="399"/>
      <c r="AI28" s="399"/>
      <c r="AJ28" s="399"/>
      <c r="AK28" s="398"/>
    </row>
    <row r="29" spans="1:44" ht="19.5" customHeight="1">
      <c r="A29" s="444">
        <v>0</v>
      </c>
      <c r="B29" s="441" t="str">
        <f>+LEFT('Input data'!$C$36,1)</f>
        <v>2</v>
      </c>
      <c r="C29" s="441" t="str">
        <f>+MID('Input data'!$C$36,2,1)</f>
        <v/>
      </c>
      <c r="D29" s="441" t="str">
        <f>+MID('Input data'!$C$36,3,1)</f>
        <v/>
      </c>
      <c r="E29" s="441" t="s">
        <v>1092</v>
      </c>
      <c r="F29" s="441" t="str">
        <f>+LEFT('Input data'!$C$38,1)</f>
        <v>4</v>
      </c>
      <c r="G29" s="441" t="str">
        <f>+MID('Input data'!$C$38,2,1)</f>
        <v>8</v>
      </c>
      <c r="H29" s="441" t="str">
        <f>+MID('Input data'!$C$38,3,1)</f>
        <v>2</v>
      </c>
      <c r="I29" s="441" t="str">
        <f>+MID('Input data'!$C$38,4,1)</f>
        <v>0</v>
      </c>
      <c r="J29" s="441" t="str">
        <f>+MID('Input data'!$C$38,5,1)</f>
        <v>5</v>
      </c>
      <c r="K29" s="441" t="str">
        <f>+MID('Input data'!$C$38,6,1)</f>
        <v>2</v>
      </c>
      <c r="L29" s="441" t="str">
        <f>+MID('Input data'!$C$38,7,1)</f>
        <v>1</v>
      </c>
      <c r="M29" s="441" t="str">
        <f>+MID('Input data'!$C$38,8,1)</f>
        <v>0</v>
      </c>
      <c r="N29" s="443"/>
      <c r="O29" s="442">
        <v>0</v>
      </c>
      <c r="P29" s="441" t="str">
        <f>+LEFT('Input data'!$C$36,1)</f>
        <v>2</v>
      </c>
      <c r="Q29" s="441" t="str">
        <f>+MID('Input data'!$C$36,2,1)</f>
        <v/>
      </c>
      <c r="R29" s="441" t="str">
        <f>+MID('Input data'!$C$36,3,1)</f>
        <v/>
      </c>
      <c r="S29" s="441" t="s">
        <v>1092</v>
      </c>
      <c r="T29" s="441" t="str">
        <f>+LEFT('Input data'!$C$40,1)</f>
        <v>4</v>
      </c>
      <c r="U29" s="441" t="str">
        <f>+MID('Input data'!$C$40,2,1)</f>
        <v>8</v>
      </c>
      <c r="V29" s="441" t="str">
        <f>+MID('Input data'!$C$40,3,1)</f>
        <v>2</v>
      </c>
      <c r="W29" s="441" t="str">
        <f>+MID('Input data'!$C$40,4,1)</f>
        <v>0</v>
      </c>
      <c r="X29" s="441" t="str">
        <f>+MID('Input data'!$C$40,5,1)</f>
        <v>5</v>
      </c>
      <c r="Y29" s="441" t="str">
        <f>+MID('Input data'!$C$40,6,1)</f>
        <v>2</v>
      </c>
      <c r="Z29" s="441" t="str">
        <f>+MID('Input data'!$C$40,7,1)</f>
        <v>3</v>
      </c>
      <c r="AA29" s="441" t="str">
        <f>+MID('Input data'!$C$40,8,1)</f>
        <v>1</v>
      </c>
      <c r="AB29" s="441"/>
      <c r="AC29" s="441"/>
      <c r="AD29" s="441"/>
      <c r="AE29" s="399"/>
      <c r="AF29" s="399"/>
      <c r="AG29" s="399" t="s">
        <v>1093</v>
      </c>
      <c r="AH29" s="399"/>
      <c r="AI29" s="399"/>
      <c r="AJ29" s="399"/>
      <c r="AK29" s="398"/>
    </row>
    <row r="30" spans="1:44" s="391" customFormat="1">
      <c r="A30" s="403" t="s">
        <v>1094</v>
      </c>
      <c r="B30" s="402"/>
      <c r="C30" s="402"/>
      <c r="D30" s="402"/>
      <c r="E30" s="402"/>
      <c r="F30" s="402"/>
      <c r="G30" s="402"/>
      <c r="H30" s="402"/>
      <c r="I30" s="402"/>
      <c r="J30" s="402"/>
      <c r="K30" s="402"/>
      <c r="L30" s="402"/>
      <c r="M30" s="402"/>
      <c r="N30" s="402"/>
      <c r="O30" s="402"/>
      <c r="P30" s="402"/>
      <c r="Q30" s="402"/>
      <c r="R30" s="402"/>
      <c r="S30" s="402"/>
      <c r="T30" s="402"/>
      <c r="U30" s="402"/>
      <c r="V30" s="402"/>
      <c r="W30" s="399"/>
      <c r="X30" s="399"/>
      <c r="Y30" s="399"/>
      <c r="Z30" s="399"/>
      <c r="AA30" s="399"/>
      <c r="AB30" s="399"/>
      <c r="AC30" s="399"/>
      <c r="AD30" s="399"/>
      <c r="AE30" s="399"/>
      <c r="AF30" s="399"/>
      <c r="AG30" s="399"/>
      <c r="AH30" s="399"/>
      <c r="AI30" s="399"/>
      <c r="AJ30" s="399"/>
      <c r="AK30" s="398"/>
    </row>
    <row r="31" spans="1:44" ht="19.5" customHeight="1" thickBot="1">
      <c r="A31" s="440" t="str">
        <f>+LEFT('Input data'!$B$42,1)</f>
        <v>a</v>
      </c>
      <c r="B31" s="439" t="str">
        <f>+MID('Input data'!$B$42,2,1)</f>
        <v>c</v>
      </c>
      <c r="C31" s="439" t="str">
        <f>+MID('Input data'!$B$42,3,1)</f>
        <v>c</v>
      </c>
      <c r="D31" s="439" t="str">
        <f>+MID('Input data'!$B$42,4,1)</f>
        <v>o</v>
      </c>
      <c r="E31" s="439" t="str">
        <f>+MID('Input data'!$B$42,5,1)</f>
        <v>u</v>
      </c>
      <c r="F31" s="439" t="str">
        <f>+MID('Input data'!$B$42,6,1)</f>
        <v>n</v>
      </c>
      <c r="G31" s="439" t="str">
        <f>+MID('Input data'!$B$42,7,1)</f>
        <v>t</v>
      </c>
      <c r="H31" s="439" t="str">
        <f>+MID('Input data'!$B$42,8,1)</f>
        <v>i</v>
      </c>
      <c r="I31" s="439" t="str">
        <f>+MID('Input data'!$B$42,9,1)</f>
        <v>n</v>
      </c>
      <c r="J31" s="439" t="str">
        <f>+MID('Input data'!$B$42,10,1)</f>
        <v>g</v>
      </c>
      <c r="K31" s="439" t="str">
        <f>+MID('Input data'!$B$42,11,1)</f>
        <v>@</v>
      </c>
      <c r="L31" s="439" t="str">
        <f>+MID('Input data'!$B$42,12,1)</f>
        <v>o</v>
      </c>
      <c r="M31" s="439" t="str">
        <f>+MID('Input data'!$B$42,13,1)</f>
        <v>p</v>
      </c>
      <c r="N31" s="439" t="str">
        <f>+MID('Input data'!$B$42,14,1)</f>
        <v>t</v>
      </c>
      <c r="O31" s="439" t="str">
        <f>+MID('Input data'!$B$42,15,1)</f>
        <v>o</v>
      </c>
      <c r="P31" s="439" t="str">
        <f>+MID('Input data'!$B$42,16,1)</f>
        <v>c</v>
      </c>
      <c r="Q31" s="439" t="str">
        <f>+MID('Input data'!$B$42,17,1)</f>
        <v>o</v>
      </c>
      <c r="R31" s="439" t="str">
        <f>+MID('Input data'!$B$42,18,1)</f>
        <v>n</v>
      </c>
      <c r="S31" s="439" t="str">
        <f>+MID('Input data'!$B$42,19,1)</f>
        <v>.</v>
      </c>
      <c r="T31" s="439" t="str">
        <f>+MID('Input data'!$B$42,20,1)</f>
        <v>s</v>
      </c>
      <c r="U31" s="439" t="str">
        <f>+MID('Input data'!$B$42,21,1)</f>
        <v>k</v>
      </c>
      <c r="V31" s="439" t="str">
        <f>+MID('Input data'!$B$42,22,1)</f>
        <v/>
      </c>
      <c r="W31" s="439" t="str">
        <f>+MID('Input data'!$B$42,23,1)</f>
        <v/>
      </c>
      <c r="X31" s="439" t="str">
        <f>+MID('Input data'!$B$42,24,1)</f>
        <v/>
      </c>
      <c r="Y31" s="439" t="str">
        <f>+MID('Input data'!$B$42,25,1)</f>
        <v/>
      </c>
      <c r="Z31" s="439" t="str">
        <f>+MID('Input data'!$B$42,26,1)</f>
        <v/>
      </c>
      <c r="AA31" s="439" t="str">
        <f>+MID('Input data'!$B$42,27,1)</f>
        <v/>
      </c>
      <c r="AB31" s="439" t="str">
        <f>+MID('Input data'!$B$42,28,1)</f>
        <v/>
      </c>
      <c r="AC31" s="439" t="str">
        <f>+MID('Input data'!$B$42,29,1)</f>
        <v/>
      </c>
      <c r="AD31" s="439" t="str">
        <f>+MID('Input data'!$B$42,30,1)</f>
        <v/>
      </c>
      <c r="AE31" s="439" t="str">
        <f>+MID('Input data'!$B$42,31,1)</f>
        <v/>
      </c>
      <c r="AF31" s="439" t="str">
        <f>+MID('Input data'!$B$42,32,1)</f>
        <v/>
      </c>
      <c r="AG31" s="439" t="str">
        <f>+MID('Input data'!$B$42,33,1)</f>
        <v/>
      </c>
      <c r="AH31" s="439" t="str">
        <f>+MID('Input data'!$B$42,34,1)</f>
        <v/>
      </c>
      <c r="AI31" s="439" t="str">
        <f>+MID('Input data'!$B$42,35,1)</f>
        <v/>
      </c>
      <c r="AJ31" s="439" t="str">
        <f>+MID('Input data'!$B$42,36,1)</f>
        <v/>
      </c>
      <c r="AK31" s="438" t="str">
        <f>+MID('Input data'!$B$42,37,1)</f>
        <v/>
      </c>
    </row>
    <row r="32" spans="1:44" s="391" customFormat="1" ht="4.5" customHeight="1" thickBot="1">
      <c r="W32" s="392"/>
      <c r="X32" s="392"/>
      <c r="Y32" s="392"/>
      <c r="Z32" s="392"/>
      <c r="AA32" s="392"/>
      <c r="AB32" s="392"/>
      <c r="AC32" s="392"/>
      <c r="AD32" s="392"/>
      <c r="AE32" s="392"/>
      <c r="AF32" s="392"/>
      <c r="AG32" s="392"/>
      <c r="AH32" s="392"/>
      <c r="AI32" s="392"/>
      <c r="AJ32" s="392"/>
      <c r="AK32" s="392"/>
    </row>
    <row r="33" spans="1:37" s="434" customFormat="1" ht="12.75" customHeight="1">
      <c r="A33" s="437" t="s">
        <v>1095</v>
      </c>
      <c r="B33" s="436"/>
      <c r="C33" s="436"/>
      <c r="D33" s="436"/>
      <c r="E33" s="436"/>
      <c r="F33" s="436"/>
      <c r="G33" s="436"/>
      <c r="H33" s="436"/>
      <c r="I33" s="436"/>
      <c r="J33" s="436"/>
      <c r="K33" s="435"/>
      <c r="L33" s="2297" t="s">
        <v>1722</v>
      </c>
      <c r="M33" s="1610"/>
      <c r="N33" s="1610"/>
      <c r="O33" s="1610"/>
      <c r="P33" s="1610"/>
      <c r="Q33" s="1610"/>
      <c r="R33" s="1610"/>
      <c r="S33" s="1610"/>
      <c r="T33" s="2298"/>
      <c r="U33" s="1610" t="s">
        <v>1097</v>
      </c>
      <c r="V33" s="1610"/>
      <c r="W33" s="1610"/>
      <c r="X33" s="1610"/>
      <c r="Y33" s="1610"/>
      <c r="Z33" s="1610"/>
      <c r="AA33" s="1610"/>
      <c r="AB33" s="2298"/>
      <c r="AC33" s="2297" t="s">
        <v>1721</v>
      </c>
      <c r="AD33" s="1610"/>
      <c r="AE33" s="1610"/>
      <c r="AF33" s="1610"/>
      <c r="AG33" s="1610"/>
      <c r="AH33" s="1610"/>
      <c r="AI33" s="1610"/>
      <c r="AJ33" s="1610"/>
      <c r="AK33" s="1611"/>
    </row>
    <row r="34" spans="1:37" s="391" customFormat="1" ht="19.5" customHeight="1">
      <c r="A34" s="420" t="str">
        <f>LEFT(TEXT('Input data'!F34,"dd.m.yyyy"),1)</f>
        <v>1</v>
      </c>
      <c r="B34" s="419" t="str">
        <f>MID(TEXT('Input data'!$F$34,"dd.mm.yyyy"),2,1)</f>
        <v>5</v>
      </c>
      <c r="C34" s="418" t="s">
        <v>1063</v>
      </c>
      <c r="D34" s="419" t="str">
        <f>MID(TEXT('Input data'!$F$34,"dd.mm.yyyy"),4,1)</f>
        <v>0</v>
      </c>
      <c r="E34" s="419" t="str">
        <f>MID(TEXT('Input data'!$F$34,"dd.mm.yyyy"),5,1)</f>
        <v>5</v>
      </c>
      <c r="F34" s="418" t="s">
        <v>1063</v>
      </c>
      <c r="G34" s="417" t="str">
        <f>MID(TEXT('Input data'!$F$34,"dd.mm.yyyy"),7,1)</f>
        <v>2</v>
      </c>
      <c r="H34" s="417" t="str">
        <f>MID(TEXT('Input data'!$F$34,"dd.mm.yyyy"),8,1)</f>
        <v>0</v>
      </c>
      <c r="I34" s="417" t="str">
        <f>MID(TEXT('Input data'!$F$34,"dd.mm.yyyy"),9,1)</f>
        <v>1</v>
      </c>
      <c r="J34" s="417" t="str">
        <f>MID(TEXT('Input data'!$F$34,"dd.mm.yyyy"),10,1)</f>
        <v>8</v>
      </c>
      <c r="K34" s="433"/>
      <c r="L34" s="2299"/>
      <c r="M34" s="1612"/>
      <c r="N34" s="1612"/>
      <c r="O34" s="1612"/>
      <c r="P34" s="1612"/>
      <c r="Q34" s="1612"/>
      <c r="R34" s="1612"/>
      <c r="S34" s="1612"/>
      <c r="T34" s="2300"/>
      <c r="U34" s="1612"/>
      <c r="V34" s="1612"/>
      <c r="W34" s="1612"/>
      <c r="X34" s="1612"/>
      <c r="Y34" s="1612"/>
      <c r="Z34" s="1612"/>
      <c r="AA34" s="1612"/>
      <c r="AB34" s="2300"/>
      <c r="AC34" s="2299"/>
      <c r="AD34" s="1612"/>
      <c r="AE34" s="1612"/>
      <c r="AF34" s="1612"/>
      <c r="AG34" s="1612"/>
      <c r="AH34" s="1612"/>
      <c r="AI34" s="1612"/>
      <c r="AJ34" s="1612"/>
      <c r="AK34" s="1613"/>
    </row>
    <row r="35" spans="1:37" s="391" customFormat="1" ht="12.75" customHeight="1">
      <c r="A35" s="432"/>
      <c r="B35" s="431"/>
      <c r="C35" s="431"/>
      <c r="D35" s="431"/>
      <c r="E35" s="431"/>
      <c r="F35" s="431"/>
      <c r="G35" s="430"/>
      <c r="H35" s="430"/>
      <c r="I35" s="430"/>
      <c r="J35" s="430"/>
      <c r="K35" s="429"/>
      <c r="L35" s="2299"/>
      <c r="M35" s="1612"/>
      <c r="N35" s="1612"/>
      <c r="O35" s="1612"/>
      <c r="P35" s="1612"/>
      <c r="Q35" s="1612"/>
      <c r="R35" s="1612"/>
      <c r="S35" s="1612"/>
      <c r="T35" s="2300"/>
      <c r="U35" s="1612"/>
      <c r="V35" s="1612"/>
      <c r="W35" s="1612"/>
      <c r="X35" s="1612"/>
      <c r="Y35" s="1612"/>
      <c r="Z35" s="1612"/>
      <c r="AA35" s="1612"/>
      <c r="AB35" s="2300"/>
      <c r="AC35" s="2299"/>
      <c r="AD35" s="1612"/>
      <c r="AE35" s="1612"/>
      <c r="AF35" s="1612"/>
      <c r="AG35" s="1612"/>
      <c r="AH35" s="1612"/>
      <c r="AI35" s="1612"/>
      <c r="AJ35" s="1612"/>
      <c r="AK35" s="1613"/>
    </row>
    <row r="36" spans="1:37" s="391" customFormat="1">
      <c r="A36" s="403" t="s">
        <v>1099</v>
      </c>
      <c r="B36" s="402"/>
      <c r="C36" s="402"/>
      <c r="D36" s="402"/>
      <c r="E36" s="402"/>
      <c r="F36" s="402"/>
      <c r="G36" s="428"/>
      <c r="H36" s="428"/>
      <c r="I36" s="428"/>
      <c r="J36" s="428"/>
      <c r="K36" s="427"/>
      <c r="L36" s="426"/>
      <c r="M36" s="426"/>
      <c r="N36" s="426"/>
      <c r="O36" s="426"/>
      <c r="P36" s="426"/>
      <c r="Q36" s="426"/>
      <c r="R36" s="426"/>
      <c r="S36" s="402"/>
      <c r="T36" s="424"/>
      <c r="U36" s="425"/>
      <c r="V36" s="425"/>
      <c r="W36" s="425"/>
      <c r="X36" s="425"/>
      <c r="Y36" s="425"/>
      <c r="Z36" s="399"/>
      <c r="AA36" s="425"/>
      <c r="AB36" s="424"/>
      <c r="AC36" s="423"/>
      <c r="AD36" s="422"/>
      <c r="AE36" s="422"/>
      <c r="AF36" s="422"/>
      <c r="AG36" s="422"/>
      <c r="AH36" s="422"/>
      <c r="AI36" s="422"/>
      <c r="AJ36" s="422"/>
      <c r="AK36" s="421"/>
    </row>
    <row r="37" spans="1:37" s="391" customFormat="1" ht="19.5" customHeight="1">
      <c r="A37" s="420" t="str">
        <f>IF('Input data'!$F$36="","",LEFT(TEXT('Input data'!$F$36,"dd.mm.yyyy"),1))</f>
        <v/>
      </c>
      <c r="B37" s="419" t="str">
        <f>IF('Input data'!$F$36="","",MID(TEXT('Input data'!$F$36,"dd.mm.yyyy"),2,1))</f>
        <v/>
      </c>
      <c r="C37" s="418" t="s">
        <v>1063</v>
      </c>
      <c r="D37" s="419" t="str">
        <f>IF('Input data'!$F$36="","",MID(TEXT('Input data'!$F$36,"dd.mm.yyyy"),4,1))</f>
        <v/>
      </c>
      <c r="E37" s="419" t="str">
        <f>IF('Input data'!$F$36="","",MID(TEXT('Input data'!$F$36,"dd.mm.yyyy"),5,1))</f>
        <v/>
      </c>
      <c r="F37" s="418" t="s">
        <v>1063</v>
      </c>
      <c r="G37" s="417" t="str">
        <f>IF('Input data'!$F$36="","",MID(TEXT('Input data'!$F$36,"dd.mm.yyyy"),7,1))</f>
        <v/>
      </c>
      <c r="H37" s="417" t="str">
        <f>IF('Input data'!$F$36="","",MID(TEXT('Input data'!$F$36,"dd.mm.yyyy"),8,1))</f>
        <v/>
      </c>
      <c r="I37" s="417" t="str">
        <f>IF('Input data'!$F$36="","",MID(TEXT('Input data'!$F$36,"dd.mm.yyyy"),9,1))</f>
        <v/>
      </c>
      <c r="J37" s="417" t="str">
        <f>IF('Input data'!$F$36="","",MID(TEXT('Input data'!$F$36,"dd.mm.yyyy"),10,1))</f>
        <v/>
      </c>
      <c r="K37" s="416"/>
      <c r="L37" s="415"/>
      <c r="M37" s="414"/>
      <c r="N37" s="414"/>
      <c r="O37" s="414"/>
      <c r="P37" s="414"/>
      <c r="Q37" s="414"/>
      <c r="R37" s="414"/>
      <c r="S37" s="414"/>
      <c r="T37" s="413"/>
      <c r="U37" s="415"/>
      <c r="V37" s="414"/>
      <c r="W37" s="414"/>
      <c r="X37" s="414"/>
      <c r="Y37" s="414"/>
      <c r="Z37" s="414"/>
      <c r="AA37" s="414"/>
      <c r="AB37" s="413"/>
      <c r="AC37" s="399"/>
      <c r="AD37" s="399"/>
      <c r="AE37" s="399"/>
      <c r="AF37" s="399"/>
      <c r="AG37" s="399"/>
      <c r="AH37" s="399"/>
      <c r="AI37" s="399"/>
      <c r="AJ37" s="399"/>
      <c r="AK37" s="398"/>
    </row>
    <row r="38" spans="1:37" s="397" customFormat="1" thickBot="1">
      <c r="A38" s="412"/>
      <c r="B38" s="411"/>
      <c r="C38" s="411"/>
      <c r="D38" s="411"/>
      <c r="E38" s="411"/>
      <c r="F38" s="411"/>
      <c r="G38" s="411"/>
      <c r="H38" s="411"/>
      <c r="I38" s="411"/>
      <c r="J38" s="411"/>
      <c r="K38" s="410"/>
      <c r="L38" s="2301">
        <f>'Input data'!F40</f>
        <v>0</v>
      </c>
      <c r="M38" s="2302"/>
      <c r="N38" s="2302"/>
      <c r="O38" s="2302"/>
      <c r="P38" s="2302"/>
      <c r="Q38" s="2302"/>
      <c r="R38" s="2302"/>
      <c r="S38" s="2302"/>
      <c r="T38" s="2303"/>
      <c r="U38" s="2301" t="e">
        <f>'Input data'!#REF!</f>
        <v>#REF!</v>
      </c>
      <c r="V38" s="2302"/>
      <c r="W38" s="2302"/>
      <c r="X38" s="2302"/>
      <c r="Y38" s="2302"/>
      <c r="Z38" s="2302"/>
      <c r="AA38" s="2302"/>
      <c r="AB38" s="2303"/>
      <c r="AC38" s="2304" t="e">
        <f>'Input data'!#REF!</f>
        <v>#REF!</v>
      </c>
      <c r="AD38" s="2302"/>
      <c r="AE38" s="2302"/>
      <c r="AF38" s="2302"/>
      <c r="AG38" s="2302"/>
      <c r="AH38" s="2302"/>
      <c r="AI38" s="2302"/>
      <c r="AJ38" s="2302"/>
      <c r="AK38" s="2305"/>
    </row>
    <row r="39" spans="1:37" s="397" customFormat="1">
      <c r="W39" s="392"/>
      <c r="X39" s="392"/>
      <c r="Y39" s="392"/>
      <c r="Z39" s="392"/>
      <c r="AA39" s="392"/>
      <c r="AB39" s="392"/>
      <c r="AC39" s="392"/>
      <c r="AD39" s="392"/>
      <c r="AE39" s="392"/>
      <c r="AF39" s="392"/>
      <c r="AG39" s="392"/>
      <c r="AH39" s="392"/>
      <c r="AI39" s="392"/>
      <c r="AJ39" s="392"/>
      <c r="AK39" s="392"/>
    </row>
    <row r="40" spans="1:37" s="397" customFormat="1" ht="12.75" customHeight="1">
      <c r="W40" s="392"/>
      <c r="X40" s="392"/>
      <c r="Y40" s="392"/>
      <c r="Z40" s="392"/>
      <c r="AA40" s="392"/>
      <c r="AB40" s="392"/>
      <c r="AC40" s="392"/>
      <c r="AD40" s="392"/>
      <c r="AE40" s="392"/>
      <c r="AF40" s="392"/>
      <c r="AG40" s="392"/>
      <c r="AH40" s="392"/>
      <c r="AI40" s="392"/>
      <c r="AJ40" s="392"/>
      <c r="AK40" s="392"/>
    </row>
    <row r="41" spans="1:37" s="397" customFormat="1">
      <c r="W41" s="392"/>
      <c r="X41" s="392"/>
      <c r="Y41" s="392"/>
      <c r="Z41" s="392"/>
      <c r="AA41" s="392"/>
      <c r="AB41" s="392"/>
      <c r="AC41" s="392"/>
      <c r="AD41" s="392"/>
      <c r="AE41" s="392"/>
      <c r="AF41" s="392"/>
      <c r="AG41" s="392"/>
      <c r="AH41" s="392"/>
      <c r="AI41" s="392"/>
      <c r="AJ41" s="392"/>
      <c r="AK41" s="392"/>
    </row>
    <row r="42" spans="1:37" ht="13.5" thickBot="1">
      <c r="W42" s="392"/>
      <c r="X42" s="392"/>
      <c r="Y42" s="392"/>
      <c r="Z42" s="392"/>
      <c r="AA42" s="392"/>
      <c r="AB42" s="392"/>
      <c r="AC42" s="392"/>
      <c r="AD42" s="392"/>
      <c r="AE42" s="392"/>
      <c r="AF42" s="392"/>
      <c r="AG42" s="392"/>
      <c r="AH42" s="392"/>
      <c r="AI42" s="392"/>
      <c r="AJ42" s="392"/>
      <c r="AK42" s="392"/>
    </row>
    <row r="43" spans="1:37" s="397" customFormat="1">
      <c r="B43" s="409" t="s">
        <v>1100</v>
      </c>
      <c r="C43" s="408"/>
      <c r="D43" s="408"/>
      <c r="E43" s="408"/>
      <c r="F43" s="408"/>
      <c r="G43" s="408"/>
      <c r="H43" s="408"/>
      <c r="I43" s="408"/>
      <c r="J43" s="408"/>
      <c r="K43" s="408"/>
      <c r="L43" s="408"/>
      <c r="M43" s="408"/>
      <c r="N43" s="408"/>
      <c r="O43" s="408"/>
      <c r="P43" s="408"/>
      <c r="Q43" s="408"/>
      <c r="R43" s="408"/>
      <c r="S43" s="408"/>
      <c r="T43" s="408"/>
      <c r="U43" s="408"/>
      <c r="V43" s="408"/>
      <c r="W43" s="407"/>
      <c r="X43" s="407"/>
      <c r="Y43" s="407"/>
      <c r="Z43" s="407"/>
      <c r="AA43" s="407"/>
      <c r="AB43" s="407"/>
      <c r="AC43" s="407"/>
      <c r="AD43" s="407"/>
      <c r="AE43" s="407"/>
      <c r="AF43" s="407"/>
      <c r="AG43" s="407"/>
      <c r="AH43" s="407"/>
      <c r="AI43" s="407"/>
      <c r="AJ43" s="406"/>
      <c r="AK43" s="392"/>
    </row>
    <row r="44" spans="1:37" s="397" customFormat="1">
      <c r="B44" s="401"/>
      <c r="C44" s="400"/>
      <c r="D44" s="400"/>
      <c r="E44" s="400"/>
      <c r="F44" s="400"/>
      <c r="G44" s="400"/>
      <c r="H44" s="400"/>
      <c r="I44" s="400"/>
      <c r="J44" s="400"/>
      <c r="K44" s="400"/>
      <c r="L44" s="400"/>
      <c r="M44" s="400"/>
      <c r="N44" s="400"/>
      <c r="O44" s="400"/>
      <c r="P44" s="400"/>
      <c r="Q44" s="400"/>
      <c r="R44" s="400"/>
      <c r="S44" s="400"/>
      <c r="T44" s="400"/>
      <c r="U44" s="400"/>
      <c r="V44" s="400"/>
      <c r="W44" s="399"/>
      <c r="X44" s="399"/>
      <c r="Y44" s="399"/>
      <c r="Z44" s="399"/>
      <c r="AA44" s="399"/>
      <c r="AB44" s="399"/>
      <c r="AC44" s="399"/>
      <c r="AD44" s="399"/>
      <c r="AE44" s="399"/>
      <c r="AF44" s="399"/>
      <c r="AG44" s="399"/>
      <c r="AH44" s="399"/>
      <c r="AI44" s="399"/>
      <c r="AJ44" s="398"/>
      <c r="AK44" s="392"/>
    </row>
    <row r="45" spans="1:37" ht="12.75" customHeight="1">
      <c r="B45" s="405"/>
      <c r="C45" s="900"/>
      <c r="D45" s="900"/>
      <c r="E45" s="900"/>
      <c r="F45" s="900"/>
      <c r="G45" s="900"/>
      <c r="H45" s="900"/>
      <c r="I45" s="900"/>
      <c r="J45" s="900"/>
      <c r="K45" s="900"/>
      <c r="L45" s="900"/>
      <c r="M45" s="900"/>
      <c r="N45" s="900"/>
      <c r="O45" s="900"/>
      <c r="P45" s="900"/>
      <c r="Q45" s="900"/>
      <c r="R45" s="900"/>
      <c r="S45" s="900"/>
      <c r="T45" s="900"/>
      <c r="U45" s="900"/>
      <c r="V45" s="900"/>
      <c r="W45" s="399"/>
      <c r="X45" s="399"/>
      <c r="Y45" s="399"/>
      <c r="Z45" s="399"/>
      <c r="AA45" s="399"/>
      <c r="AB45" s="399"/>
      <c r="AC45" s="399"/>
      <c r="AD45" s="399"/>
      <c r="AE45" s="399"/>
      <c r="AF45" s="399"/>
      <c r="AG45" s="399"/>
      <c r="AH45" s="399"/>
      <c r="AI45" s="399"/>
      <c r="AJ45" s="398"/>
      <c r="AK45" s="392"/>
    </row>
    <row r="46" spans="1:37" s="397" customFormat="1">
      <c r="B46" s="401"/>
      <c r="C46" s="400"/>
      <c r="D46" s="400"/>
      <c r="E46" s="400"/>
      <c r="F46" s="400"/>
      <c r="G46" s="400"/>
      <c r="H46" s="400"/>
      <c r="I46" s="400"/>
      <c r="J46" s="400"/>
      <c r="K46" s="400"/>
      <c r="L46" s="400"/>
      <c r="M46" s="400"/>
      <c r="N46" s="400"/>
      <c r="O46" s="400"/>
      <c r="P46" s="400"/>
      <c r="Q46" s="400"/>
      <c r="R46" s="400"/>
      <c r="S46" s="400"/>
      <c r="T46" s="400"/>
      <c r="U46" s="400"/>
      <c r="V46" s="400"/>
      <c r="W46" s="399"/>
      <c r="X46" s="399"/>
      <c r="Y46" s="399"/>
      <c r="Z46" s="399"/>
      <c r="AA46" s="399"/>
      <c r="AB46" s="399"/>
      <c r="AC46" s="399"/>
      <c r="AD46" s="399"/>
      <c r="AE46" s="399"/>
      <c r="AF46" s="399"/>
      <c r="AG46" s="399"/>
      <c r="AH46" s="399"/>
      <c r="AI46" s="399"/>
      <c r="AJ46" s="398"/>
      <c r="AK46" s="392"/>
    </row>
    <row r="47" spans="1:37" s="391" customFormat="1">
      <c r="B47" s="403"/>
      <c r="C47" s="402"/>
      <c r="D47" s="402"/>
      <c r="E47" s="402"/>
      <c r="F47" s="402"/>
      <c r="G47" s="402"/>
      <c r="H47" s="402"/>
      <c r="I47" s="402"/>
      <c r="J47" s="402"/>
      <c r="K47" s="402"/>
      <c r="L47" s="402"/>
      <c r="M47" s="402"/>
      <c r="N47" s="402"/>
      <c r="O47" s="402"/>
      <c r="P47" s="402"/>
      <c r="Q47" s="402"/>
      <c r="R47" s="402"/>
      <c r="S47" s="402"/>
      <c r="T47" s="402"/>
      <c r="U47" s="402"/>
      <c r="V47" s="402"/>
      <c r="W47" s="399"/>
      <c r="X47" s="399"/>
      <c r="Y47" s="399"/>
      <c r="Z47" s="399"/>
      <c r="AA47" s="399"/>
      <c r="AB47" s="399"/>
      <c r="AC47" s="399"/>
      <c r="AD47" s="399"/>
      <c r="AE47" s="399"/>
      <c r="AF47" s="399"/>
      <c r="AG47" s="399"/>
      <c r="AH47" s="399"/>
      <c r="AI47" s="399"/>
      <c r="AJ47" s="398"/>
      <c r="AK47" s="392"/>
    </row>
    <row r="48" spans="1:37" s="391" customFormat="1">
      <c r="B48" s="403"/>
      <c r="C48" s="402"/>
      <c r="D48" s="402"/>
      <c r="E48" s="402"/>
      <c r="F48" s="402"/>
      <c r="G48" s="402"/>
      <c r="H48" s="402"/>
      <c r="I48" s="402"/>
      <c r="J48" s="402"/>
      <c r="K48" s="402"/>
      <c r="L48" s="402"/>
      <c r="M48" s="402"/>
      <c r="N48" s="402"/>
      <c r="O48" s="402"/>
      <c r="P48" s="402"/>
      <c r="Q48" s="402"/>
      <c r="R48" s="402"/>
      <c r="S48" s="402"/>
      <c r="T48" s="402"/>
      <c r="U48" s="402"/>
      <c r="V48" s="402"/>
      <c r="W48" s="399"/>
      <c r="X48" s="399"/>
      <c r="Y48" s="399"/>
      <c r="Z48" s="399"/>
      <c r="AA48" s="399"/>
      <c r="AB48" s="399"/>
      <c r="AC48" s="399"/>
      <c r="AD48" s="399"/>
      <c r="AE48" s="399"/>
      <c r="AF48" s="399"/>
      <c r="AG48" s="399"/>
      <c r="AH48" s="399"/>
      <c r="AI48" s="399"/>
      <c r="AJ48" s="398"/>
      <c r="AK48" s="392"/>
    </row>
    <row r="49" spans="2:37" s="397" customFormat="1">
      <c r="B49" s="401"/>
      <c r="C49" s="400"/>
      <c r="D49" s="400"/>
      <c r="E49" s="400"/>
      <c r="F49" s="400"/>
      <c r="G49" s="400"/>
      <c r="H49" s="400"/>
      <c r="I49" s="400"/>
      <c r="J49" s="400"/>
      <c r="K49" s="400"/>
      <c r="L49" s="400"/>
      <c r="M49" s="400"/>
      <c r="N49" s="400"/>
      <c r="O49" s="400"/>
      <c r="P49" s="400"/>
      <c r="Q49" s="400"/>
      <c r="R49" s="400"/>
      <c r="S49" s="400"/>
      <c r="T49" s="400"/>
      <c r="U49" s="400"/>
      <c r="V49" s="400"/>
      <c r="W49" s="399"/>
      <c r="X49" s="399"/>
      <c r="Y49" s="399"/>
      <c r="Z49" s="399"/>
      <c r="AA49" s="399"/>
      <c r="AB49" s="399"/>
      <c r="AC49" s="399"/>
      <c r="AD49" s="399"/>
      <c r="AE49" s="399"/>
      <c r="AF49" s="399"/>
      <c r="AG49" s="399"/>
      <c r="AH49" s="399"/>
      <c r="AI49" s="399"/>
      <c r="AJ49" s="398"/>
      <c r="AK49" s="392"/>
    </row>
    <row r="50" spans="2:37" s="397" customFormat="1">
      <c r="B50" s="401"/>
      <c r="C50" s="400"/>
      <c r="D50" s="400"/>
      <c r="E50" s="400"/>
      <c r="F50" s="400"/>
      <c r="G50" s="400"/>
      <c r="H50" s="400"/>
      <c r="I50" s="400"/>
      <c r="J50" s="400"/>
      <c r="K50" s="400"/>
      <c r="L50" s="400"/>
      <c r="M50" s="400"/>
      <c r="N50" s="400"/>
      <c r="O50" s="400"/>
      <c r="P50" s="400"/>
      <c r="Q50" s="400"/>
      <c r="R50" s="400"/>
      <c r="S50" s="400"/>
      <c r="T50" s="400"/>
      <c r="U50" s="400"/>
      <c r="V50" s="400"/>
      <c r="W50" s="399"/>
      <c r="X50" s="399"/>
      <c r="Y50" s="399"/>
      <c r="Z50" s="399"/>
      <c r="AA50" s="399"/>
      <c r="AB50" s="399"/>
      <c r="AC50" s="399"/>
      <c r="AD50" s="399"/>
      <c r="AE50" s="399"/>
      <c r="AF50" s="399"/>
      <c r="AG50" s="399"/>
      <c r="AH50" s="399"/>
      <c r="AI50" s="399"/>
      <c r="AJ50" s="398"/>
      <c r="AK50" s="392"/>
    </row>
    <row r="51" spans="2:37" s="397" customFormat="1">
      <c r="B51" s="401"/>
      <c r="C51" s="400"/>
      <c r="D51" s="400"/>
      <c r="E51" s="400"/>
      <c r="F51" s="400"/>
      <c r="G51" s="400"/>
      <c r="H51" s="400"/>
      <c r="I51" s="400"/>
      <c r="J51" s="400"/>
      <c r="K51" s="400"/>
      <c r="L51" s="400"/>
      <c r="M51" s="400"/>
      <c r="N51" s="400"/>
      <c r="O51" s="400"/>
      <c r="P51" s="400"/>
      <c r="Q51" s="400"/>
      <c r="R51" s="400"/>
      <c r="S51" s="400"/>
      <c r="T51" s="400"/>
      <c r="U51" s="400"/>
      <c r="V51" s="400"/>
      <c r="W51" s="399"/>
      <c r="X51" s="399"/>
      <c r="Y51" s="399"/>
      <c r="Z51" s="399"/>
      <c r="AA51" s="399"/>
      <c r="AB51" s="399"/>
      <c r="AC51" s="399"/>
      <c r="AD51" s="399"/>
      <c r="AE51" s="399"/>
      <c r="AF51" s="399"/>
      <c r="AG51" s="399"/>
      <c r="AH51" s="399"/>
      <c r="AI51" s="399"/>
      <c r="AJ51" s="398"/>
      <c r="AK51" s="392"/>
    </row>
    <row r="52" spans="2:37" s="397" customFormat="1">
      <c r="B52" s="401"/>
      <c r="C52" s="400"/>
      <c r="D52" s="400"/>
      <c r="E52" s="400"/>
      <c r="F52" s="400"/>
      <c r="G52" s="400"/>
      <c r="H52" s="400"/>
      <c r="I52" s="400"/>
      <c r="J52" s="400"/>
      <c r="K52" s="400"/>
      <c r="L52" s="400"/>
      <c r="M52" s="400"/>
      <c r="N52" s="400"/>
      <c r="O52" s="400"/>
      <c r="P52" s="400"/>
      <c r="Q52" s="400"/>
      <c r="R52" s="400"/>
      <c r="S52" s="400"/>
      <c r="T52" s="400"/>
      <c r="U52" s="400"/>
      <c r="V52" s="400"/>
      <c r="W52" s="399"/>
      <c r="X52" s="399"/>
      <c r="Y52" s="399"/>
      <c r="Z52" s="399"/>
      <c r="AA52" s="399"/>
      <c r="AB52" s="399"/>
      <c r="AC52" s="399"/>
      <c r="AD52" s="399"/>
      <c r="AE52" s="399"/>
      <c r="AF52" s="399"/>
      <c r="AG52" s="399"/>
      <c r="AH52" s="399"/>
      <c r="AI52" s="399"/>
      <c r="AJ52" s="398"/>
      <c r="AK52" s="392"/>
    </row>
    <row r="53" spans="2:37" s="391" customFormat="1" ht="13.5" thickBot="1">
      <c r="B53" s="396"/>
      <c r="C53" s="395"/>
      <c r="D53" s="395"/>
      <c r="E53" s="395"/>
      <c r="F53" s="395"/>
      <c r="G53" s="395" t="s">
        <v>1101</v>
      </c>
      <c r="H53" s="395"/>
      <c r="I53" s="395"/>
      <c r="J53" s="395"/>
      <c r="K53" s="395"/>
      <c r="L53" s="395"/>
      <c r="M53" s="395"/>
      <c r="N53" s="395"/>
      <c r="O53" s="395"/>
      <c r="P53" s="395"/>
      <c r="Q53" s="395"/>
      <c r="R53" s="395"/>
      <c r="S53" s="395"/>
      <c r="T53" s="395"/>
      <c r="U53" s="395" t="s">
        <v>1102</v>
      </c>
      <c r="V53" s="395"/>
      <c r="W53" s="394"/>
      <c r="X53" s="394"/>
      <c r="Y53" s="394"/>
      <c r="Z53" s="394"/>
      <c r="AA53" s="394"/>
      <c r="AB53" s="394"/>
      <c r="AC53" s="394"/>
      <c r="AD53" s="394"/>
      <c r="AE53" s="394"/>
      <c r="AF53" s="394"/>
      <c r="AG53" s="394"/>
      <c r="AH53" s="394"/>
      <c r="AI53" s="394"/>
      <c r="AJ53" s="393"/>
      <c r="AK53" s="392"/>
    </row>
  </sheetData>
  <mergeCells count="6">
    <mergeCell ref="L33:T35"/>
    <mergeCell ref="U33:AB35"/>
    <mergeCell ref="AC33:AK35"/>
    <mergeCell ref="L38:T38"/>
    <mergeCell ref="U38:AB38"/>
    <mergeCell ref="AC38:AK38"/>
  </mergeCells>
  <pageMargins left="0.39370078740157483" right="0.39370078740157483" top="0.35433070866141736" bottom="0.35433070866141736" header="0.23622047244094491" footer="0.23622047244094491"/>
  <pageSetup scale="99" orientation="portrait" r:id="rId1"/>
  <headerFooter alignWithMargins="0">
    <oddFooter>&amp;LMF SR č. 25947/1/2010&amp;RStrana 1</odd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O213"/>
  <sheetViews>
    <sheetView showGridLines="0" view="pageBreakPreview" zoomScaleNormal="100" zoomScaleSheetLayoutView="100" workbookViewId="0">
      <selection activeCell="H11" sqref="H11:K11"/>
    </sheetView>
  </sheetViews>
  <sheetFormatPr defaultColWidth="9.140625" defaultRowHeight="11.25"/>
  <cols>
    <col min="1" max="1" width="5.5703125" style="502" customWidth="1"/>
    <col min="2" max="2" width="18.7109375" style="502" customWidth="1"/>
    <col min="3" max="3" width="1.42578125" style="502" customWidth="1"/>
    <col min="4" max="4" width="3.7109375" style="502" customWidth="1"/>
    <col min="5" max="5" width="3.5703125" style="502" customWidth="1"/>
    <col min="6" max="6" width="12.42578125" style="502" customWidth="1"/>
    <col min="7" max="7" width="12.140625" style="502" customWidth="1"/>
    <col min="8" max="8" width="1.42578125" style="502" customWidth="1"/>
    <col min="9" max="9" width="3.7109375" style="502" customWidth="1"/>
    <col min="10" max="10" width="3.5703125" style="502" customWidth="1"/>
    <col min="11" max="11" width="10.5703125" style="502" customWidth="1"/>
    <col min="12" max="12" width="14.42578125" style="502" customWidth="1"/>
    <col min="13" max="16384" width="9.140625" style="502"/>
  </cols>
  <sheetData>
    <row r="1" spans="1:15" ht="9.75" customHeight="1">
      <c r="A1" s="501"/>
      <c r="B1" s="502" t="s">
        <v>2398</v>
      </c>
      <c r="C1" s="445"/>
      <c r="G1" s="445"/>
      <c r="H1" s="445"/>
      <c r="I1" s="445"/>
      <c r="J1" s="445"/>
      <c r="K1" s="445"/>
    </row>
    <row r="2" spans="1:15" ht="23.25" customHeight="1">
      <c r="A2" s="501"/>
      <c r="B2" s="1166" t="s">
        <v>2399</v>
      </c>
      <c r="C2" s="1169"/>
      <c r="D2" s="525" t="s">
        <v>1231</v>
      </c>
      <c r="E2" s="524" t="str">
        <f>"  "&amp;'SK Cover sheet'!A11&amp;"  "&amp;'SK Cover sheet'!B11&amp;"  "&amp;'SK Cover sheet'!C11&amp;"  "&amp;'SK Cover sheet'!D11&amp;"  "&amp;'SK Cover sheet'!E11&amp;"  "&amp;'SK Cover sheet'!F11&amp;"  "&amp;'SK Cover sheet'!G11&amp;"  "&amp;'SK Cover sheet'!H11&amp;"  "&amp;'SK Cover sheet'!I11&amp;"  "&amp;'SK Cover sheet'!J11</f>
        <v xml:space="preserve">  2  0  2  0  3  1  9  8  2  9</v>
      </c>
      <c r="F2" s="523"/>
      <c r="G2" s="522"/>
      <c r="H2" s="1175"/>
      <c r="I2" s="522" t="s">
        <v>1074</v>
      </c>
      <c r="J2" s="1034" t="str">
        <f>"  "&amp;'SK Cover sheet'!A13&amp;"  "&amp;'SK Cover sheet'!B13&amp;"  "&amp;'SK Cover sheet'!C13&amp;"  "&amp;'SK Cover sheet'!D13&amp;"  "&amp;'SK Cover sheet'!E13&amp;"  "&amp;'SK Cover sheet'!F13&amp;"  "&amp;'SK Cover sheet'!G13&amp;"  "&amp;'SK Cover sheet'!H13&amp;" "</f>
        <v xml:space="preserve">  3  1  3  6  5  5  0  7 </v>
      </c>
      <c r="K2" s="1167"/>
      <c r="L2" s="1168"/>
    </row>
    <row r="3" spans="1:15" ht="2.25" customHeight="1" thickBot="1">
      <c r="A3" s="501"/>
      <c r="C3" s="580"/>
      <c r="D3" s="580"/>
      <c r="F3" s="580"/>
      <c r="G3" s="580"/>
      <c r="H3" s="580"/>
      <c r="I3" s="580"/>
    </row>
    <row r="4" spans="1:15" s="519" customFormat="1" ht="11.25" customHeight="1">
      <c r="A4" s="2368" t="s">
        <v>1137</v>
      </c>
      <c r="B4" s="2369" t="s">
        <v>1181</v>
      </c>
      <c r="C4" s="2371" t="s">
        <v>1135</v>
      </c>
      <c r="D4" s="2372"/>
      <c r="E4" s="2322" t="s">
        <v>2</v>
      </c>
      <c r="F4" s="2346"/>
      <c r="G4" s="2346"/>
      <c r="H4" s="2346"/>
      <c r="I4" s="2346"/>
      <c r="J4" s="2326"/>
      <c r="K4" s="2384" t="s">
        <v>1180</v>
      </c>
      <c r="L4" s="2385"/>
    </row>
    <row r="5" spans="1:15" s="519" customFormat="1" ht="11.25" customHeight="1">
      <c r="A5" s="2335"/>
      <c r="B5" s="2343"/>
      <c r="C5" s="2371"/>
      <c r="D5" s="2372"/>
      <c r="E5" s="2347">
        <v>1</v>
      </c>
      <c r="F5" s="2343" t="s">
        <v>1179</v>
      </c>
      <c r="G5" s="2343"/>
      <c r="H5" s="2388" t="s">
        <v>1178</v>
      </c>
      <c r="I5" s="2389"/>
      <c r="J5" s="2390"/>
      <c r="K5" s="2324"/>
      <c r="L5" s="2325"/>
    </row>
    <row r="6" spans="1:15" s="519" customFormat="1" ht="12" customHeight="1">
      <c r="A6" s="2335"/>
      <c r="B6" s="2343"/>
      <c r="C6" s="2373"/>
      <c r="D6" s="2374"/>
      <c r="E6" s="2347"/>
      <c r="F6" s="2343" t="s">
        <v>1177</v>
      </c>
      <c r="G6" s="2343"/>
      <c r="H6" s="2332"/>
      <c r="I6" s="2391"/>
      <c r="J6" s="2392"/>
      <c r="K6" s="2332" t="s">
        <v>1176</v>
      </c>
      <c r="L6" s="2333"/>
    </row>
    <row r="7" spans="1:15" s="521" customFormat="1" ht="27.95" customHeight="1">
      <c r="A7" s="2370"/>
      <c r="B7" s="2351" t="s">
        <v>2400</v>
      </c>
      <c r="C7" s="2309" t="s">
        <v>522</v>
      </c>
      <c r="D7" s="2310"/>
      <c r="E7" s="2320">
        <f>BS!E10</f>
        <v>1082227</v>
      </c>
      <c r="F7" s="2320"/>
      <c r="G7" s="2320"/>
      <c r="H7" s="2306">
        <f>E7-E8</f>
        <v>-3723641</v>
      </c>
      <c r="I7" s="2307"/>
      <c r="J7" s="2307"/>
      <c r="K7" s="2308"/>
      <c r="L7" s="520"/>
    </row>
    <row r="8" spans="1:15" s="521" customFormat="1" ht="27.95" customHeight="1">
      <c r="A8" s="2370"/>
      <c r="B8" s="2351"/>
      <c r="C8" s="2311"/>
      <c r="D8" s="2312"/>
      <c r="E8" s="2320">
        <f>BS!F10</f>
        <v>4805868</v>
      </c>
      <c r="F8" s="2320"/>
      <c r="G8" s="2320"/>
      <c r="H8" s="2306"/>
      <c r="I8" s="2308"/>
      <c r="J8" s="2386">
        <f>BS!G10</f>
        <v>4632339</v>
      </c>
      <c r="K8" s="2387"/>
      <c r="L8" s="2321"/>
      <c r="O8" s="521" t="s">
        <v>1093</v>
      </c>
    </row>
    <row r="9" spans="1:15" s="521" customFormat="1" ht="27.95" customHeight="1">
      <c r="A9" s="2349" t="s">
        <v>523</v>
      </c>
      <c r="B9" s="1623" t="s">
        <v>2401</v>
      </c>
      <c r="C9" s="2309" t="s">
        <v>525</v>
      </c>
      <c r="D9" s="2310"/>
      <c r="E9" s="2317">
        <f>BS!E11</f>
        <v>1066273</v>
      </c>
      <c r="F9" s="2318"/>
      <c r="G9" s="2319"/>
      <c r="H9" s="2306">
        <f>E9-E10</f>
        <v>-963935</v>
      </c>
      <c r="I9" s="2307"/>
      <c r="J9" s="2307"/>
      <c r="K9" s="2308"/>
      <c r="L9" s="520"/>
    </row>
    <row r="10" spans="1:15" s="521" customFormat="1" ht="27.95" customHeight="1">
      <c r="A10" s="2349"/>
      <c r="B10" s="1623"/>
      <c r="C10" s="2311"/>
      <c r="D10" s="2312"/>
      <c r="E10" s="2317">
        <f>BS!F11</f>
        <v>2030208</v>
      </c>
      <c r="F10" s="2318"/>
      <c r="G10" s="2319"/>
      <c r="H10" s="2306"/>
      <c r="I10" s="2308"/>
      <c r="J10" s="2317">
        <f>BS!G11</f>
        <v>2030475</v>
      </c>
      <c r="K10" s="2318"/>
      <c r="L10" s="2321"/>
    </row>
    <row r="11" spans="1:15" s="521" customFormat="1" ht="27.95" customHeight="1">
      <c r="A11" s="2349" t="s">
        <v>526</v>
      </c>
      <c r="B11" s="1650" t="s">
        <v>2402</v>
      </c>
      <c r="C11" s="2309" t="s">
        <v>528</v>
      </c>
      <c r="D11" s="2310"/>
      <c r="E11" s="2320">
        <f>'BS old'!D12</f>
        <v>0</v>
      </c>
      <c r="F11" s="2320"/>
      <c r="G11" s="2320"/>
      <c r="H11" s="2306">
        <f>'BS old'!F12</f>
        <v>0</v>
      </c>
      <c r="I11" s="2307"/>
      <c r="J11" s="2307"/>
      <c r="K11" s="2308"/>
      <c r="L11" s="520"/>
    </row>
    <row r="12" spans="1:15" s="521" customFormat="1" ht="27.95" customHeight="1">
      <c r="A12" s="2349"/>
      <c r="B12" s="1651"/>
      <c r="C12" s="2311"/>
      <c r="D12" s="2312"/>
      <c r="E12" s="2320">
        <f>'BS old'!E12</f>
        <v>0</v>
      </c>
      <c r="F12" s="2320"/>
      <c r="G12" s="2320"/>
      <c r="H12" s="1176"/>
      <c r="I12" s="1177"/>
      <c r="J12" s="2317">
        <f>'BS old'!G12</f>
        <v>0</v>
      </c>
      <c r="K12" s="2318"/>
      <c r="L12" s="2321"/>
    </row>
    <row r="13" spans="1:15" s="519" customFormat="1" ht="27.95" customHeight="1">
      <c r="A13" s="2361" t="s">
        <v>529</v>
      </c>
      <c r="B13" s="2339" t="s">
        <v>1230</v>
      </c>
      <c r="C13" s="2313" t="s">
        <v>531</v>
      </c>
      <c r="D13" s="2314"/>
      <c r="E13" s="2320">
        <f>'BS old'!D13</f>
        <v>0</v>
      </c>
      <c r="F13" s="2320"/>
      <c r="G13" s="2320"/>
      <c r="H13" s="2306">
        <f>'BS old'!F13</f>
        <v>0</v>
      </c>
      <c r="I13" s="2307"/>
      <c r="J13" s="2307"/>
      <c r="K13" s="2308"/>
      <c r="L13" s="520"/>
    </row>
    <row r="14" spans="1:15" s="519" customFormat="1" ht="27.95" customHeight="1">
      <c r="A14" s="2367"/>
      <c r="B14" s="2339"/>
      <c r="C14" s="2315"/>
      <c r="D14" s="2316"/>
      <c r="E14" s="2320">
        <f>'BS old'!E13</f>
        <v>0</v>
      </c>
      <c r="F14" s="2320"/>
      <c r="G14" s="2320"/>
      <c r="H14" s="1176"/>
      <c r="I14" s="1177"/>
      <c r="J14" s="2317">
        <f>'BS old'!G13</f>
        <v>0</v>
      </c>
      <c r="K14" s="2318"/>
      <c r="L14" s="2321"/>
    </row>
    <row r="15" spans="1:15" s="519" customFormat="1" ht="27.95" customHeight="1">
      <c r="A15" s="2337" t="s">
        <v>532</v>
      </c>
      <c r="B15" s="2339" t="s">
        <v>1229</v>
      </c>
      <c r="C15" s="2313" t="s">
        <v>534</v>
      </c>
      <c r="D15" s="2314"/>
      <c r="E15" s="2320">
        <f>'BS old'!D14</f>
        <v>0</v>
      </c>
      <c r="F15" s="2320"/>
      <c r="G15" s="2320"/>
      <c r="H15" s="2306">
        <f>'BS old'!F14</f>
        <v>0</v>
      </c>
      <c r="I15" s="2307"/>
      <c r="J15" s="2307"/>
      <c r="K15" s="2308"/>
      <c r="L15" s="520"/>
    </row>
    <row r="16" spans="1:15" s="519" customFormat="1" ht="27.95" customHeight="1">
      <c r="A16" s="2337"/>
      <c r="B16" s="2339"/>
      <c r="C16" s="2315"/>
      <c r="D16" s="2316"/>
      <c r="E16" s="2320">
        <f>'BS old'!E14</f>
        <v>0</v>
      </c>
      <c r="F16" s="2320"/>
      <c r="G16" s="2320"/>
      <c r="H16" s="1176"/>
      <c r="I16" s="1177"/>
      <c r="J16" s="2317">
        <f>'BS old'!G14</f>
        <v>0</v>
      </c>
      <c r="K16" s="2318"/>
      <c r="L16" s="2321"/>
    </row>
    <row r="17" spans="1:12" s="519" customFormat="1" ht="27.95" customHeight="1">
      <c r="A17" s="2337" t="s">
        <v>535</v>
      </c>
      <c r="B17" s="2339" t="s">
        <v>1228</v>
      </c>
      <c r="C17" s="2313" t="s">
        <v>537</v>
      </c>
      <c r="D17" s="2314"/>
      <c r="E17" s="2320">
        <f>'BS old'!D15</f>
        <v>0</v>
      </c>
      <c r="F17" s="2320"/>
      <c r="G17" s="2320"/>
      <c r="H17" s="2306">
        <f>'BS old'!F15</f>
        <v>0</v>
      </c>
      <c r="I17" s="2307"/>
      <c r="J17" s="2307"/>
      <c r="K17" s="2308"/>
      <c r="L17" s="520"/>
    </row>
    <row r="18" spans="1:12" s="519" customFormat="1" ht="27.95" customHeight="1">
      <c r="A18" s="2337"/>
      <c r="B18" s="2339"/>
      <c r="C18" s="2315"/>
      <c r="D18" s="2316"/>
      <c r="E18" s="2320">
        <f>'BS old'!E15</f>
        <v>0</v>
      </c>
      <c r="F18" s="2320"/>
      <c r="G18" s="2320"/>
      <c r="H18" s="1176"/>
      <c r="I18" s="1177"/>
      <c r="J18" s="2317">
        <f>'BS old'!G15</f>
        <v>0</v>
      </c>
      <c r="K18" s="2318"/>
      <c r="L18" s="2321"/>
    </row>
    <row r="19" spans="1:12" s="519" customFormat="1" ht="27.95" customHeight="1">
      <c r="A19" s="2337" t="s">
        <v>538</v>
      </c>
      <c r="B19" s="2339" t="s">
        <v>1227</v>
      </c>
      <c r="C19" s="2313" t="s">
        <v>540</v>
      </c>
      <c r="D19" s="2314"/>
      <c r="E19" s="2320">
        <f>'BS old'!D16</f>
        <v>0</v>
      </c>
      <c r="F19" s="2320"/>
      <c r="G19" s="2320"/>
      <c r="H19" s="2306">
        <f>'BS old'!F16</f>
        <v>0</v>
      </c>
      <c r="I19" s="2307"/>
      <c r="J19" s="2307"/>
      <c r="K19" s="2308"/>
      <c r="L19" s="520"/>
    </row>
    <row r="20" spans="1:12" s="519" customFormat="1" ht="27.95" customHeight="1">
      <c r="A20" s="2337"/>
      <c r="B20" s="2339"/>
      <c r="C20" s="2315"/>
      <c r="D20" s="2316"/>
      <c r="E20" s="2320">
        <f>'BS old'!E16</f>
        <v>0</v>
      </c>
      <c r="F20" s="2320"/>
      <c r="G20" s="2320"/>
      <c r="H20" s="1176"/>
      <c r="I20" s="1177"/>
      <c r="J20" s="2317">
        <f>'BS old'!G16</f>
        <v>0</v>
      </c>
      <c r="K20" s="2318"/>
      <c r="L20" s="2321"/>
    </row>
    <row r="21" spans="1:12" s="519" customFormat="1" ht="27.95" customHeight="1">
      <c r="A21" s="2337" t="s">
        <v>541</v>
      </c>
      <c r="B21" s="2339" t="s">
        <v>1226</v>
      </c>
      <c r="C21" s="2313" t="s">
        <v>543</v>
      </c>
      <c r="D21" s="2314"/>
      <c r="E21" s="2320">
        <f>'BS old'!D17</f>
        <v>0</v>
      </c>
      <c r="F21" s="2320"/>
      <c r="G21" s="2320"/>
      <c r="H21" s="2306">
        <f>'BS old'!F17</f>
        <v>0</v>
      </c>
      <c r="I21" s="2307"/>
      <c r="J21" s="2307"/>
      <c r="K21" s="2308"/>
      <c r="L21" s="520"/>
    </row>
    <row r="22" spans="1:12" s="519" customFormat="1" ht="27.95" customHeight="1">
      <c r="A22" s="2337"/>
      <c r="B22" s="2339"/>
      <c r="C22" s="2315"/>
      <c r="D22" s="2316"/>
      <c r="E22" s="2320">
        <f>'BS old'!E17</f>
        <v>0</v>
      </c>
      <c r="F22" s="2320"/>
      <c r="G22" s="2320"/>
      <c r="H22" s="1176"/>
      <c r="I22" s="1177"/>
      <c r="J22" s="2317">
        <f>'BS old'!G17</f>
        <v>0</v>
      </c>
      <c r="K22" s="2318"/>
      <c r="L22" s="2321"/>
    </row>
    <row r="23" spans="1:12" s="519" customFormat="1" ht="27.95" customHeight="1">
      <c r="A23" s="2337" t="s">
        <v>544</v>
      </c>
      <c r="B23" s="2339" t="s">
        <v>1225</v>
      </c>
      <c r="C23" s="2313" t="s">
        <v>546</v>
      </c>
      <c r="D23" s="2314"/>
      <c r="E23" s="2320">
        <f>'BS old'!D18</f>
        <v>0</v>
      </c>
      <c r="F23" s="2320"/>
      <c r="G23" s="2320"/>
      <c r="H23" s="2306">
        <f>'BS old'!F18</f>
        <v>0</v>
      </c>
      <c r="I23" s="2307"/>
      <c r="J23" s="2307"/>
      <c r="K23" s="2308"/>
      <c r="L23" s="520"/>
    </row>
    <row r="24" spans="1:12" s="519" customFormat="1" ht="27.95" customHeight="1">
      <c r="A24" s="2337"/>
      <c r="B24" s="2339"/>
      <c r="C24" s="2315"/>
      <c r="D24" s="2316"/>
      <c r="E24" s="2320">
        <f>'BS old'!E18</f>
        <v>0</v>
      </c>
      <c r="F24" s="2320"/>
      <c r="G24" s="2320"/>
      <c r="H24" s="1176"/>
      <c r="I24" s="1177"/>
      <c r="J24" s="2317">
        <f>'BS old'!G18</f>
        <v>0</v>
      </c>
      <c r="K24" s="2318"/>
      <c r="L24" s="2321"/>
    </row>
    <row r="25" spans="1:12" s="519" customFormat="1" ht="27.95" customHeight="1">
      <c r="A25" s="2337" t="s">
        <v>547</v>
      </c>
      <c r="B25" s="2339" t="s">
        <v>1224</v>
      </c>
      <c r="C25" s="2313" t="s">
        <v>549</v>
      </c>
      <c r="D25" s="2314"/>
      <c r="E25" s="2320">
        <f>'BS old'!D19</f>
        <v>0</v>
      </c>
      <c r="F25" s="2320"/>
      <c r="G25" s="2320"/>
      <c r="H25" s="2306">
        <f>'BS old'!F19</f>
        <v>0</v>
      </c>
      <c r="I25" s="2307"/>
      <c r="J25" s="2307"/>
      <c r="K25" s="2308"/>
      <c r="L25" s="520"/>
    </row>
    <row r="26" spans="1:12" s="519" customFormat="1" ht="27.95" customHeight="1">
      <c r="A26" s="2337"/>
      <c r="B26" s="2339"/>
      <c r="C26" s="2315"/>
      <c r="D26" s="2316"/>
      <c r="E26" s="2320">
        <f>'BS old'!E19</f>
        <v>0</v>
      </c>
      <c r="F26" s="2320"/>
      <c r="G26" s="2320"/>
      <c r="H26" s="1176"/>
      <c r="I26" s="1177"/>
      <c r="J26" s="2317">
        <f>'BS old'!G19</f>
        <v>0</v>
      </c>
      <c r="K26" s="2318"/>
      <c r="L26" s="2321"/>
    </row>
    <row r="27" spans="1:12" s="521" customFormat="1" ht="27.95" customHeight="1">
      <c r="A27" s="2362" t="s">
        <v>550</v>
      </c>
      <c r="B27" s="2351" t="s">
        <v>1223</v>
      </c>
      <c r="C27" s="2309" t="s">
        <v>552</v>
      </c>
      <c r="D27" s="2310"/>
      <c r="E27" s="2320">
        <f>'BS old'!D20</f>
        <v>0</v>
      </c>
      <c r="F27" s="2320"/>
      <c r="G27" s="2320"/>
      <c r="H27" s="2306">
        <f>'BS old'!F20</f>
        <v>0</v>
      </c>
      <c r="I27" s="2307"/>
      <c r="J27" s="2307"/>
      <c r="K27" s="2308"/>
      <c r="L27" s="520"/>
    </row>
    <row r="28" spans="1:12" s="521" customFormat="1" ht="27.95" customHeight="1">
      <c r="A28" s="2349"/>
      <c r="B28" s="2351"/>
      <c r="C28" s="2311"/>
      <c r="D28" s="2312"/>
      <c r="E28" s="2320">
        <f>'BS old'!E20</f>
        <v>0</v>
      </c>
      <c r="F28" s="2320"/>
      <c r="G28" s="2320"/>
      <c r="H28" s="2306"/>
      <c r="I28" s="2308"/>
      <c r="J28" s="2317">
        <f>'BS old'!G20</f>
        <v>0</v>
      </c>
      <c r="K28" s="2318"/>
      <c r="L28" s="2321"/>
    </row>
    <row r="29" spans="1:12" s="519" customFormat="1" ht="27.95" customHeight="1">
      <c r="A29" s="2361" t="s">
        <v>553</v>
      </c>
      <c r="B29" s="2339" t="s">
        <v>1222</v>
      </c>
      <c r="C29" s="2313" t="s">
        <v>555</v>
      </c>
      <c r="D29" s="2314"/>
      <c r="E29" s="2320">
        <f>'BS old'!D21</f>
        <v>0</v>
      </c>
      <c r="F29" s="2320"/>
      <c r="G29" s="2320"/>
      <c r="H29" s="2306">
        <f>'BS old'!F21</f>
        <v>0</v>
      </c>
      <c r="I29" s="2307"/>
      <c r="J29" s="2307"/>
      <c r="K29" s="2308"/>
      <c r="L29" s="520"/>
    </row>
    <row r="30" spans="1:12" s="519" customFormat="1" ht="27.95" customHeight="1">
      <c r="A30" s="2348"/>
      <c r="B30" s="2339"/>
      <c r="C30" s="2315"/>
      <c r="D30" s="2316"/>
      <c r="E30" s="2320">
        <f>'BS old'!E21</f>
        <v>0</v>
      </c>
      <c r="F30" s="2320"/>
      <c r="G30" s="2320"/>
      <c r="H30" s="1176"/>
      <c r="I30" s="1177"/>
      <c r="J30" s="2317">
        <f>'BS old'!G21</f>
        <v>0</v>
      </c>
      <c r="K30" s="2318"/>
      <c r="L30" s="2321"/>
    </row>
    <row r="31" spans="1:12" s="519" customFormat="1" ht="27.95" customHeight="1">
      <c r="A31" s="2337" t="s">
        <v>532</v>
      </c>
      <c r="B31" s="2339" t="s">
        <v>1221</v>
      </c>
      <c r="C31" s="2313" t="s">
        <v>557</v>
      </c>
      <c r="D31" s="2314"/>
      <c r="E31" s="2320">
        <f>'BS old'!D22</f>
        <v>0</v>
      </c>
      <c r="F31" s="2320"/>
      <c r="G31" s="2320"/>
      <c r="H31" s="2306">
        <f>'BS old'!F22</f>
        <v>0</v>
      </c>
      <c r="I31" s="2307"/>
      <c r="J31" s="2307"/>
      <c r="K31" s="2308"/>
      <c r="L31" s="520"/>
    </row>
    <row r="32" spans="1:12" s="519" customFormat="1" ht="27.95" customHeight="1">
      <c r="A32" s="2337"/>
      <c r="B32" s="2339"/>
      <c r="C32" s="2315"/>
      <c r="D32" s="2316"/>
      <c r="E32" s="2320">
        <f>'BS old'!E22</f>
        <v>0</v>
      </c>
      <c r="F32" s="2320"/>
      <c r="G32" s="2320"/>
      <c r="H32" s="2306"/>
      <c r="I32" s="2308"/>
      <c r="J32" s="2317">
        <f>'BS old'!G22</f>
        <v>0</v>
      </c>
      <c r="K32" s="2318"/>
      <c r="L32" s="2321"/>
    </row>
    <row r="33" spans="1:12" s="519" customFormat="1" ht="11.25" customHeight="1">
      <c r="A33" s="2334" t="s">
        <v>1137</v>
      </c>
      <c r="B33" s="2342" t="s">
        <v>1181</v>
      </c>
      <c r="C33" s="1026"/>
      <c r="D33" s="2344" t="s">
        <v>1135</v>
      </c>
      <c r="E33" s="2324" t="s">
        <v>2</v>
      </c>
      <c r="F33" s="2346"/>
      <c r="G33" s="2346"/>
      <c r="H33" s="2346"/>
      <c r="I33" s="2346"/>
      <c r="J33" s="2327"/>
      <c r="K33" s="2328" t="s">
        <v>1180</v>
      </c>
      <c r="L33" s="2329"/>
    </row>
    <row r="34" spans="1:12" s="519" customFormat="1" ht="11.25" customHeight="1">
      <c r="A34" s="2335"/>
      <c r="B34" s="2343"/>
      <c r="C34" s="1027"/>
      <c r="D34" s="2345"/>
      <c r="E34" s="2347">
        <v>1</v>
      </c>
      <c r="F34" s="2343" t="s">
        <v>1179</v>
      </c>
      <c r="G34" s="2343"/>
      <c r="H34" s="1021"/>
      <c r="I34" s="2330" t="s">
        <v>1178</v>
      </c>
      <c r="J34" s="2331"/>
      <c r="K34" s="2324"/>
      <c r="L34" s="2325"/>
    </row>
    <row r="35" spans="1:12" s="519" customFormat="1" ht="12" customHeight="1">
      <c r="A35" s="2335"/>
      <c r="B35" s="2343"/>
      <c r="C35" s="1027"/>
      <c r="D35" s="2345"/>
      <c r="E35" s="2347"/>
      <c r="F35" s="2343" t="s">
        <v>1177</v>
      </c>
      <c r="G35" s="2343"/>
      <c r="H35" s="1023"/>
      <c r="I35" s="2388"/>
      <c r="J35" s="2390"/>
      <c r="K35" s="2332" t="s">
        <v>1176</v>
      </c>
      <c r="L35" s="2333"/>
    </row>
    <row r="36" spans="1:12" ht="27.95" customHeight="1">
      <c r="A36" s="2336" t="s">
        <v>535</v>
      </c>
      <c r="B36" s="2338" t="s">
        <v>1220</v>
      </c>
      <c r="C36" s="1024"/>
      <c r="D36" s="2340" t="s">
        <v>559</v>
      </c>
      <c r="E36" s="2320">
        <f>'BS old'!D23</f>
        <v>0</v>
      </c>
      <c r="F36" s="2320"/>
      <c r="G36" s="2320"/>
      <c r="H36" s="1020"/>
      <c r="I36" s="2317">
        <f>'BS old'!F23</f>
        <v>0</v>
      </c>
      <c r="J36" s="2318"/>
      <c r="K36" s="2319"/>
      <c r="L36" s="520"/>
    </row>
    <row r="37" spans="1:12" ht="27.95" customHeight="1">
      <c r="A37" s="2337"/>
      <c r="B37" s="2339"/>
      <c r="C37" s="1025"/>
      <c r="D37" s="2341"/>
      <c r="E37" s="2320">
        <f>'BS old'!E23</f>
        <v>0</v>
      </c>
      <c r="F37" s="2320"/>
      <c r="G37" s="2320"/>
      <c r="H37" s="1028"/>
      <c r="I37" s="604"/>
      <c r="J37" s="2317">
        <f>'BS old'!G23</f>
        <v>0</v>
      </c>
      <c r="K37" s="2318"/>
      <c r="L37" s="2321"/>
    </row>
    <row r="38" spans="1:12" ht="27.95" customHeight="1">
      <c r="A38" s="2337" t="s">
        <v>538</v>
      </c>
      <c r="B38" s="2339" t="s">
        <v>1219</v>
      </c>
      <c r="C38" s="1025"/>
      <c r="D38" s="2341" t="s">
        <v>561</v>
      </c>
      <c r="E38" s="2320">
        <f>'BS old'!D24</f>
        <v>0</v>
      </c>
      <c r="F38" s="2320"/>
      <c r="G38" s="2320"/>
      <c r="H38" s="1020"/>
      <c r="I38" s="2317">
        <f>'BS old'!F24</f>
        <v>0</v>
      </c>
      <c r="J38" s="2318"/>
      <c r="K38" s="2319"/>
      <c r="L38" s="520"/>
    </row>
    <row r="39" spans="1:12" ht="27.95" customHeight="1">
      <c r="A39" s="2337"/>
      <c r="B39" s="2339"/>
      <c r="C39" s="1025"/>
      <c r="D39" s="2341"/>
      <c r="E39" s="2320">
        <f>'BS old'!E24</f>
        <v>0</v>
      </c>
      <c r="F39" s="2320"/>
      <c r="G39" s="2320"/>
      <c r="H39" s="1028"/>
      <c r="I39" s="604"/>
      <c r="J39" s="2317">
        <f>'BS old'!G24</f>
        <v>0</v>
      </c>
      <c r="K39" s="2318"/>
      <c r="L39" s="2321"/>
    </row>
    <row r="40" spans="1:12" ht="27.95" customHeight="1">
      <c r="A40" s="2337" t="s">
        <v>541</v>
      </c>
      <c r="B40" s="2339" t="s">
        <v>1218</v>
      </c>
      <c r="C40" s="1024"/>
      <c r="D40" s="2340" t="s">
        <v>563</v>
      </c>
      <c r="E40" s="2320">
        <f>'BS old'!D25</f>
        <v>0</v>
      </c>
      <c r="F40" s="2320"/>
      <c r="G40" s="2320"/>
      <c r="H40" s="1020"/>
      <c r="I40" s="2317">
        <f>'BS old'!F25</f>
        <v>0</v>
      </c>
      <c r="J40" s="2318"/>
      <c r="K40" s="2319"/>
      <c r="L40" s="520"/>
    </row>
    <row r="41" spans="1:12" ht="27.95" customHeight="1">
      <c r="A41" s="2337"/>
      <c r="B41" s="2339"/>
      <c r="C41" s="1025"/>
      <c r="D41" s="2341"/>
      <c r="E41" s="2320">
        <f>'BS old'!E25</f>
        <v>0</v>
      </c>
      <c r="F41" s="2320"/>
      <c r="G41" s="2320"/>
      <c r="H41" s="1028"/>
      <c r="I41" s="604"/>
      <c r="J41" s="2317">
        <f>'BS old'!G25</f>
        <v>0</v>
      </c>
      <c r="K41" s="2318"/>
      <c r="L41" s="2321"/>
    </row>
    <row r="42" spans="1:12" ht="27.95" customHeight="1">
      <c r="A42" s="2337" t="s">
        <v>544</v>
      </c>
      <c r="B42" s="2339" t="s">
        <v>1217</v>
      </c>
      <c r="C42" s="1025"/>
      <c r="D42" s="2341" t="s">
        <v>565</v>
      </c>
      <c r="E42" s="2320">
        <f>'BS old'!D26</f>
        <v>0</v>
      </c>
      <c r="F42" s="2320"/>
      <c r="G42" s="2320"/>
      <c r="H42" s="1020"/>
      <c r="I42" s="2317">
        <f>'BS old'!F26</f>
        <v>0</v>
      </c>
      <c r="J42" s="2318"/>
      <c r="K42" s="2319"/>
      <c r="L42" s="520"/>
    </row>
    <row r="43" spans="1:12" ht="27.95" customHeight="1">
      <c r="A43" s="2337"/>
      <c r="B43" s="2339"/>
      <c r="C43" s="1025"/>
      <c r="D43" s="2341"/>
      <c r="E43" s="2320">
        <f>'BS old'!E26</f>
        <v>0</v>
      </c>
      <c r="F43" s="2320"/>
      <c r="G43" s="2320"/>
      <c r="H43" s="1028"/>
      <c r="I43" s="604"/>
      <c r="J43" s="2317">
        <f>'BS old'!G26</f>
        <v>0</v>
      </c>
      <c r="K43" s="2318"/>
      <c r="L43" s="2321"/>
    </row>
    <row r="44" spans="1:12" ht="27.95" customHeight="1">
      <c r="A44" s="2337" t="s">
        <v>547</v>
      </c>
      <c r="B44" s="2339" t="s">
        <v>1216</v>
      </c>
      <c r="C44" s="1024"/>
      <c r="D44" s="2340" t="s">
        <v>567</v>
      </c>
      <c r="E44" s="2320">
        <f>'BS old'!D27</f>
        <v>0</v>
      </c>
      <c r="F44" s="2320"/>
      <c r="G44" s="2320"/>
      <c r="H44" s="1020"/>
      <c r="I44" s="2317">
        <f>'BS old'!F27</f>
        <v>0</v>
      </c>
      <c r="J44" s="2318"/>
      <c r="K44" s="2319"/>
      <c r="L44" s="520"/>
    </row>
    <row r="45" spans="1:12" ht="27.95" customHeight="1">
      <c r="A45" s="2337"/>
      <c r="B45" s="2339"/>
      <c r="C45" s="1025"/>
      <c r="D45" s="2341"/>
      <c r="E45" s="2320">
        <f>'BS old'!E27</f>
        <v>0</v>
      </c>
      <c r="F45" s="2320"/>
      <c r="G45" s="2320"/>
      <c r="H45" s="1028"/>
      <c r="I45" s="604"/>
      <c r="J45" s="2317">
        <f>'BS old'!G27</f>
        <v>0</v>
      </c>
      <c r="K45" s="2318"/>
      <c r="L45" s="2321"/>
    </row>
    <row r="46" spans="1:12" ht="27.95" customHeight="1">
      <c r="A46" s="2337" t="s">
        <v>568</v>
      </c>
      <c r="B46" s="2339" t="s">
        <v>1215</v>
      </c>
      <c r="C46" s="1025"/>
      <c r="D46" s="2341" t="s">
        <v>570</v>
      </c>
      <c r="E46" s="2320">
        <f>'BS old'!D28</f>
        <v>0</v>
      </c>
      <c r="F46" s="2320"/>
      <c r="G46" s="2320"/>
      <c r="H46" s="1020"/>
      <c r="I46" s="2317">
        <f>'BS old'!F28</f>
        <v>0</v>
      </c>
      <c r="J46" s="2318"/>
      <c r="K46" s="2319"/>
      <c r="L46" s="520"/>
    </row>
    <row r="47" spans="1:12" ht="27.95" customHeight="1">
      <c r="A47" s="2337"/>
      <c r="B47" s="2339"/>
      <c r="C47" s="1025"/>
      <c r="D47" s="2341"/>
      <c r="E47" s="2320">
        <f>'BS old'!E28</f>
        <v>0</v>
      </c>
      <c r="F47" s="2320"/>
      <c r="G47" s="2320"/>
      <c r="H47" s="1028"/>
      <c r="I47" s="604"/>
      <c r="J47" s="2317">
        <f>'BS old'!G28</f>
        <v>0</v>
      </c>
      <c r="K47" s="2318"/>
      <c r="L47" s="2321"/>
    </row>
    <row r="48" spans="1:12" ht="27.95" customHeight="1">
      <c r="A48" s="2337" t="s">
        <v>571</v>
      </c>
      <c r="B48" s="2339" t="s">
        <v>1214</v>
      </c>
      <c r="C48" s="1024"/>
      <c r="D48" s="2340" t="s">
        <v>573</v>
      </c>
      <c r="E48" s="2320">
        <f>'BS old'!D29</f>
        <v>0</v>
      </c>
      <c r="F48" s="2320"/>
      <c r="G48" s="2320"/>
      <c r="H48" s="1020"/>
      <c r="I48" s="2317">
        <f>'BS old'!F29</f>
        <v>0</v>
      </c>
      <c r="J48" s="2318"/>
      <c r="K48" s="2319"/>
      <c r="L48" s="520"/>
    </row>
    <row r="49" spans="1:12" ht="27.95" customHeight="1">
      <c r="A49" s="2337"/>
      <c r="B49" s="2339"/>
      <c r="C49" s="1025"/>
      <c r="D49" s="2341"/>
      <c r="E49" s="2320">
        <f>'BS old'!E29</f>
        <v>0</v>
      </c>
      <c r="F49" s="2320"/>
      <c r="G49" s="2320"/>
      <c r="H49" s="1028"/>
      <c r="I49" s="604"/>
      <c r="J49" s="2317">
        <f>'BS old'!G29</f>
        <v>0</v>
      </c>
      <c r="K49" s="2318"/>
      <c r="L49" s="2321"/>
    </row>
    <row r="50" spans="1:12" ht="27.95" customHeight="1">
      <c r="A50" s="2362" t="s">
        <v>574</v>
      </c>
      <c r="B50" s="2356" t="s">
        <v>1213</v>
      </c>
      <c r="C50" s="1031"/>
      <c r="D50" s="2341" t="s">
        <v>576</v>
      </c>
      <c r="E50" s="2320">
        <f>'BS old'!D30</f>
        <v>0</v>
      </c>
      <c r="F50" s="2320"/>
      <c r="G50" s="2320"/>
      <c r="H50" s="1020"/>
      <c r="I50" s="2317">
        <f>'BS old'!F30</f>
        <v>0</v>
      </c>
      <c r="J50" s="2318"/>
      <c r="K50" s="2319"/>
      <c r="L50" s="520"/>
    </row>
    <row r="51" spans="1:12" ht="27.95" customHeight="1">
      <c r="A51" s="2362"/>
      <c r="B51" s="2356"/>
      <c r="C51" s="1031"/>
      <c r="D51" s="2341"/>
      <c r="E51" s="2320">
        <f>'BS old'!E30</f>
        <v>0</v>
      </c>
      <c r="F51" s="2320"/>
      <c r="G51" s="2320"/>
      <c r="H51" s="1028"/>
      <c r="I51" s="604"/>
      <c r="J51" s="2317">
        <f>'BS old'!G30</f>
        <v>0</v>
      </c>
      <c r="K51" s="2318"/>
      <c r="L51" s="2321"/>
    </row>
    <row r="52" spans="1:12" s="450" customFormat="1" ht="27.95" customHeight="1">
      <c r="A52" s="2366" t="s">
        <v>577</v>
      </c>
      <c r="B52" s="2339" t="s">
        <v>1212</v>
      </c>
      <c r="C52" s="1024"/>
      <c r="D52" s="2340" t="s">
        <v>579</v>
      </c>
      <c r="E52" s="2320">
        <f>'BS old'!D31</f>
        <v>0</v>
      </c>
      <c r="F52" s="2320"/>
      <c r="G52" s="2320"/>
      <c r="H52" s="1020"/>
      <c r="I52" s="2317">
        <f>'BS old'!F31</f>
        <v>0</v>
      </c>
      <c r="J52" s="2318"/>
      <c r="K52" s="2319"/>
      <c r="L52" s="520"/>
    </row>
    <row r="53" spans="1:12" s="450" customFormat="1" ht="27.95" customHeight="1">
      <c r="A53" s="2366"/>
      <c r="B53" s="2339"/>
      <c r="C53" s="1025"/>
      <c r="D53" s="2341"/>
      <c r="E53" s="2320">
        <f>'BS old'!E31</f>
        <v>0</v>
      </c>
      <c r="F53" s="2320"/>
      <c r="G53" s="2320"/>
      <c r="H53" s="1028"/>
      <c r="I53" s="604"/>
      <c r="J53" s="2317">
        <f>'BS old'!G31</f>
        <v>0</v>
      </c>
      <c r="K53" s="2318"/>
      <c r="L53" s="2321"/>
    </row>
    <row r="54" spans="1:12" ht="27.95" customHeight="1">
      <c r="A54" s="2337" t="s">
        <v>532</v>
      </c>
      <c r="B54" s="2339" t="s">
        <v>1211</v>
      </c>
      <c r="C54" s="1025"/>
      <c r="D54" s="2341" t="s">
        <v>581</v>
      </c>
      <c r="E54" s="2320">
        <f>'BS old'!D32</f>
        <v>0</v>
      </c>
      <c r="F54" s="2320"/>
      <c r="G54" s="2320"/>
      <c r="H54" s="1020"/>
      <c r="I54" s="2317">
        <f>'BS old'!F32</f>
        <v>0</v>
      </c>
      <c r="J54" s="2318"/>
      <c r="K54" s="2319"/>
      <c r="L54" s="520"/>
    </row>
    <row r="55" spans="1:12" ht="27.95" customHeight="1">
      <c r="A55" s="2337"/>
      <c r="B55" s="2339"/>
      <c r="C55" s="1025"/>
      <c r="D55" s="2341"/>
      <c r="E55" s="2320">
        <f>'BS old'!E32</f>
        <v>0</v>
      </c>
      <c r="F55" s="2320"/>
      <c r="G55" s="2320"/>
      <c r="H55" s="1028"/>
      <c r="I55" s="604"/>
      <c r="J55" s="2317">
        <f>'BS old'!G32</f>
        <v>0</v>
      </c>
      <c r="K55" s="2318"/>
      <c r="L55" s="2321"/>
    </row>
    <row r="56" spans="1:12" ht="27.95" customHeight="1">
      <c r="A56" s="2337" t="s">
        <v>535</v>
      </c>
      <c r="B56" s="2339" t="s">
        <v>1210</v>
      </c>
      <c r="C56" s="1024"/>
      <c r="D56" s="2340" t="s">
        <v>583</v>
      </c>
      <c r="E56" s="2320">
        <f>'BS old'!D33</f>
        <v>0</v>
      </c>
      <c r="F56" s="2320"/>
      <c r="G56" s="2320"/>
      <c r="H56" s="1020"/>
      <c r="I56" s="2317">
        <f>'BS old'!F33</f>
        <v>0</v>
      </c>
      <c r="J56" s="2318"/>
      <c r="K56" s="2319"/>
      <c r="L56" s="520"/>
    </row>
    <row r="57" spans="1:12" ht="27.95" customHeight="1">
      <c r="A57" s="2337"/>
      <c r="B57" s="2339"/>
      <c r="C57" s="1025"/>
      <c r="D57" s="2341"/>
      <c r="E57" s="2320">
        <f>'BS old'!E33</f>
        <v>0</v>
      </c>
      <c r="F57" s="2320"/>
      <c r="G57" s="2320"/>
      <c r="H57" s="1028"/>
      <c r="I57" s="604"/>
      <c r="J57" s="2317">
        <f>'BS old'!G33</f>
        <v>0</v>
      </c>
      <c r="K57" s="2318"/>
      <c r="L57" s="2321"/>
    </row>
    <row r="58" spans="1:12" ht="27.95" customHeight="1">
      <c r="A58" s="2337" t="s">
        <v>538</v>
      </c>
      <c r="B58" s="2339" t="s">
        <v>1209</v>
      </c>
      <c r="C58" s="1025"/>
      <c r="D58" s="2341" t="s">
        <v>585</v>
      </c>
      <c r="E58" s="2320">
        <f>'BS old'!D34</f>
        <v>0</v>
      </c>
      <c r="F58" s="2320"/>
      <c r="G58" s="2320"/>
      <c r="H58" s="1020"/>
      <c r="I58" s="2317">
        <f>'BS old'!F34</f>
        <v>0</v>
      </c>
      <c r="J58" s="2318"/>
      <c r="K58" s="2319"/>
      <c r="L58" s="520"/>
    </row>
    <row r="59" spans="1:12" ht="27.95" customHeight="1">
      <c r="A59" s="2337"/>
      <c r="B59" s="2339"/>
      <c r="C59" s="1025"/>
      <c r="D59" s="2341"/>
      <c r="E59" s="2320">
        <f>'BS old'!E34</f>
        <v>0</v>
      </c>
      <c r="F59" s="2320"/>
      <c r="G59" s="2320"/>
      <c r="H59" s="1028"/>
      <c r="I59" s="604"/>
      <c r="J59" s="2317">
        <f>'BS old'!G34</f>
        <v>0</v>
      </c>
      <c r="K59" s="2318"/>
      <c r="L59" s="2321"/>
    </row>
    <row r="60" spans="1:12" ht="27.95" customHeight="1">
      <c r="A60" s="2337" t="s">
        <v>541</v>
      </c>
      <c r="B60" s="2339" t="s">
        <v>1208</v>
      </c>
      <c r="C60" s="1024"/>
      <c r="D60" s="2340" t="s">
        <v>587</v>
      </c>
      <c r="E60" s="2320">
        <f>'BS old'!D35</f>
        <v>0</v>
      </c>
      <c r="F60" s="2320"/>
      <c r="G60" s="2320"/>
      <c r="H60" s="1020"/>
      <c r="I60" s="2317">
        <f>'BS old'!F35</f>
        <v>0</v>
      </c>
      <c r="J60" s="2318"/>
      <c r="K60" s="2319"/>
      <c r="L60" s="520"/>
    </row>
    <row r="61" spans="1:12" ht="27.95" customHeight="1">
      <c r="A61" s="2337"/>
      <c r="B61" s="2339"/>
      <c r="C61" s="1025"/>
      <c r="D61" s="2341"/>
      <c r="E61" s="2320">
        <f>'BS old'!E35</f>
        <v>0</v>
      </c>
      <c r="F61" s="2320"/>
      <c r="G61" s="2320"/>
      <c r="H61" s="1028"/>
      <c r="I61" s="604"/>
      <c r="J61" s="2317">
        <f>'BS old'!G35</f>
        <v>0</v>
      </c>
      <c r="K61" s="2318"/>
      <c r="L61" s="2321"/>
    </row>
    <row r="62" spans="1:12" ht="27.95" customHeight="1">
      <c r="A62" s="2337" t="s">
        <v>544</v>
      </c>
      <c r="B62" s="2339" t="s">
        <v>1207</v>
      </c>
      <c r="C62" s="1025"/>
      <c r="D62" s="2341" t="s">
        <v>589</v>
      </c>
      <c r="E62" s="2320">
        <f>'BS old'!D36</f>
        <v>0</v>
      </c>
      <c r="F62" s="2320"/>
      <c r="G62" s="2320"/>
      <c r="H62" s="1020"/>
      <c r="I62" s="2317">
        <f>'BS old'!F36</f>
        <v>0</v>
      </c>
      <c r="J62" s="2318"/>
      <c r="K62" s="2319"/>
      <c r="L62" s="520"/>
    </row>
    <row r="63" spans="1:12" ht="27.95" customHeight="1">
      <c r="A63" s="2337"/>
      <c r="B63" s="2339"/>
      <c r="C63" s="1025"/>
      <c r="D63" s="2341"/>
      <c r="E63" s="2320">
        <f>'BS old'!E36</f>
        <v>0</v>
      </c>
      <c r="F63" s="2320"/>
      <c r="G63" s="2320"/>
      <c r="H63" s="1028"/>
      <c r="I63" s="604"/>
      <c r="J63" s="2317">
        <f>'BS old'!G36</f>
        <v>0</v>
      </c>
      <c r="K63" s="2318"/>
      <c r="L63" s="2321"/>
    </row>
    <row r="64" spans="1:12" ht="11.25" customHeight="1">
      <c r="A64" s="2334" t="s">
        <v>1137</v>
      </c>
      <c r="B64" s="2342" t="s">
        <v>1181</v>
      </c>
      <c r="C64" s="1026"/>
      <c r="D64" s="2344" t="s">
        <v>1135</v>
      </c>
      <c r="E64" s="2324" t="s">
        <v>2</v>
      </c>
      <c r="F64" s="2346"/>
      <c r="G64" s="2346"/>
      <c r="H64" s="2346"/>
      <c r="I64" s="2346"/>
      <c r="J64" s="2327"/>
      <c r="K64" s="2328" t="s">
        <v>1180</v>
      </c>
      <c r="L64" s="2329"/>
    </row>
    <row r="65" spans="1:12" ht="11.25" customHeight="1">
      <c r="A65" s="2335"/>
      <c r="B65" s="2343"/>
      <c r="C65" s="1027"/>
      <c r="D65" s="2345"/>
      <c r="E65" s="2347">
        <v>1</v>
      </c>
      <c r="F65" s="2343" t="s">
        <v>1179</v>
      </c>
      <c r="G65" s="2343"/>
      <c r="H65" s="1021"/>
      <c r="I65" s="2330" t="s">
        <v>1178</v>
      </c>
      <c r="J65" s="2331"/>
      <c r="K65" s="2324"/>
      <c r="L65" s="2325"/>
    </row>
    <row r="66" spans="1:12" ht="11.25" customHeight="1">
      <c r="A66" s="2335"/>
      <c r="B66" s="2343"/>
      <c r="C66" s="1027"/>
      <c r="D66" s="2345"/>
      <c r="E66" s="2347"/>
      <c r="F66" s="2343" t="s">
        <v>1177</v>
      </c>
      <c r="G66" s="2343"/>
      <c r="H66" s="1022"/>
      <c r="I66" s="2359"/>
      <c r="J66" s="2360"/>
      <c r="K66" s="2357" t="s">
        <v>1176</v>
      </c>
      <c r="L66" s="2333"/>
    </row>
    <row r="67" spans="1:12" ht="27.95" customHeight="1">
      <c r="A67" s="2337" t="s">
        <v>547</v>
      </c>
      <c r="B67" s="2339" t="s">
        <v>1206</v>
      </c>
      <c r="C67" s="1025"/>
      <c r="D67" s="2341" t="s">
        <v>888</v>
      </c>
      <c r="E67" s="2320">
        <f>'BS old'!D37</f>
        <v>0</v>
      </c>
      <c r="F67" s="2320"/>
      <c r="G67" s="2320"/>
      <c r="H67" s="1020"/>
      <c r="I67" s="2317">
        <f>'BS old'!F37</f>
        <v>0</v>
      </c>
      <c r="J67" s="2318"/>
      <c r="K67" s="2319"/>
      <c r="L67" s="520"/>
    </row>
    <row r="68" spans="1:12" ht="27.95" customHeight="1">
      <c r="A68" s="2337"/>
      <c r="B68" s="2339"/>
      <c r="C68" s="1025"/>
      <c r="D68" s="2341"/>
      <c r="E68" s="2320">
        <f>'BS old'!E37</f>
        <v>0</v>
      </c>
      <c r="F68" s="2320"/>
      <c r="G68" s="2320"/>
      <c r="H68" s="1028"/>
      <c r="I68" s="604"/>
      <c r="J68" s="2317">
        <f>'BS old'!G37</f>
        <v>0</v>
      </c>
      <c r="K68" s="2318"/>
      <c r="L68" s="2321"/>
    </row>
    <row r="69" spans="1:12" ht="27.95" customHeight="1">
      <c r="A69" s="2337" t="s">
        <v>568</v>
      </c>
      <c r="B69" s="2339" t="s">
        <v>1205</v>
      </c>
      <c r="C69" s="1025"/>
      <c r="D69" s="2341" t="s">
        <v>891</v>
      </c>
      <c r="E69" s="2320">
        <f>'BS old'!D38</f>
        <v>0</v>
      </c>
      <c r="F69" s="2320"/>
      <c r="G69" s="2320"/>
      <c r="H69" s="1020"/>
      <c r="I69" s="2317">
        <f>'BS old'!F38</f>
        <v>0</v>
      </c>
      <c r="J69" s="2318"/>
      <c r="K69" s="2319"/>
      <c r="L69" s="520"/>
    </row>
    <row r="70" spans="1:12" ht="27.95" customHeight="1">
      <c r="A70" s="2337"/>
      <c r="B70" s="2339"/>
      <c r="C70" s="1025"/>
      <c r="D70" s="2341"/>
      <c r="E70" s="2320">
        <f>'BS old'!E38</f>
        <v>0</v>
      </c>
      <c r="F70" s="2320"/>
      <c r="G70" s="2320"/>
      <c r="H70" s="1028"/>
      <c r="I70" s="604"/>
      <c r="J70" s="2317">
        <f>'BS old'!G38</f>
        <v>0</v>
      </c>
      <c r="K70" s="2318"/>
      <c r="L70" s="2321"/>
    </row>
    <row r="71" spans="1:12" ht="27.95" customHeight="1">
      <c r="A71" s="2349" t="s">
        <v>594</v>
      </c>
      <c r="B71" s="2356" t="s">
        <v>1204</v>
      </c>
      <c r="C71" s="1031"/>
      <c r="D71" s="2341" t="s">
        <v>894</v>
      </c>
      <c r="E71" s="2320">
        <f>'BS old'!D39</f>
        <v>0</v>
      </c>
      <c r="F71" s="2320"/>
      <c r="G71" s="2320"/>
      <c r="H71" s="1020"/>
      <c r="I71" s="2317">
        <f>'BS old'!F39</f>
        <v>0</v>
      </c>
      <c r="J71" s="2318"/>
      <c r="K71" s="2319"/>
      <c r="L71" s="520"/>
    </row>
    <row r="72" spans="1:12" ht="27.95" customHeight="1">
      <c r="A72" s="2349"/>
      <c r="B72" s="2351"/>
      <c r="C72" s="1029"/>
      <c r="D72" s="2341"/>
      <c r="E72" s="2320">
        <f>'BS old'!E39</f>
        <v>0</v>
      </c>
      <c r="F72" s="2320"/>
      <c r="G72" s="2320"/>
      <c r="H72" s="1028"/>
      <c r="I72" s="604"/>
      <c r="J72" s="2317">
        <f>'BS old'!G39</f>
        <v>0</v>
      </c>
      <c r="K72" s="2318"/>
      <c r="L72" s="2321"/>
    </row>
    <row r="73" spans="1:12" s="450" customFormat="1" ht="27.95" customHeight="1">
      <c r="A73" s="2362" t="s">
        <v>597</v>
      </c>
      <c r="B73" s="2356" t="s">
        <v>1203</v>
      </c>
      <c r="C73" s="1031"/>
      <c r="D73" s="2341" t="s">
        <v>897</v>
      </c>
      <c r="E73" s="2320">
        <f>'BS old'!D40</f>
        <v>0</v>
      </c>
      <c r="F73" s="2320"/>
      <c r="G73" s="2320"/>
      <c r="H73" s="1020"/>
      <c r="I73" s="2317">
        <f>'BS old'!F40</f>
        <v>0</v>
      </c>
      <c r="J73" s="2318"/>
      <c r="K73" s="2319"/>
      <c r="L73" s="520"/>
    </row>
    <row r="74" spans="1:12" s="450" customFormat="1" ht="27.95" customHeight="1">
      <c r="A74" s="2349"/>
      <c r="B74" s="2351"/>
      <c r="C74" s="1029"/>
      <c r="D74" s="2341"/>
      <c r="E74" s="2320">
        <f>'BS old'!E40</f>
        <v>0</v>
      </c>
      <c r="F74" s="2320"/>
      <c r="G74" s="2320"/>
      <c r="H74" s="1028"/>
      <c r="I74" s="604"/>
      <c r="J74" s="2317">
        <f>'BS old'!G40</f>
        <v>0</v>
      </c>
      <c r="K74" s="2318"/>
      <c r="L74" s="2321"/>
    </row>
    <row r="75" spans="1:12" s="450" customFormat="1" ht="27.95" customHeight="1">
      <c r="A75" s="2361" t="s">
        <v>600</v>
      </c>
      <c r="B75" s="2339" t="s">
        <v>1202</v>
      </c>
      <c r="C75" s="1025"/>
      <c r="D75" s="2341" t="s">
        <v>900</v>
      </c>
      <c r="E75" s="2320">
        <f>'BS old'!D41</f>
        <v>0</v>
      </c>
      <c r="F75" s="2320"/>
      <c r="G75" s="2320"/>
      <c r="H75" s="1020"/>
      <c r="I75" s="2317">
        <f>'BS old'!F41</f>
        <v>0</v>
      </c>
      <c r="J75" s="2318"/>
      <c r="K75" s="2319"/>
      <c r="L75" s="520"/>
    </row>
    <row r="76" spans="1:12" s="450" customFormat="1" ht="27.95" customHeight="1">
      <c r="A76" s="2348"/>
      <c r="B76" s="2339"/>
      <c r="C76" s="1025"/>
      <c r="D76" s="2341"/>
      <c r="E76" s="2320">
        <f>'BS old'!E41</f>
        <v>0</v>
      </c>
      <c r="F76" s="2320"/>
      <c r="G76" s="2320"/>
      <c r="H76" s="1028"/>
      <c r="I76" s="604"/>
      <c r="J76" s="2317">
        <f>'BS old'!G41</f>
        <v>0</v>
      </c>
      <c r="K76" s="2318"/>
      <c r="L76" s="2321"/>
    </row>
    <row r="77" spans="1:12" ht="27.95" customHeight="1">
      <c r="A77" s="2337" t="s">
        <v>532</v>
      </c>
      <c r="B77" s="2339" t="s">
        <v>1201</v>
      </c>
      <c r="C77" s="1025"/>
      <c r="D77" s="2341" t="s">
        <v>903</v>
      </c>
      <c r="E77" s="2320">
        <f>'BS old'!D42</f>
        <v>0</v>
      </c>
      <c r="F77" s="2320"/>
      <c r="G77" s="2320"/>
      <c r="H77" s="1020"/>
      <c r="I77" s="2317">
        <f>'BS old'!F42</f>
        <v>0</v>
      </c>
      <c r="J77" s="2318"/>
      <c r="K77" s="2319"/>
      <c r="L77" s="520"/>
    </row>
    <row r="78" spans="1:12" ht="27.95" customHeight="1">
      <c r="A78" s="2337"/>
      <c r="B78" s="2339"/>
      <c r="C78" s="1025"/>
      <c r="D78" s="2341"/>
      <c r="E78" s="2320">
        <f>'BS old'!E42</f>
        <v>0</v>
      </c>
      <c r="F78" s="2320"/>
      <c r="G78" s="2320"/>
      <c r="H78" s="1028"/>
      <c r="I78" s="604"/>
      <c r="J78" s="2317">
        <f>'BS old'!G42</f>
        <v>0</v>
      </c>
      <c r="K78" s="2318"/>
      <c r="L78" s="2321"/>
    </row>
    <row r="79" spans="1:12" ht="27.95" customHeight="1">
      <c r="A79" s="2337" t="s">
        <v>535</v>
      </c>
      <c r="B79" s="2339" t="s">
        <v>1200</v>
      </c>
      <c r="C79" s="1025"/>
      <c r="D79" s="2341" t="s">
        <v>906</v>
      </c>
      <c r="E79" s="2320">
        <f>'BS old'!D43</f>
        <v>0</v>
      </c>
      <c r="F79" s="2320"/>
      <c r="G79" s="2320"/>
      <c r="H79" s="1020"/>
      <c r="I79" s="2317">
        <f>'BS old'!F43</f>
        <v>0</v>
      </c>
      <c r="J79" s="2318"/>
      <c r="K79" s="2319"/>
      <c r="L79" s="520"/>
    </row>
    <row r="80" spans="1:12" ht="27.95" customHeight="1">
      <c r="A80" s="2337"/>
      <c r="B80" s="2339"/>
      <c r="C80" s="1025"/>
      <c r="D80" s="2341"/>
      <c r="E80" s="2320">
        <f>'BS old'!E43</f>
        <v>0</v>
      </c>
      <c r="F80" s="2320"/>
      <c r="G80" s="2320"/>
      <c r="H80" s="1028"/>
      <c r="I80" s="604"/>
      <c r="J80" s="2317">
        <f>'BS old'!G43</f>
        <v>0</v>
      </c>
      <c r="K80" s="2318"/>
      <c r="L80" s="2321"/>
    </row>
    <row r="81" spans="1:12" ht="27.95" customHeight="1">
      <c r="A81" s="2337" t="s">
        <v>538</v>
      </c>
      <c r="B81" s="2339" t="s">
        <v>1199</v>
      </c>
      <c r="C81" s="1025"/>
      <c r="D81" s="2341" t="s">
        <v>909</v>
      </c>
      <c r="E81" s="2320">
        <f>'BS old'!D44</f>
        <v>0</v>
      </c>
      <c r="F81" s="2320"/>
      <c r="G81" s="2320"/>
      <c r="H81" s="1020"/>
      <c r="I81" s="2317">
        <f>'BS old'!F44</f>
        <v>0</v>
      </c>
      <c r="J81" s="2318"/>
      <c r="K81" s="2319"/>
      <c r="L81" s="520"/>
    </row>
    <row r="82" spans="1:12" ht="27.95" customHeight="1">
      <c r="A82" s="2337"/>
      <c r="B82" s="2339"/>
      <c r="C82" s="1025"/>
      <c r="D82" s="2341"/>
      <c r="E82" s="2320">
        <f>'BS old'!E44</f>
        <v>0</v>
      </c>
      <c r="F82" s="2320"/>
      <c r="G82" s="2320"/>
      <c r="H82" s="1028"/>
      <c r="I82" s="604"/>
      <c r="J82" s="2317">
        <f>'BS old'!G44</f>
        <v>0</v>
      </c>
      <c r="K82" s="2318"/>
      <c r="L82" s="2321"/>
    </row>
    <row r="83" spans="1:12" ht="27.95" customHeight="1">
      <c r="A83" s="2337" t="s">
        <v>541</v>
      </c>
      <c r="B83" s="2339" t="s">
        <v>1198</v>
      </c>
      <c r="C83" s="1025"/>
      <c r="D83" s="2341" t="s">
        <v>912</v>
      </c>
      <c r="E83" s="2320">
        <f>'BS old'!D45</f>
        <v>0</v>
      </c>
      <c r="F83" s="2320"/>
      <c r="G83" s="2320"/>
      <c r="H83" s="1020"/>
      <c r="I83" s="2317">
        <f>'BS old'!F45</f>
        <v>0</v>
      </c>
      <c r="J83" s="2318"/>
      <c r="K83" s="2319"/>
      <c r="L83" s="520"/>
    </row>
    <row r="84" spans="1:12" ht="27.95" customHeight="1">
      <c r="A84" s="2337"/>
      <c r="B84" s="2339"/>
      <c r="C84" s="1025"/>
      <c r="D84" s="2341"/>
      <c r="E84" s="2320">
        <f>'BS old'!E45</f>
        <v>0</v>
      </c>
      <c r="F84" s="2320"/>
      <c r="G84" s="2320"/>
      <c r="H84" s="1028"/>
      <c r="I84" s="604"/>
      <c r="J84" s="2317">
        <f>'BS old'!G45</f>
        <v>0</v>
      </c>
      <c r="K84" s="2318"/>
      <c r="L84" s="2321"/>
    </row>
    <row r="85" spans="1:12" ht="27.95" customHeight="1">
      <c r="A85" s="2337" t="s">
        <v>544</v>
      </c>
      <c r="B85" s="2339" t="s">
        <v>1197</v>
      </c>
      <c r="C85" s="1025"/>
      <c r="D85" s="2341" t="s">
        <v>915</v>
      </c>
      <c r="E85" s="2320">
        <f>'BS old'!D46</f>
        <v>0</v>
      </c>
      <c r="F85" s="2320"/>
      <c r="G85" s="2320"/>
      <c r="H85" s="1020"/>
      <c r="I85" s="2317">
        <f>'BS old'!F46</f>
        <v>0</v>
      </c>
      <c r="J85" s="2318"/>
      <c r="K85" s="2319"/>
      <c r="L85" s="520"/>
    </row>
    <row r="86" spans="1:12" ht="27.95" customHeight="1">
      <c r="A86" s="2337"/>
      <c r="B86" s="2339"/>
      <c r="C86" s="1025"/>
      <c r="D86" s="2341"/>
      <c r="E86" s="2320">
        <f>'BS old'!E46</f>
        <v>0</v>
      </c>
      <c r="F86" s="2320"/>
      <c r="G86" s="2320"/>
      <c r="H86" s="1028"/>
      <c r="I86" s="604"/>
      <c r="J86" s="2317">
        <f>'BS old'!G46</f>
        <v>0</v>
      </c>
      <c r="K86" s="2318"/>
      <c r="L86" s="2321"/>
    </row>
    <row r="87" spans="1:12" ht="27.95" customHeight="1">
      <c r="A87" s="2362" t="s">
        <v>613</v>
      </c>
      <c r="B87" s="2351" t="s">
        <v>1196</v>
      </c>
      <c r="C87" s="1029"/>
      <c r="D87" s="2341" t="s">
        <v>918</v>
      </c>
      <c r="E87" s="2320">
        <f>'BS old'!D47</f>
        <v>0</v>
      </c>
      <c r="F87" s="2320"/>
      <c r="G87" s="2320"/>
      <c r="H87" s="1020"/>
      <c r="I87" s="2317">
        <f>'BS old'!F47</f>
        <v>0</v>
      </c>
      <c r="J87" s="2318"/>
      <c r="K87" s="2319"/>
      <c r="L87" s="520"/>
    </row>
    <row r="88" spans="1:12" ht="27.95" customHeight="1">
      <c r="A88" s="2349"/>
      <c r="B88" s="2351"/>
      <c r="C88" s="1029"/>
      <c r="D88" s="2341"/>
      <c r="E88" s="2320">
        <f>'BS old'!E47</f>
        <v>0</v>
      </c>
      <c r="F88" s="2320"/>
      <c r="G88" s="2320"/>
      <c r="H88" s="1028"/>
      <c r="I88" s="604"/>
      <c r="J88" s="2317">
        <f>'BS old'!G47</f>
        <v>0</v>
      </c>
      <c r="K88" s="2318"/>
      <c r="L88" s="2321"/>
    </row>
    <row r="89" spans="1:12" s="450" customFormat="1" ht="27.95" customHeight="1">
      <c r="A89" s="2361" t="s">
        <v>616</v>
      </c>
      <c r="B89" s="2339" t="s">
        <v>1195</v>
      </c>
      <c r="C89" s="1025"/>
      <c r="D89" s="2341" t="s">
        <v>921</v>
      </c>
      <c r="E89" s="2320">
        <f>'BS old'!D48</f>
        <v>0</v>
      </c>
      <c r="F89" s="2320"/>
      <c r="G89" s="2320"/>
      <c r="H89" s="1020"/>
      <c r="I89" s="2317">
        <f>'BS old'!F48</f>
        <v>0</v>
      </c>
      <c r="J89" s="2318"/>
      <c r="K89" s="2319"/>
      <c r="L89" s="520"/>
    </row>
    <row r="90" spans="1:12" s="450" customFormat="1" ht="27.95" customHeight="1">
      <c r="A90" s="2348"/>
      <c r="B90" s="2339"/>
      <c r="C90" s="1025"/>
      <c r="D90" s="2341"/>
      <c r="E90" s="2320">
        <f>'BS old'!E48</f>
        <v>0</v>
      </c>
      <c r="F90" s="2320"/>
      <c r="G90" s="2320"/>
      <c r="H90" s="1028"/>
      <c r="I90" s="604"/>
      <c r="J90" s="2317">
        <f>'BS old'!G48</f>
        <v>0</v>
      </c>
      <c r="K90" s="2318"/>
      <c r="L90" s="2321"/>
    </row>
    <row r="91" spans="1:12" s="450" customFormat="1" ht="27.95" customHeight="1">
      <c r="A91" s="2337" t="s">
        <v>532</v>
      </c>
      <c r="B91" s="2339" t="s">
        <v>1190</v>
      </c>
      <c r="C91" s="1025"/>
      <c r="D91" s="2341" t="s">
        <v>924</v>
      </c>
      <c r="E91" s="2320">
        <f>'BS old'!D49</f>
        <v>0</v>
      </c>
      <c r="F91" s="2320"/>
      <c r="G91" s="2320"/>
      <c r="H91" s="1020"/>
      <c r="I91" s="2317">
        <f>'BS old'!F49</f>
        <v>0</v>
      </c>
      <c r="J91" s="2318"/>
      <c r="K91" s="2319"/>
      <c r="L91" s="520"/>
    </row>
    <row r="92" spans="1:12" s="450" customFormat="1" ht="27.95" customHeight="1">
      <c r="A92" s="2337"/>
      <c r="B92" s="2339"/>
      <c r="C92" s="1025"/>
      <c r="D92" s="2341"/>
      <c r="E92" s="2320">
        <f>'BS old'!E49</f>
        <v>0</v>
      </c>
      <c r="F92" s="2320"/>
      <c r="G92" s="2320"/>
      <c r="H92" s="1028"/>
      <c r="I92" s="604"/>
      <c r="J92" s="2317">
        <f>'BS old'!G49</f>
        <v>0</v>
      </c>
      <c r="K92" s="2318"/>
      <c r="L92" s="2321"/>
    </row>
    <row r="93" spans="1:12" ht="27.95" customHeight="1">
      <c r="A93" s="2337" t="s">
        <v>535</v>
      </c>
      <c r="B93" s="2339" t="s">
        <v>1189</v>
      </c>
      <c r="C93" s="1025"/>
      <c r="D93" s="2341" t="s">
        <v>927</v>
      </c>
      <c r="E93" s="2320">
        <f>'BS old'!D50</f>
        <v>0</v>
      </c>
      <c r="F93" s="2320"/>
      <c r="G93" s="2320"/>
      <c r="H93" s="1020"/>
      <c r="I93" s="2317">
        <f>'BS old'!F50</f>
        <v>0</v>
      </c>
      <c r="J93" s="2318"/>
      <c r="K93" s="2319"/>
      <c r="L93" s="520"/>
    </row>
    <row r="94" spans="1:12" ht="27.95" customHeight="1">
      <c r="A94" s="2337"/>
      <c r="B94" s="2339"/>
      <c r="C94" s="1025"/>
      <c r="D94" s="2341"/>
      <c r="E94" s="2320">
        <f>'BS old'!E50</f>
        <v>0</v>
      </c>
      <c r="F94" s="2320"/>
      <c r="G94" s="2320"/>
      <c r="H94" s="1028"/>
      <c r="I94" s="604"/>
      <c r="J94" s="2317">
        <f>'BS old'!G50</f>
        <v>0</v>
      </c>
      <c r="K94" s="2318"/>
      <c r="L94" s="2321"/>
    </row>
    <row r="95" spans="1:12" ht="11.25" customHeight="1">
      <c r="A95" s="2334" t="s">
        <v>1137</v>
      </c>
      <c r="B95" s="2342" t="s">
        <v>1181</v>
      </c>
      <c r="C95" s="1026"/>
      <c r="D95" s="2344" t="s">
        <v>1135</v>
      </c>
      <c r="E95" s="2324" t="s">
        <v>2</v>
      </c>
      <c r="F95" s="2346"/>
      <c r="G95" s="2346"/>
      <c r="H95" s="2346"/>
      <c r="I95" s="2346"/>
      <c r="J95" s="2327"/>
      <c r="K95" s="2328" t="s">
        <v>1180</v>
      </c>
      <c r="L95" s="2329"/>
    </row>
    <row r="96" spans="1:12" ht="11.25" customHeight="1">
      <c r="A96" s="2335"/>
      <c r="B96" s="2343"/>
      <c r="C96" s="1027"/>
      <c r="D96" s="2345"/>
      <c r="E96" s="2347">
        <v>1</v>
      </c>
      <c r="F96" s="2343" t="s">
        <v>1179</v>
      </c>
      <c r="G96" s="2343"/>
      <c r="H96" s="1021"/>
      <c r="I96" s="2330" t="s">
        <v>1178</v>
      </c>
      <c r="J96" s="2331"/>
      <c r="K96" s="2324"/>
      <c r="L96" s="2325"/>
    </row>
    <row r="97" spans="1:14" ht="12" customHeight="1">
      <c r="A97" s="2363"/>
      <c r="B97" s="2358"/>
      <c r="C97" s="1032"/>
      <c r="D97" s="2345"/>
      <c r="E97" s="2364"/>
      <c r="F97" s="2358" t="s">
        <v>1177</v>
      </c>
      <c r="G97" s="2358"/>
      <c r="H97" s="1022"/>
      <c r="I97" s="2359"/>
      <c r="J97" s="2360"/>
      <c r="K97" s="2357" t="s">
        <v>1176</v>
      </c>
      <c r="L97" s="2333"/>
    </row>
    <row r="98" spans="1:14" ht="27.95" customHeight="1">
      <c r="A98" s="2337" t="s">
        <v>538</v>
      </c>
      <c r="B98" s="2339" t="s">
        <v>1188</v>
      </c>
      <c r="C98" s="1024"/>
      <c r="D98" s="2340" t="s">
        <v>930</v>
      </c>
      <c r="E98" s="2320">
        <f>'BS old'!D51</f>
        <v>0</v>
      </c>
      <c r="F98" s="2320"/>
      <c r="G98" s="2320"/>
      <c r="H98" s="1020"/>
      <c r="I98" s="2317">
        <f>'BS old'!F51</f>
        <v>0</v>
      </c>
      <c r="J98" s="2318"/>
      <c r="K98" s="2319"/>
      <c r="L98" s="520"/>
      <c r="N98" s="502" t="s">
        <v>1093</v>
      </c>
    </row>
    <row r="99" spans="1:14" ht="27.95" customHeight="1">
      <c r="A99" s="2337"/>
      <c r="B99" s="2339"/>
      <c r="C99" s="1025"/>
      <c r="D99" s="2341"/>
      <c r="E99" s="2320">
        <f>'BS old'!E51</f>
        <v>0</v>
      </c>
      <c r="F99" s="2320"/>
      <c r="G99" s="2320"/>
      <c r="H99" s="1028"/>
      <c r="I99" s="604"/>
      <c r="J99" s="2317">
        <f>'BS old'!G51</f>
        <v>0</v>
      </c>
      <c r="K99" s="2318"/>
      <c r="L99" s="2321"/>
    </row>
    <row r="100" spans="1:14" ht="27.95" customHeight="1">
      <c r="A100" s="2337" t="s">
        <v>541</v>
      </c>
      <c r="B100" s="2339" t="s">
        <v>1194</v>
      </c>
      <c r="C100" s="1025"/>
      <c r="D100" s="2341" t="s">
        <v>933</v>
      </c>
      <c r="E100" s="2320">
        <f>'BS old'!D52</f>
        <v>0</v>
      </c>
      <c r="F100" s="2320"/>
      <c r="G100" s="2320"/>
      <c r="H100" s="1020"/>
      <c r="I100" s="2317">
        <f>'BS old'!F52</f>
        <v>0</v>
      </c>
      <c r="J100" s="2318"/>
      <c r="K100" s="2319"/>
      <c r="L100" s="520"/>
    </row>
    <row r="101" spans="1:14" ht="27.95" customHeight="1">
      <c r="A101" s="2337"/>
      <c r="B101" s="2339"/>
      <c r="C101" s="1025"/>
      <c r="D101" s="2341"/>
      <c r="E101" s="2320">
        <f>'BS old'!E52</f>
        <v>0</v>
      </c>
      <c r="F101" s="2320"/>
      <c r="G101" s="2320"/>
      <c r="H101" s="1028"/>
      <c r="I101" s="604"/>
      <c r="J101" s="2317">
        <f>'BS old'!G52</f>
        <v>0</v>
      </c>
      <c r="K101" s="2318"/>
      <c r="L101" s="2321"/>
    </row>
    <row r="102" spans="1:14" ht="27.95" customHeight="1">
      <c r="A102" s="2337" t="s">
        <v>544</v>
      </c>
      <c r="B102" s="2339" t="s">
        <v>1184</v>
      </c>
      <c r="C102" s="1024"/>
      <c r="D102" s="2340" t="s">
        <v>936</v>
      </c>
      <c r="E102" s="2320">
        <f>'BS old'!D53</f>
        <v>0</v>
      </c>
      <c r="F102" s="2320"/>
      <c r="G102" s="2320"/>
      <c r="H102" s="1020"/>
      <c r="I102" s="2317">
        <f>'BS old'!F53</f>
        <v>0</v>
      </c>
      <c r="J102" s="2318"/>
      <c r="K102" s="2319"/>
      <c r="L102" s="520"/>
    </row>
    <row r="103" spans="1:14" ht="27.95" customHeight="1">
      <c r="A103" s="2337"/>
      <c r="B103" s="2339"/>
      <c r="C103" s="1025"/>
      <c r="D103" s="2341"/>
      <c r="E103" s="2320">
        <f>'BS old'!E53</f>
        <v>0</v>
      </c>
      <c r="F103" s="2320"/>
      <c r="G103" s="2320"/>
      <c r="H103" s="1028"/>
      <c r="I103" s="604"/>
      <c r="J103" s="2317">
        <f>'BS old'!G53</f>
        <v>0</v>
      </c>
      <c r="K103" s="2318"/>
      <c r="L103" s="2321"/>
    </row>
    <row r="104" spans="1:14" ht="27.95" customHeight="1">
      <c r="A104" s="2337" t="s">
        <v>547</v>
      </c>
      <c r="B104" s="2339" t="s">
        <v>1193</v>
      </c>
      <c r="C104" s="1025"/>
      <c r="D104" s="2341" t="s">
        <v>939</v>
      </c>
      <c r="E104" s="2320">
        <f>'BS old'!D54</f>
        <v>0</v>
      </c>
      <c r="F104" s="2320"/>
      <c r="G104" s="2320"/>
      <c r="H104" s="1020"/>
      <c r="I104" s="2317">
        <f>'BS old'!F54</f>
        <v>0</v>
      </c>
      <c r="J104" s="2318"/>
      <c r="K104" s="2319"/>
      <c r="L104" s="520"/>
    </row>
    <row r="105" spans="1:14" ht="27.95" customHeight="1">
      <c r="A105" s="2337"/>
      <c r="B105" s="2339"/>
      <c r="C105" s="1025"/>
      <c r="D105" s="2341"/>
      <c r="E105" s="2320">
        <f>'BS old'!E54</f>
        <v>0</v>
      </c>
      <c r="F105" s="2320"/>
      <c r="G105" s="2320"/>
      <c r="H105" s="1028"/>
      <c r="I105" s="604"/>
      <c r="J105" s="2317">
        <f>'BS old'!G54</f>
        <v>0</v>
      </c>
      <c r="K105" s="2318"/>
      <c r="L105" s="2321"/>
    </row>
    <row r="106" spans="1:14" ht="27.95" customHeight="1">
      <c r="A106" s="2355" t="s">
        <v>631</v>
      </c>
      <c r="B106" s="2356" t="s">
        <v>1192</v>
      </c>
      <c r="C106" s="1030"/>
      <c r="D106" s="2340" t="s">
        <v>941</v>
      </c>
      <c r="E106" s="2320">
        <f>'BS old'!D55</f>
        <v>0</v>
      </c>
      <c r="F106" s="2320"/>
      <c r="G106" s="2320"/>
      <c r="H106" s="1020"/>
      <c r="I106" s="2317">
        <f>'BS old'!F55</f>
        <v>0</v>
      </c>
      <c r="J106" s="2318"/>
      <c r="K106" s="2319"/>
      <c r="L106" s="520"/>
    </row>
    <row r="107" spans="1:14" ht="27.95" customHeight="1">
      <c r="A107" s="2353"/>
      <c r="B107" s="2351"/>
      <c r="C107" s="1029"/>
      <c r="D107" s="2341"/>
      <c r="E107" s="2320">
        <f>'BS old'!E55</f>
        <v>0</v>
      </c>
      <c r="F107" s="2320"/>
      <c r="G107" s="2320"/>
      <c r="H107" s="1028"/>
      <c r="I107" s="604"/>
      <c r="J107" s="2317">
        <f>'BS old'!G55</f>
        <v>0</v>
      </c>
      <c r="K107" s="2318"/>
      <c r="L107" s="2321"/>
    </row>
    <row r="108" spans="1:14" s="450" customFormat="1" ht="27.95" customHeight="1">
      <c r="A108" s="2365" t="s">
        <v>634</v>
      </c>
      <c r="B108" s="2339" t="s">
        <v>1191</v>
      </c>
      <c r="C108" s="1025"/>
      <c r="D108" s="2341" t="s">
        <v>944</v>
      </c>
      <c r="E108" s="2320">
        <f>'BS old'!D56</f>
        <v>0</v>
      </c>
      <c r="F108" s="2320"/>
      <c r="G108" s="2320"/>
      <c r="H108" s="1020"/>
      <c r="I108" s="2317">
        <f>'BS old'!F56</f>
        <v>0</v>
      </c>
      <c r="J108" s="2318"/>
      <c r="K108" s="2319"/>
      <c r="L108" s="520"/>
    </row>
    <row r="109" spans="1:14" s="450" customFormat="1" ht="27.95" customHeight="1">
      <c r="A109" s="2365"/>
      <c r="B109" s="2339"/>
      <c r="C109" s="1025"/>
      <c r="D109" s="2341"/>
      <c r="E109" s="2320">
        <f>'BS old'!E56</f>
        <v>0</v>
      </c>
      <c r="F109" s="2320"/>
      <c r="G109" s="2320"/>
      <c r="H109" s="1028"/>
      <c r="I109" s="604"/>
      <c r="J109" s="2317">
        <f>'BS old'!G56</f>
        <v>0</v>
      </c>
      <c r="K109" s="2318"/>
      <c r="L109" s="2321"/>
    </row>
    <row r="110" spans="1:14" s="450" customFormat="1" ht="27.95" customHeight="1">
      <c r="A110" s="2337" t="s">
        <v>532</v>
      </c>
      <c r="B110" s="2339" t="s">
        <v>1190</v>
      </c>
      <c r="C110" s="1024"/>
      <c r="D110" s="2340" t="s">
        <v>947</v>
      </c>
      <c r="E110" s="2320">
        <f>'BS old'!D57</f>
        <v>0</v>
      </c>
      <c r="F110" s="2320"/>
      <c r="G110" s="2320"/>
      <c r="H110" s="1020"/>
      <c r="I110" s="2317">
        <f>'BS old'!F57</f>
        <v>0</v>
      </c>
      <c r="J110" s="2318"/>
      <c r="K110" s="2319"/>
      <c r="L110" s="520"/>
    </row>
    <row r="111" spans="1:14" s="450" customFormat="1" ht="27.95" customHeight="1">
      <c r="A111" s="2337"/>
      <c r="B111" s="2339"/>
      <c r="C111" s="1025"/>
      <c r="D111" s="2341"/>
      <c r="E111" s="2320">
        <f>'BS old'!E57</f>
        <v>0</v>
      </c>
      <c r="F111" s="2320"/>
      <c r="G111" s="2320"/>
      <c r="H111" s="1028"/>
      <c r="I111" s="604"/>
      <c r="J111" s="2317">
        <f>'BS old'!G57</f>
        <v>0</v>
      </c>
      <c r="K111" s="2318"/>
      <c r="L111" s="2321"/>
    </row>
    <row r="112" spans="1:14" ht="27.95" customHeight="1">
      <c r="A112" s="2337" t="s">
        <v>535</v>
      </c>
      <c r="B112" s="2339" t="s">
        <v>1189</v>
      </c>
      <c r="C112" s="1025"/>
      <c r="D112" s="2341" t="s">
        <v>950</v>
      </c>
      <c r="E112" s="2320">
        <f>'BS old'!D58</f>
        <v>0</v>
      </c>
      <c r="F112" s="2320"/>
      <c r="G112" s="2320"/>
      <c r="H112" s="1020"/>
      <c r="I112" s="2317">
        <f>'BS old'!F58</f>
        <v>0</v>
      </c>
      <c r="J112" s="2318"/>
      <c r="K112" s="2319"/>
      <c r="L112" s="520"/>
    </row>
    <row r="113" spans="1:12" ht="27.95" customHeight="1">
      <c r="A113" s="2337"/>
      <c r="B113" s="2339"/>
      <c r="C113" s="1025"/>
      <c r="D113" s="2341"/>
      <c r="E113" s="2320">
        <f>'BS old'!E58</f>
        <v>0</v>
      </c>
      <c r="F113" s="2320"/>
      <c r="G113" s="2320"/>
      <c r="H113" s="1028"/>
      <c r="I113" s="604"/>
      <c r="J113" s="2317">
        <f>'BS old'!G58</f>
        <v>0</v>
      </c>
      <c r="K113" s="2318"/>
      <c r="L113" s="2321"/>
    </row>
    <row r="114" spans="1:12" ht="27.95" customHeight="1">
      <c r="A114" s="2337" t="s">
        <v>538</v>
      </c>
      <c r="B114" s="2339" t="s">
        <v>1188</v>
      </c>
      <c r="C114" s="1024"/>
      <c r="D114" s="2340" t="s">
        <v>952</v>
      </c>
      <c r="E114" s="2320">
        <f>'BS old'!D59</f>
        <v>0</v>
      </c>
      <c r="F114" s="2320"/>
      <c r="G114" s="2320"/>
      <c r="H114" s="1020"/>
      <c r="I114" s="2317">
        <f>'BS old'!F59</f>
        <v>0</v>
      </c>
      <c r="J114" s="2318"/>
      <c r="K114" s="2319"/>
      <c r="L114" s="520"/>
    </row>
    <row r="115" spans="1:12" ht="27.95" customHeight="1">
      <c r="A115" s="2337"/>
      <c r="B115" s="2339"/>
      <c r="C115" s="1025"/>
      <c r="D115" s="2341"/>
      <c r="E115" s="2320">
        <f>'BS old'!E59</f>
        <v>0</v>
      </c>
      <c r="F115" s="2320"/>
      <c r="G115" s="2320"/>
      <c r="H115" s="1028"/>
      <c r="I115" s="604"/>
      <c r="J115" s="2317">
        <f>'BS old'!G59</f>
        <v>0</v>
      </c>
      <c r="K115" s="2318"/>
      <c r="L115" s="2321"/>
    </row>
    <row r="116" spans="1:12" ht="27.95" customHeight="1">
      <c r="A116" s="2337" t="s">
        <v>541</v>
      </c>
      <c r="B116" s="2339" t="s">
        <v>1187</v>
      </c>
      <c r="C116" s="1025"/>
      <c r="D116" s="2341" t="s">
        <v>954</v>
      </c>
      <c r="E116" s="2320">
        <f>'BS old'!D60</f>
        <v>0</v>
      </c>
      <c r="F116" s="2320"/>
      <c r="G116" s="2320"/>
      <c r="H116" s="1020"/>
      <c r="I116" s="2317">
        <f>'BS old'!F60</f>
        <v>0</v>
      </c>
      <c r="J116" s="2318"/>
      <c r="K116" s="2319"/>
      <c r="L116" s="520"/>
    </row>
    <row r="117" spans="1:12" ht="27.95" customHeight="1">
      <c r="A117" s="2337"/>
      <c r="B117" s="2339"/>
      <c r="C117" s="1025"/>
      <c r="D117" s="2341"/>
      <c r="E117" s="2320">
        <f>'BS old'!E60</f>
        <v>0</v>
      </c>
      <c r="F117" s="2320"/>
      <c r="G117" s="2320"/>
      <c r="H117" s="1028"/>
      <c r="I117" s="604"/>
      <c r="J117" s="2317">
        <f>'BS old'!G60</f>
        <v>0</v>
      </c>
      <c r="K117" s="2318"/>
      <c r="L117" s="2321"/>
    </row>
    <row r="118" spans="1:12" ht="27.95" customHeight="1">
      <c r="A118" s="2337" t="s">
        <v>544</v>
      </c>
      <c r="B118" s="2339" t="s">
        <v>1186</v>
      </c>
      <c r="C118" s="1024"/>
      <c r="D118" s="2340" t="s">
        <v>957</v>
      </c>
      <c r="E118" s="2320">
        <f>'BS old'!D61</f>
        <v>0</v>
      </c>
      <c r="F118" s="2320"/>
      <c r="G118" s="2320"/>
      <c r="H118" s="1020"/>
      <c r="I118" s="2317">
        <f>'BS old'!F61</f>
        <v>0</v>
      </c>
      <c r="J118" s="2318"/>
      <c r="K118" s="2319"/>
      <c r="L118" s="520"/>
    </row>
    <row r="119" spans="1:12" ht="27.95" customHeight="1">
      <c r="A119" s="2337"/>
      <c r="B119" s="2339"/>
      <c r="C119" s="1025"/>
      <c r="D119" s="2341"/>
      <c r="E119" s="2320">
        <f>'BS old'!E61</f>
        <v>0</v>
      </c>
      <c r="F119" s="2320"/>
      <c r="G119" s="2320"/>
      <c r="H119" s="1028"/>
      <c r="I119" s="604"/>
      <c r="J119" s="2317">
        <f>'BS old'!G61</f>
        <v>0</v>
      </c>
      <c r="K119" s="2318"/>
      <c r="L119" s="2321"/>
    </row>
    <row r="120" spans="1:12" ht="27.95" customHeight="1">
      <c r="A120" s="2337" t="s">
        <v>547</v>
      </c>
      <c r="B120" s="2339" t="s">
        <v>1185</v>
      </c>
      <c r="C120" s="1025"/>
      <c r="D120" s="2341" t="s">
        <v>960</v>
      </c>
      <c r="E120" s="2320">
        <f>'BS old'!D62</f>
        <v>0</v>
      </c>
      <c r="F120" s="2320"/>
      <c r="G120" s="2320"/>
      <c r="H120" s="1020"/>
      <c r="I120" s="2317">
        <f>'BS old'!F62</f>
        <v>0</v>
      </c>
      <c r="J120" s="2318"/>
      <c r="K120" s="2319"/>
      <c r="L120" s="520"/>
    </row>
    <row r="121" spans="1:12" ht="27.95" customHeight="1">
      <c r="A121" s="2337"/>
      <c r="B121" s="2339"/>
      <c r="C121" s="1025"/>
      <c r="D121" s="2341"/>
      <c r="E121" s="2320">
        <f>'BS old'!E62</f>
        <v>0</v>
      </c>
      <c r="F121" s="2320"/>
      <c r="G121" s="2320"/>
      <c r="H121" s="1028"/>
      <c r="I121" s="604"/>
      <c r="J121" s="2317">
        <f>'BS old'!G62</f>
        <v>0</v>
      </c>
      <c r="K121" s="2318"/>
      <c r="L121" s="2321"/>
    </row>
    <row r="122" spans="1:12" ht="27.95" customHeight="1">
      <c r="A122" s="2337" t="s">
        <v>568</v>
      </c>
      <c r="B122" s="2339" t="s">
        <v>1184</v>
      </c>
      <c r="C122" s="1024"/>
      <c r="D122" s="2340" t="s">
        <v>962</v>
      </c>
      <c r="E122" s="2320">
        <f>'BS old'!D63</f>
        <v>0</v>
      </c>
      <c r="F122" s="2320"/>
      <c r="G122" s="2320"/>
      <c r="H122" s="1020"/>
      <c r="I122" s="2317">
        <f>'BS old'!F63</f>
        <v>0</v>
      </c>
      <c r="J122" s="2318"/>
      <c r="K122" s="2319"/>
      <c r="L122" s="520"/>
    </row>
    <row r="123" spans="1:12" ht="27.95" customHeight="1">
      <c r="A123" s="2337"/>
      <c r="B123" s="2339"/>
      <c r="C123" s="1025"/>
      <c r="D123" s="2341"/>
      <c r="E123" s="2320">
        <f>'BS old'!E63</f>
        <v>0</v>
      </c>
      <c r="F123" s="2320"/>
      <c r="G123" s="2320"/>
      <c r="H123" s="1028"/>
      <c r="I123" s="604"/>
      <c r="J123" s="2317">
        <f>'BS old'!G63</f>
        <v>0</v>
      </c>
      <c r="K123" s="2318"/>
      <c r="L123" s="2321"/>
    </row>
    <row r="124" spans="1:12" ht="27.95" customHeight="1">
      <c r="A124" s="2352" t="s">
        <v>649</v>
      </c>
      <c r="B124" s="2350" t="s">
        <v>1183</v>
      </c>
      <c r="C124" s="1030"/>
      <c r="D124" s="2341" t="s">
        <v>965</v>
      </c>
      <c r="E124" s="2320">
        <f>'BS old'!D64</f>
        <v>0</v>
      </c>
      <c r="F124" s="2320"/>
      <c r="G124" s="2320"/>
      <c r="H124" s="1020"/>
      <c r="I124" s="2317">
        <f>'BS old'!F64</f>
        <v>0</v>
      </c>
      <c r="J124" s="2318"/>
      <c r="K124" s="2319"/>
      <c r="L124" s="520"/>
    </row>
    <row r="125" spans="1:12" ht="27.95" customHeight="1">
      <c r="A125" s="2353"/>
      <c r="B125" s="2351"/>
      <c r="C125" s="1029"/>
      <c r="D125" s="2341"/>
      <c r="E125" s="2320">
        <f>'BS old'!E64</f>
        <v>0</v>
      </c>
      <c r="F125" s="2320"/>
      <c r="G125" s="2320"/>
      <c r="H125" s="1028"/>
      <c r="I125" s="604"/>
      <c r="J125" s="2317">
        <f>'BS old'!G64</f>
        <v>0</v>
      </c>
      <c r="K125" s="2318"/>
      <c r="L125" s="2321"/>
    </row>
    <row r="126" spans="1:12" s="450" customFormat="1" ht="27.95" customHeight="1">
      <c r="A126" s="2348" t="s">
        <v>652</v>
      </c>
      <c r="B126" s="2339" t="s">
        <v>1182</v>
      </c>
      <c r="C126" s="1024"/>
      <c r="D126" s="2340" t="s">
        <v>968</v>
      </c>
      <c r="E126" s="2320">
        <f>'BS old'!D65</f>
        <v>0</v>
      </c>
      <c r="F126" s="2320"/>
      <c r="G126" s="2320"/>
      <c r="H126" s="1020"/>
      <c r="I126" s="2317">
        <f>'BS old'!F65</f>
        <v>0</v>
      </c>
      <c r="J126" s="2318"/>
      <c r="K126" s="2319"/>
      <c r="L126" s="520"/>
    </row>
    <row r="127" spans="1:12" s="450" customFormat="1" ht="27.95" customHeight="1">
      <c r="A127" s="2348"/>
      <c r="B127" s="2339"/>
      <c r="C127" s="1025"/>
      <c r="D127" s="2341"/>
      <c r="E127" s="2320">
        <f>'BS old'!E65</f>
        <v>0</v>
      </c>
      <c r="F127" s="2320"/>
      <c r="G127" s="2320"/>
      <c r="H127" s="1028"/>
      <c r="I127" s="604"/>
      <c r="J127" s="2317">
        <f>'BS old'!G65</f>
        <v>0</v>
      </c>
      <c r="K127" s="2318"/>
      <c r="L127" s="2321"/>
    </row>
    <row r="128" spans="1:12" ht="11.25" customHeight="1">
      <c r="A128" s="2334" t="s">
        <v>1137</v>
      </c>
      <c r="B128" s="2342" t="s">
        <v>1181</v>
      </c>
      <c r="C128" s="1026"/>
      <c r="D128" s="2344" t="s">
        <v>1135</v>
      </c>
      <c r="E128" s="2324" t="s">
        <v>2</v>
      </c>
      <c r="F128" s="2346"/>
      <c r="G128" s="2346"/>
      <c r="H128" s="2346"/>
      <c r="I128" s="2346"/>
      <c r="J128" s="2327"/>
      <c r="K128" s="2328" t="s">
        <v>1180</v>
      </c>
      <c r="L128" s="2329"/>
    </row>
    <row r="129" spans="1:12" ht="11.25" customHeight="1">
      <c r="A129" s="2335"/>
      <c r="B129" s="2343"/>
      <c r="C129" s="1027"/>
      <c r="D129" s="2345"/>
      <c r="E129" s="2347">
        <v>1</v>
      </c>
      <c r="F129" s="2343" t="s">
        <v>1179</v>
      </c>
      <c r="G129" s="2343"/>
      <c r="H129" s="1021"/>
      <c r="I129" s="2330" t="s">
        <v>1178</v>
      </c>
      <c r="J129" s="2331"/>
      <c r="K129" s="2324"/>
      <c r="L129" s="2325"/>
    </row>
    <row r="130" spans="1:12" ht="11.25" customHeight="1">
      <c r="A130" s="2335"/>
      <c r="B130" s="2343"/>
      <c r="C130" s="1027"/>
      <c r="D130" s="2345"/>
      <c r="E130" s="2347"/>
      <c r="F130" s="2343" t="s">
        <v>1177</v>
      </c>
      <c r="G130" s="2343"/>
      <c r="H130" s="1021"/>
      <c r="I130" s="2330"/>
      <c r="J130" s="2331"/>
      <c r="K130" s="2332" t="s">
        <v>1176</v>
      </c>
      <c r="L130" s="2333"/>
    </row>
    <row r="131" spans="1:12" s="519" customFormat="1" ht="27.95" customHeight="1">
      <c r="A131" s="2337" t="s">
        <v>532</v>
      </c>
      <c r="B131" s="2339" t="s">
        <v>1175</v>
      </c>
      <c r="C131" s="1025"/>
      <c r="D131" s="2341" t="s">
        <v>656</v>
      </c>
      <c r="E131" s="2320">
        <f>'BS old'!D66</f>
        <v>0</v>
      </c>
      <c r="F131" s="2320"/>
      <c r="G131" s="2320"/>
      <c r="H131" s="1020"/>
      <c r="I131" s="2317">
        <f>'BS old'!F66</f>
        <v>0</v>
      </c>
      <c r="J131" s="2318"/>
      <c r="K131" s="2319"/>
      <c r="L131" s="520"/>
    </row>
    <row r="132" spans="1:12" s="519" customFormat="1" ht="27.95" customHeight="1">
      <c r="A132" s="2337"/>
      <c r="B132" s="2339"/>
      <c r="C132" s="1025"/>
      <c r="D132" s="2341"/>
      <c r="E132" s="2320">
        <f>'BS old'!E66</f>
        <v>0</v>
      </c>
      <c r="F132" s="2320"/>
      <c r="G132" s="2320"/>
      <c r="H132" s="1028"/>
      <c r="I132" s="604"/>
      <c r="J132" s="2317">
        <f>'BS old'!G66</f>
        <v>0</v>
      </c>
      <c r="K132" s="2318"/>
      <c r="L132" s="2321"/>
    </row>
    <row r="133" spans="1:12" s="519" customFormat="1" ht="27.95" customHeight="1">
      <c r="A133" s="2337" t="s">
        <v>535</v>
      </c>
      <c r="B133" s="2339" t="s">
        <v>1174</v>
      </c>
      <c r="C133" s="1025"/>
      <c r="D133" s="2341" t="s">
        <v>658</v>
      </c>
      <c r="E133" s="2320">
        <f>'BS old'!D67</f>
        <v>0</v>
      </c>
      <c r="F133" s="2320"/>
      <c r="G133" s="2320"/>
      <c r="H133" s="1020"/>
      <c r="I133" s="2317">
        <f>'BS old'!F67</f>
        <v>0</v>
      </c>
      <c r="J133" s="2318"/>
      <c r="K133" s="2319"/>
      <c r="L133" s="520"/>
    </row>
    <row r="134" spans="1:12" ht="27.95" customHeight="1">
      <c r="A134" s="2337"/>
      <c r="B134" s="2339"/>
      <c r="C134" s="1025"/>
      <c r="D134" s="2341"/>
      <c r="E134" s="2320">
        <f>'BS old'!E67</f>
        <v>0</v>
      </c>
      <c r="F134" s="2320"/>
      <c r="G134" s="2320"/>
      <c r="H134" s="1028"/>
      <c r="I134" s="604"/>
      <c r="J134" s="2317">
        <f>'BS old'!G67</f>
        <v>0</v>
      </c>
      <c r="K134" s="2318"/>
      <c r="L134" s="2321"/>
    </row>
    <row r="135" spans="1:12" ht="27.95" customHeight="1">
      <c r="A135" s="2337" t="s">
        <v>538</v>
      </c>
      <c r="B135" s="2339" t="s">
        <v>1173</v>
      </c>
      <c r="C135" s="1025"/>
      <c r="D135" s="2341" t="s">
        <v>660</v>
      </c>
      <c r="E135" s="2320">
        <f>'BS old'!D68</f>
        <v>0</v>
      </c>
      <c r="F135" s="2320"/>
      <c r="G135" s="2320"/>
      <c r="H135" s="1020"/>
      <c r="I135" s="2317">
        <f>'BS old'!F68</f>
        <v>0</v>
      </c>
      <c r="J135" s="2318"/>
      <c r="K135" s="2319"/>
      <c r="L135" s="520"/>
    </row>
    <row r="136" spans="1:12" ht="27.95" customHeight="1">
      <c r="A136" s="2337"/>
      <c r="B136" s="2339"/>
      <c r="C136" s="1025"/>
      <c r="D136" s="2341"/>
      <c r="E136" s="2320">
        <f>'BS old'!E68</f>
        <v>0</v>
      </c>
      <c r="F136" s="2320"/>
      <c r="G136" s="2320"/>
      <c r="H136" s="1028"/>
      <c r="I136" s="604"/>
      <c r="J136" s="2317">
        <f>'BS old'!G68</f>
        <v>0</v>
      </c>
      <c r="K136" s="2318"/>
      <c r="L136" s="2321"/>
    </row>
    <row r="137" spans="1:12" ht="27.95" customHeight="1">
      <c r="A137" s="2337" t="s">
        <v>541</v>
      </c>
      <c r="B137" s="2339" t="s">
        <v>1172</v>
      </c>
      <c r="C137" s="1025"/>
      <c r="D137" s="2341" t="s">
        <v>662</v>
      </c>
      <c r="E137" s="2320">
        <f>'BS old'!D69</f>
        <v>0</v>
      </c>
      <c r="F137" s="2320"/>
      <c r="G137" s="2320"/>
      <c r="H137" s="1020"/>
      <c r="I137" s="2317">
        <f>'BS old'!F69</f>
        <v>0</v>
      </c>
      <c r="J137" s="2318"/>
      <c r="K137" s="2319"/>
      <c r="L137" s="520"/>
    </row>
    <row r="138" spans="1:12" ht="27.95" customHeight="1">
      <c r="A138" s="2337"/>
      <c r="B138" s="2339"/>
      <c r="C138" s="1025"/>
      <c r="D138" s="2341"/>
      <c r="E138" s="2320">
        <f>'BS old'!E69</f>
        <v>0</v>
      </c>
      <c r="F138" s="2320"/>
      <c r="G138" s="2320"/>
      <c r="H138" s="1028"/>
      <c r="I138" s="604"/>
      <c r="J138" s="2317">
        <f>'BS old'!G69</f>
        <v>0</v>
      </c>
      <c r="K138" s="2318"/>
      <c r="L138" s="2321"/>
    </row>
    <row r="139" spans="1:12" ht="27.95" customHeight="1">
      <c r="A139" s="2349" t="s">
        <v>663</v>
      </c>
      <c r="B139" s="2351" t="s">
        <v>1171</v>
      </c>
      <c r="C139" s="1029"/>
      <c r="D139" s="2354" t="s">
        <v>665</v>
      </c>
      <c r="E139" s="2320">
        <f>'BS old'!D70</f>
        <v>0</v>
      </c>
      <c r="F139" s="2320"/>
      <c r="G139" s="2320"/>
      <c r="H139" s="1020"/>
      <c r="I139" s="2317">
        <f>'BS old'!F70</f>
        <v>0</v>
      </c>
      <c r="J139" s="2318"/>
      <c r="K139" s="2319"/>
      <c r="L139" s="520"/>
    </row>
    <row r="140" spans="1:12" ht="27.95" customHeight="1">
      <c r="A140" s="2349"/>
      <c r="B140" s="2351"/>
      <c r="C140" s="1029"/>
      <c r="D140" s="2354"/>
      <c r="E140" s="2320">
        <f>'BS old'!E70</f>
        <v>0</v>
      </c>
      <c r="F140" s="2320"/>
      <c r="G140" s="2320"/>
      <c r="H140" s="1028"/>
      <c r="I140" s="604"/>
      <c r="J140" s="2317">
        <f>'BS old'!G70</f>
        <v>0</v>
      </c>
      <c r="K140" s="2318"/>
      <c r="L140" s="2321"/>
    </row>
    <row r="141" spans="1:12" ht="27.95" customHeight="1">
      <c r="A141" s="2348" t="s">
        <v>666</v>
      </c>
      <c r="B141" s="2339" t="s">
        <v>1170</v>
      </c>
      <c r="C141" s="1025"/>
      <c r="D141" s="2341" t="s">
        <v>668</v>
      </c>
      <c r="E141" s="2320">
        <f>'BS old'!D71</f>
        <v>0</v>
      </c>
      <c r="F141" s="2320"/>
      <c r="G141" s="2320"/>
      <c r="H141" s="1020"/>
      <c r="I141" s="2317">
        <f>'BS old'!F71</f>
        <v>0</v>
      </c>
      <c r="J141" s="2318"/>
      <c r="K141" s="2319"/>
      <c r="L141" s="520"/>
    </row>
    <row r="142" spans="1:12" ht="27.95" customHeight="1">
      <c r="A142" s="2348"/>
      <c r="B142" s="2339"/>
      <c r="C142" s="1025"/>
      <c r="D142" s="2341"/>
      <c r="E142" s="2320">
        <f>'BS old'!E71</f>
        <v>0</v>
      </c>
      <c r="F142" s="2320"/>
      <c r="G142" s="2320"/>
      <c r="H142" s="1028"/>
      <c r="I142" s="604"/>
      <c r="J142" s="2317">
        <f>'BS old'!G71</f>
        <v>0</v>
      </c>
      <c r="K142" s="2318"/>
      <c r="L142" s="2321"/>
    </row>
    <row r="143" spans="1:12" ht="27.95" customHeight="1">
      <c r="A143" s="2337" t="s">
        <v>532</v>
      </c>
      <c r="B143" s="2339" t="s">
        <v>1169</v>
      </c>
      <c r="C143" s="1025"/>
      <c r="D143" s="2341" t="s">
        <v>670</v>
      </c>
      <c r="E143" s="2320">
        <f>'BS old'!D72</f>
        <v>0</v>
      </c>
      <c r="F143" s="2320"/>
      <c r="G143" s="2320"/>
      <c r="H143" s="1020"/>
      <c r="I143" s="2317">
        <f>'BS old'!F72</f>
        <v>0</v>
      </c>
      <c r="J143" s="2318"/>
      <c r="K143" s="2319"/>
      <c r="L143" s="520"/>
    </row>
    <row r="144" spans="1:12" s="450" customFormat="1" ht="27.95" customHeight="1">
      <c r="A144" s="2337"/>
      <c r="B144" s="2339"/>
      <c r="C144" s="1025"/>
      <c r="D144" s="2341"/>
      <c r="E144" s="2320">
        <f>'BS old'!E72</f>
        <v>0</v>
      </c>
      <c r="F144" s="2320"/>
      <c r="G144" s="2320"/>
      <c r="H144" s="1028"/>
      <c r="I144" s="604"/>
      <c r="J144" s="2317">
        <f>'BS old'!G72</f>
        <v>0</v>
      </c>
      <c r="K144" s="2318"/>
      <c r="L144" s="2321"/>
    </row>
    <row r="145" spans="1:12" s="450" customFormat="1" ht="27.95" customHeight="1">
      <c r="A145" s="2337" t="s">
        <v>535</v>
      </c>
      <c r="B145" s="2339" t="s">
        <v>1168</v>
      </c>
      <c r="C145" s="1025"/>
      <c r="D145" s="2341" t="s">
        <v>672</v>
      </c>
      <c r="E145" s="2320">
        <f>'BS old'!D73</f>
        <v>0</v>
      </c>
      <c r="F145" s="2320"/>
      <c r="G145" s="2320"/>
      <c r="H145" s="1020"/>
      <c r="I145" s="2317">
        <f>'BS old'!F73</f>
        <v>0</v>
      </c>
      <c r="J145" s="2318"/>
      <c r="K145" s="2319"/>
      <c r="L145" s="520"/>
    </row>
    <row r="146" spans="1:12" ht="27.95" customHeight="1">
      <c r="A146" s="2337"/>
      <c r="B146" s="2339"/>
      <c r="C146" s="1025"/>
      <c r="D146" s="2341"/>
      <c r="E146" s="2320">
        <f>'BS old'!E73</f>
        <v>0</v>
      </c>
      <c r="F146" s="2320"/>
      <c r="G146" s="2320"/>
      <c r="H146" s="1028"/>
      <c r="I146" s="604"/>
      <c r="J146" s="2317">
        <f>'BS old'!G73</f>
        <v>0</v>
      </c>
      <c r="K146" s="2318"/>
      <c r="L146" s="2321"/>
    </row>
    <row r="147" spans="1:12" ht="27.95" customHeight="1">
      <c r="A147" s="2337" t="s">
        <v>538</v>
      </c>
      <c r="B147" s="2339" t="s">
        <v>1167</v>
      </c>
      <c r="C147" s="1025"/>
      <c r="D147" s="2341" t="s">
        <v>674</v>
      </c>
      <c r="E147" s="2320">
        <f>'BS old'!D74</f>
        <v>0</v>
      </c>
      <c r="F147" s="2320"/>
      <c r="G147" s="2320"/>
      <c r="H147" s="1020"/>
      <c r="I147" s="2317">
        <f>'BS old'!F74</f>
        <v>0</v>
      </c>
      <c r="J147" s="2318"/>
      <c r="K147" s="2319"/>
      <c r="L147" s="520"/>
    </row>
    <row r="148" spans="1:12" s="515" customFormat="1" ht="27.95" customHeight="1">
      <c r="A148" s="2337"/>
      <c r="B148" s="2339"/>
      <c r="C148" s="1025"/>
      <c r="D148" s="2341"/>
      <c r="E148" s="2320">
        <f>'BS old'!E74</f>
        <v>0</v>
      </c>
      <c r="F148" s="2320"/>
      <c r="G148" s="2320"/>
      <c r="H148" s="1028"/>
      <c r="I148" s="604"/>
      <c r="J148" s="2317">
        <f>'BS old'!G74</f>
        <v>0</v>
      </c>
      <c r="K148" s="2318"/>
      <c r="L148" s="2321"/>
    </row>
    <row r="149" spans="1:12" s="515" customFormat="1" ht="30" customHeight="1">
      <c r="A149" s="518" t="s">
        <v>1137</v>
      </c>
      <c r="B149" s="2324" t="s">
        <v>1136</v>
      </c>
      <c r="C149" s="2346"/>
      <c r="D149" s="2346"/>
      <c r="E149" s="2346"/>
      <c r="F149" s="2327"/>
      <c r="G149" s="517" t="s">
        <v>1135</v>
      </c>
      <c r="H149" s="1170"/>
      <c r="I149" s="2324" t="s">
        <v>1134</v>
      </c>
      <c r="J149" s="2327"/>
      <c r="K149" s="2324" t="s">
        <v>1133</v>
      </c>
      <c r="L149" s="2325"/>
    </row>
    <row r="150" spans="1:12" s="515" customFormat="1" ht="27.75" customHeight="1">
      <c r="A150" s="516"/>
      <c r="B150" s="2351" t="s">
        <v>1166</v>
      </c>
      <c r="C150" s="2351"/>
      <c r="D150" s="2376"/>
      <c r="E150" s="2376"/>
      <c r="F150" s="2376"/>
      <c r="G150" s="513" t="s">
        <v>681</v>
      </c>
      <c r="H150" s="1171"/>
      <c r="I150" s="2317">
        <f>'BS old'!D81</f>
        <v>0</v>
      </c>
      <c r="J150" s="2319"/>
      <c r="K150" s="2317">
        <f>'BS old'!E81</f>
        <v>0</v>
      </c>
      <c r="L150" s="2321"/>
    </row>
    <row r="151" spans="1:12" s="515" customFormat="1" ht="27.75" customHeight="1">
      <c r="A151" s="507" t="s">
        <v>523</v>
      </c>
      <c r="B151" s="2351" t="s">
        <v>1165</v>
      </c>
      <c r="C151" s="2351"/>
      <c r="D151" s="2376"/>
      <c r="E151" s="2376"/>
      <c r="F151" s="2376"/>
      <c r="G151" s="513" t="s">
        <v>683</v>
      </c>
      <c r="H151" s="1171"/>
      <c r="I151" s="2317">
        <f>'BS old'!D82</f>
        <v>0</v>
      </c>
      <c r="J151" s="2319"/>
      <c r="K151" s="2317">
        <f>'BS old'!E82</f>
        <v>0</v>
      </c>
      <c r="L151" s="2321"/>
    </row>
    <row r="152" spans="1:12" ht="27.75" customHeight="1">
      <c r="A152" s="507" t="s">
        <v>526</v>
      </c>
      <c r="B152" s="2351" t="s">
        <v>1164</v>
      </c>
      <c r="C152" s="2351"/>
      <c r="D152" s="2376"/>
      <c r="E152" s="2376"/>
      <c r="F152" s="2376"/>
      <c r="G152" s="513" t="s">
        <v>685</v>
      </c>
      <c r="H152" s="1171"/>
      <c r="I152" s="2317">
        <f>'BS old'!D83</f>
        <v>0</v>
      </c>
      <c r="J152" s="2319"/>
      <c r="K152" s="2317">
        <f>'BS old'!E83</f>
        <v>0</v>
      </c>
      <c r="L152" s="2321"/>
    </row>
    <row r="153" spans="1:12" s="450" customFormat="1" ht="27.75" customHeight="1">
      <c r="A153" s="506" t="s">
        <v>529</v>
      </c>
      <c r="B153" s="2339" t="s">
        <v>1163</v>
      </c>
      <c r="C153" s="2339"/>
      <c r="D153" s="2375"/>
      <c r="E153" s="2375"/>
      <c r="F153" s="2375"/>
      <c r="G153" s="503" t="s">
        <v>687</v>
      </c>
      <c r="H153" s="1172"/>
      <c r="I153" s="2317">
        <f>'BS old'!D84</f>
        <v>0</v>
      </c>
      <c r="J153" s="2319"/>
      <c r="K153" s="2317">
        <f>'BS old'!E84</f>
        <v>0</v>
      </c>
      <c r="L153" s="2321"/>
    </row>
    <row r="154" spans="1:12" s="450" customFormat="1" ht="27.75" customHeight="1">
      <c r="A154" s="505" t="s">
        <v>532</v>
      </c>
      <c r="B154" s="2339" t="s">
        <v>1162</v>
      </c>
      <c r="C154" s="2339"/>
      <c r="D154" s="2375"/>
      <c r="E154" s="2375"/>
      <c r="F154" s="2375"/>
      <c r="G154" s="503" t="s">
        <v>689</v>
      </c>
      <c r="H154" s="1172"/>
      <c r="I154" s="2317">
        <f>'BS old'!D85</f>
        <v>0</v>
      </c>
      <c r="J154" s="2319"/>
      <c r="K154" s="2317">
        <f>'BS old'!E85</f>
        <v>0</v>
      </c>
      <c r="L154" s="2321"/>
    </row>
    <row r="155" spans="1:12" s="450" customFormat="1" ht="27.75" customHeight="1">
      <c r="A155" s="505" t="s">
        <v>535</v>
      </c>
      <c r="B155" s="2339" t="s">
        <v>1161</v>
      </c>
      <c r="C155" s="2339"/>
      <c r="D155" s="2375"/>
      <c r="E155" s="2375"/>
      <c r="F155" s="2375"/>
      <c r="G155" s="503" t="s">
        <v>691</v>
      </c>
      <c r="H155" s="1172"/>
      <c r="I155" s="2317">
        <f>'BS old'!D86</f>
        <v>0</v>
      </c>
      <c r="J155" s="2319"/>
      <c r="K155" s="2317">
        <f>'BS old'!E86</f>
        <v>0</v>
      </c>
      <c r="L155" s="2321"/>
    </row>
    <row r="156" spans="1:12" ht="27.75" customHeight="1">
      <c r="A156" s="505" t="s">
        <v>538</v>
      </c>
      <c r="B156" s="2339" t="s">
        <v>1160</v>
      </c>
      <c r="C156" s="2339"/>
      <c r="D156" s="2375"/>
      <c r="E156" s="2375"/>
      <c r="F156" s="2375"/>
      <c r="G156" s="503" t="s">
        <v>693</v>
      </c>
      <c r="H156" s="1172"/>
      <c r="I156" s="2317">
        <f>'BS old'!D87</f>
        <v>0</v>
      </c>
      <c r="J156" s="2319"/>
      <c r="K156" s="2317">
        <f>'BS old'!E87</f>
        <v>0</v>
      </c>
      <c r="L156" s="2321"/>
    </row>
    <row r="157" spans="1:12" ht="27.75" customHeight="1">
      <c r="A157" s="507" t="s">
        <v>550</v>
      </c>
      <c r="B157" s="2351" t="s">
        <v>1159</v>
      </c>
      <c r="C157" s="2351"/>
      <c r="D157" s="2376"/>
      <c r="E157" s="2376"/>
      <c r="F157" s="2376"/>
      <c r="G157" s="513" t="s">
        <v>695</v>
      </c>
      <c r="H157" s="1171"/>
      <c r="I157" s="2317">
        <f>'BS old'!D88</f>
        <v>0</v>
      </c>
      <c r="J157" s="2319"/>
      <c r="K157" s="2317">
        <f>'BS old'!E88</f>
        <v>0</v>
      </c>
      <c r="L157" s="2321"/>
    </row>
    <row r="158" spans="1:12" ht="27.75" customHeight="1">
      <c r="A158" s="506" t="s">
        <v>553</v>
      </c>
      <c r="B158" s="2339" t="s">
        <v>1158</v>
      </c>
      <c r="C158" s="2339"/>
      <c r="D158" s="2375"/>
      <c r="E158" s="2375"/>
      <c r="F158" s="2375"/>
      <c r="G158" s="503" t="s">
        <v>697</v>
      </c>
      <c r="H158" s="1172"/>
      <c r="I158" s="2317">
        <f>'BS old'!D89</f>
        <v>0</v>
      </c>
      <c r="J158" s="2319"/>
      <c r="K158" s="2317">
        <f>'BS old'!E89</f>
        <v>0</v>
      </c>
      <c r="L158" s="2321"/>
    </row>
    <row r="159" spans="1:12" ht="27.75" customHeight="1">
      <c r="A159" s="505" t="s">
        <v>532</v>
      </c>
      <c r="B159" s="2339" t="s">
        <v>1157</v>
      </c>
      <c r="C159" s="2339"/>
      <c r="D159" s="2375"/>
      <c r="E159" s="2375"/>
      <c r="F159" s="2375"/>
      <c r="G159" s="503" t="s">
        <v>699</v>
      </c>
      <c r="H159" s="1172"/>
      <c r="I159" s="2317">
        <f>'BS old'!D90</f>
        <v>0</v>
      </c>
      <c r="J159" s="2319"/>
      <c r="K159" s="2317">
        <f>'BS old'!E90</f>
        <v>0</v>
      </c>
      <c r="L159" s="2321"/>
    </row>
    <row r="160" spans="1:12" s="450" customFormat="1" ht="27.75" customHeight="1">
      <c r="A160" s="505" t="s">
        <v>535</v>
      </c>
      <c r="B160" s="2339" t="s">
        <v>1156</v>
      </c>
      <c r="C160" s="2339"/>
      <c r="D160" s="2375"/>
      <c r="E160" s="2375"/>
      <c r="F160" s="2375"/>
      <c r="G160" s="503" t="s">
        <v>701</v>
      </c>
      <c r="H160" s="1172"/>
      <c r="I160" s="2317">
        <f>'BS old'!D91</f>
        <v>0</v>
      </c>
      <c r="J160" s="2319"/>
      <c r="K160" s="2317">
        <f>'BS old'!E91</f>
        <v>0</v>
      </c>
      <c r="L160" s="2321"/>
    </row>
    <row r="161" spans="1:12" ht="27.75" customHeight="1">
      <c r="A161" s="505" t="s">
        <v>538</v>
      </c>
      <c r="B161" s="2339" t="s">
        <v>1155</v>
      </c>
      <c r="C161" s="2339"/>
      <c r="D161" s="2375"/>
      <c r="E161" s="2375"/>
      <c r="F161" s="2375"/>
      <c r="G161" s="503" t="s">
        <v>703</v>
      </c>
      <c r="H161" s="1172"/>
      <c r="I161" s="2317">
        <f>'BS old'!D92</f>
        <v>0</v>
      </c>
      <c r="J161" s="2319"/>
      <c r="K161" s="2317">
        <f>'BS old'!E92</f>
        <v>0</v>
      </c>
      <c r="L161" s="2321"/>
    </row>
    <row r="162" spans="1:12" ht="27.75" customHeight="1">
      <c r="A162" s="505" t="s">
        <v>541</v>
      </c>
      <c r="B162" s="2339" t="s">
        <v>1154</v>
      </c>
      <c r="C162" s="2339"/>
      <c r="D162" s="2375"/>
      <c r="E162" s="2375"/>
      <c r="F162" s="2375"/>
      <c r="G162" s="503" t="s">
        <v>705</v>
      </c>
      <c r="H162" s="1172"/>
      <c r="I162" s="2317">
        <f>'BS old'!D93</f>
        <v>0</v>
      </c>
      <c r="J162" s="2319"/>
      <c r="K162" s="2317">
        <f>'BS old'!E93</f>
        <v>0</v>
      </c>
      <c r="L162" s="2321"/>
    </row>
    <row r="163" spans="1:12" ht="27.75" customHeight="1">
      <c r="A163" s="505" t="s">
        <v>544</v>
      </c>
      <c r="B163" s="2339" t="s">
        <v>1153</v>
      </c>
      <c r="C163" s="2339"/>
      <c r="D163" s="2375"/>
      <c r="E163" s="2375"/>
      <c r="F163" s="2375"/>
      <c r="G163" s="503" t="s">
        <v>707</v>
      </c>
      <c r="H163" s="1172"/>
      <c r="I163" s="2317">
        <f>'BS old'!D94</f>
        <v>0</v>
      </c>
      <c r="J163" s="2319"/>
      <c r="K163" s="2317">
        <f>'BS old'!E94</f>
        <v>0</v>
      </c>
      <c r="L163" s="2321"/>
    </row>
    <row r="164" spans="1:12" ht="27.75" customHeight="1">
      <c r="A164" s="507" t="s">
        <v>574</v>
      </c>
      <c r="B164" s="2351" t="s">
        <v>1152</v>
      </c>
      <c r="C164" s="2351"/>
      <c r="D164" s="2376"/>
      <c r="E164" s="2376"/>
      <c r="F164" s="2376"/>
      <c r="G164" s="513" t="s">
        <v>709</v>
      </c>
      <c r="H164" s="1171"/>
      <c r="I164" s="2317">
        <f>'BS old'!D95</f>
        <v>0</v>
      </c>
      <c r="J164" s="2319"/>
      <c r="K164" s="2317">
        <f>'BS old'!E95</f>
        <v>0</v>
      </c>
      <c r="L164" s="2321"/>
    </row>
    <row r="165" spans="1:12" ht="27.75" customHeight="1">
      <c r="A165" s="505" t="s">
        <v>577</v>
      </c>
      <c r="B165" s="2339" t="s">
        <v>1151</v>
      </c>
      <c r="C165" s="2339"/>
      <c r="D165" s="2375"/>
      <c r="E165" s="2375"/>
      <c r="F165" s="2375"/>
      <c r="G165" s="503" t="s">
        <v>711</v>
      </c>
      <c r="H165" s="1172"/>
      <c r="I165" s="2317">
        <f>'BS old'!D96</f>
        <v>0</v>
      </c>
      <c r="J165" s="2319"/>
      <c r="K165" s="2317">
        <f>'BS old'!E96</f>
        <v>0</v>
      </c>
      <c r="L165" s="2321"/>
    </row>
    <row r="166" spans="1:12" ht="27.75" customHeight="1">
      <c r="A166" s="505" t="s">
        <v>532</v>
      </c>
      <c r="B166" s="2339" t="s">
        <v>1150</v>
      </c>
      <c r="C166" s="2339"/>
      <c r="D166" s="2375"/>
      <c r="E166" s="2375"/>
      <c r="F166" s="2375"/>
      <c r="G166" s="503" t="s">
        <v>713</v>
      </c>
      <c r="H166" s="1172"/>
      <c r="I166" s="2317">
        <f>'BS old'!D97</f>
        <v>0</v>
      </c>
      <c r="J166" s="2319"/>
      <c r="K166" s="2317">
        <f>'BS old'!E97</f>
        <v>0</v>
      </c>
      <c r="L166" s="2321"/>
    </row>
    <row r="167" spans="1:12" s="450" customFormat="1" ht="27.75" customHeight="1">
      <c r="A167" s="505" t="s">
        <v>535</v>
      </c>
      <c r="B167" s="2339" t="s">
        <v>1149</v>
      </c>
      <c r="C167" s="2339"/>
      <c r="D167" s="2375"/>
      <c r="E167" s="2375"/>
      <c r="F167" s="2375"/>
      <c r="G167" s="503" t="s">
        <v>715</v>
      </c>
      <c r="H167" s="1172"/>
      <c r="I167" s="2317">
        <f>'BS old'!D98</f>
        <v>0</v>
      </c>
      <c r="J167" s="2319"/>
      <c r="K167" s="2317">
        <f>'BS old'!E98</f>
        <v>0</v>
      </c>
      <c r="L167" s="2321"/>
    </row>
    <row r="168" spans="1:12" ht="27.75" customHeight="1">
      <c r="A168" s="507" t="s">
        <v>716</v>
      </c>
      <c r="B168" s="2351" t="s">
        <v>1148</v>
      </c>
      <c r="C168" s="2351"/>
      <c r="D168" s="2376"/>
      <c r="E168" s="2376"/>
      <c r="F168" s="2376"/>
      <c r="G168" s="513" t="s">
        <v>718</v>
      </c>
      <c r="H168" s="1171"/>
      <c r="I168" s="2317">
        <f>'BS old'!D99</f>
        <v>0</v>
      </c>
      <c r="J168" s="2319"/>
      <c r="K168" s="2317">
        <f>'BS old'!E99</f>
        <v>0</v>
      </c>
      <c r="L168" s="2321"/>
    </row>
    <row r="169" spans="1:12" ht="27.75" customHeight="1">
      <c r="A169" s="514" t="s">
        <v>719</v>
      </c>
      <c r="B169" s="2339" t="s">
        <v>1147</v>
      </c>
      <c r="C169" s="2339"/>
      <c r="D169" s="2375"/>
      <c r="E169" s="2375"/>
      <c r="F169" s="2375"/>
      <c r="G169" s="503" t="s">
        <v>721</v>
      </c>
      <c r="H169" s="1172"/>
      <c r="I169" s="2317">
        <f>'BS old'!D100</f>
        <v>0</v>
      </c>
      <c r="J169" s="2319"/>
      <c r="K169" s="2317">
        <f>'BS old'!E100</f>
        <v>0</v>
      </c>
      <c r="L169" s="2321"/>
    </row>
    <row r="170" spans="1:12" ht="27.75" customHeight="1">
      <c r="A170" s="505" t="s">
        <v>532</v>
      </c>
      <c r="B170" s="2339" t="s">
        <v>1146</v>
      </c>
      <c r="C170" s="2339"/>
      <c r="D170" s="2375"/>
      <c r="E170" s="2375"/>
      <c r="F170" s="2375"/>
      <c r="G170" s="503" t="s">
        <v>723</v>
      </c>
      <c r="H170" s="1172"/>
      <c r="I170" s="2317">
        <f>'BS old'!D101</f>
        <v>0</v>
      </c>
      <c r="J170" s="2319"/>
      <c r="K170" s="2317">
        <f>'BS old'!E101</f>
        <v>0</v>
      </c>
      <c r="L170" s="2321"/>
    </row>
    <row r="171" spans="1:12" s="450" customFormat="1" ht="31.5" customHeight="1">
      <c r="A171" s="507" t="s">
        <v>724</v>
      </c>
      <c r="B171" s="2351" t="s">
        <v>1145</v>
      </c>
      <c r="C171" s="2351"/>
      <c r="D171" s="2376"/>
      <c r="E171" s="2376"/>
      <c r="F171" s="2376"/>
      <c r="G171" s="513" t="s">
        <v>726</v>
      </c>
      <c r="H171" s="1171"/>
      <c r="I171" s="2317">
        <f>'BS old'!D102</f>
        <v>0</v>
      </c>
      <c r="J171" s="2319"/>
      <c r="K171" s="2317">
        <f>'BS old'!E102</f>
        <v>0</v>
      </c>
      <c r="L171" s="2321"/>
    </row>
    <row r="172" spans="1:12" ht="27.75" customHeight="1">
      <c r="A172" s="507" t="s">
        <v>594</v>
      </c>
      <c r="B172" s="2351" t="s">
        <v>1144</v>
      </c>
      <c r="C172" s="2351"/>
      <c r="D172" s="2376"/>
      <c r="E172" s="2376"/>
      <c r="F172" s="2376"/>
      <c r="G172" s="513" t="s">
        <v>728</v>
      </c>
      <c r="H172" s="1171"/>
      <c r="I172" s="2317">
        <f>'BS old'!D103</f>
        <v>0</v>
      </c>
      <c r="J172" s="2319"/>
      <c r="K172" s="2317">
        <f>'BS old'!E103</f>
        <v>0</v>
      </c>
      <c r="L172" s="2321"/>
    </row>
    <row r="173" spans="1:12" ht="27.75" customHeight="1">
      <c r="A173" s="507" t="s">
        <v>597</v>
      </c>
      <c r="B173" s="2351" t="s">
        <v>1143</v>
      </c>
      <c r="C173" s="2351"/>
      <c r="D173" s="2376"/>
      <c r="E173" s="2376"/>
      <c r="F173" s="2376"/>
      <c r="G173" s="513" t="s">
        <v>730</v>
      </c>
      <c r="H173" s="1171"/>
      <c r="I173" s="2317">
        <f>'BS old'!D104</f>
        <v>0</v>
      </c>
      <c r="J173" s="2319"/>
      <c r="K173" s="2317">
        <f>'BS old'!E104</f>
        <v>0</v>
      </c>
      <c r="L173" s="2321"/>
    </row>
    <row r="174" spans="1:12" s="450" customFormat="1" ht="27.75" customHeight="1">
      <c r="A174" s="506" t="s">
        <v>600</v>
      </c>
      <c r="B174" s="2339" t="s">
        <v>1142</v>
      </c>
      <c r="C174" s="2339"/>
      <c r="D174" s="2375"/>
      <c r="E174" s="2375"/>
      <c r="F174" s="2375"/>
      <c r="G174" s="503" t="s">
        <v>732</v>
      </c>
      <c r="H174" s="1172"/>
      <c r="I174" s="2317">
        <f>'BS old'!D105</f>
        <v>0</v>
      </c>
      <c r="J174" s="2319"/>
      <c r="K174" s="2317">
        <f>'BS old'!E105</f>
        <v>0</v>
      </c>
      <c r="L174" s="2321"/>
    </row>
    <row r="175" spans="1:12" s="450" customFormat="1" ht="27.75" customHeight="1">
      <c r="A175" s="505" t="s">
        <v>532</v>
      </c>
      <c r="B175" s="2339" t="s">
        <v>1141</v>
      </c>
      <c r="C175" s="2339"/>
      <c r="D175" s="2375"/>
      <c r="E175" s="2375"/>
      <c r="F175" s="2375"/>
      <c r="G175" s="503" t="s">
        <v>734</v>
      </c>
      <c r="H175" s="1172"/>
      <c r="I175" s="2317">
        <f>'BS old'!D106</f>
        <v>0</v>
      </c>
      <c r="J175" s="2319"/>
      <c r="K175" s="2317">
        <f>'BS old'!E106</f>
        <v>0</v>
      </c>
      <c r="L175" s="2321"/>
    </row>
    <row r="176" spans="1:12" s="450" customFormat="1" ht="27.75" customHeight="1">
      <c r="A176" s="505" t="s">
        <v>535</v>
      </c>
      <c r="B176" s="2339" t="s">
        <v>1140</v>
      </c>
      <c r="C176" s="2339"/>
      <c r="D176" s="2375"/>
      <c r="E176" s="2375"/>
      <c r="F176" s="2375"/>
      <c r="G176" s="503" t="s">
        <v>736</v>
      </c>
      <c r="H176" s="1172"/>
      <c r="I176" s="2317">
        <f>'BS old'!D107</f>
        <v>0</v>
      </c>
      <c r="J176" s="2319"/>
      <c r="K176" s="2317">
        <f>'BS old'!E107</f>
        <v>0</v>
      </c>
      <c r="L176" s="2321"/>
    </row>
    <row r="177" spans="1:12" ht="27.75" customHeight="1">
      <c r="A177" s="505" t="s">
        <v>538</v>
      </c>
      <c r="B177" s="2339" t="s">
        <v>1139</v>
      </c>
      <c r="C177" s="2339"/>
      <c r="D177" s="2375"/>
      <c r="E177" s="2375"/>
      <c r="F177" s="2375"/>
      <c r="G177" s="503" t="s">
        <v>738</v>
      </c>
      <c r="H177" s="1172"/>
      <c r="I177" s="2317">
        <f>'BS old'!D108</f>
        <v>0</v>
      </c>
      <c r="J177" s="2319"/>
      <c r="K177" s="2317">
        <f>'BS old'!E108</f>
        <v>0</v>
      </c>
      <c r="L177" s="2321"/>
    </row>
    <row r="178" spans="1:12" ht="25.5" customHeight="1" thickBot="1">
      <c r="A178" s="512" t="s">
        <v>613</v>
      </c>
      <c r="B178" s="2377" t="s">
        <v>1138</v>
      </c>
      <c r="C178" s="2377"/>
      <c r="D178" s="2378"/>
      <c r="E178" s="2378"/>
      <c r="F178" s="2378"/>
      <c r="G178" s="511" t="s">
        <v>740</v>
      </c>
      <c r="H178" s="1173"/>
      <c r="I178" s="2317">
        <f>'BS old'!D109</f>
        <v>0</v>
      </c>
      <c r="J178" s="2319"/>
      <c r="K178" s="2317">
        <f>'BS old'!E109</f>
        <v>0</v>
      </c>
      <c r="L178" s="2321"/>
    </row>
    <row r="179" spans="1:12" ht="30" customHeight="1">
      <c r="A179" s="510" t="s">
        <v>1137</v>
      </c>
      <c r="B179" s="2322" t="s">
        <v>1136</v>
      </c>
      <c r="C179" s="2381"/>
      <c r="D179" s="2382"/>
      <c r="E179" s="2382"/>
      <c r="F179" s="2383"/>
      <c r="G179" s="509" t="s">
        <v>1135</v>
      </c>
      <c r="H179" s="1174"/>
      <c r="I179" s="2322" t="s">
        <v>1134</v>
      </c>
      <c r="J179" s="2326"/>
      <c r="K179" s="2322" t="s">
        <v>1133</v>
      </c>
      <c r="L179" s="2323"/>
    </row>
    <row r="180" spans="1:12" ht="27.75" customHeight="1">
      <c r="A180" s="506" t="s">
        <v>616</v>
      </c>
      <c r="B180" s="2339" t="s">
        <v>1132</v>
      </c>
      <c r="C180" s="2339"/>
      <c r="D180" s="2375"/>
      <c r="E180" s="2375"/>
      <c r="F180" s="2375"/>
      <c r="G180" s="503" t="s">
        <v>742</v>
      </c>
      <c r="H180" s="1172"/>
      <c r="I180" s="2317">
        <f>'BS old'!D110</f>
        <v>0</v>
      </c>
      <c r="J180" s="2319"/>
      <c r="K180" s="2317">
        <f>'BS old'!E110</f>
        <v>0</v>
      </c>
      <c r="L180" s="2321"/>
    </row>
    <row r="181" spans="1:12" ht="27.75" customHeight="1">
      <c r="A181" s="505" t="s">
        <v>532</v>
      </c>
      <c r="B181" s="2339" t="s">
        <v>1120</v>
      </c>
      <c r="C181" s="2339"/>
      <c r="D181" s="2375"/>
      <c r="E181" s="2375"/>
      <c r="F181" s="2375"/>
      <c r="G181" s="503" t="s">
        <v>743</v>
      </c>
      <c r="H181" s="1172"/>
      <c r="I181" s="2317">
        <f>'BS old'!D111</f>
        <v>0</v>
      </c>
      <c r="J181" s="2319"/>
      <c r="K181" s="2317">
        <f>'BS old'!E111</f>
        <v>0</v>
      </c>
      <c r="L181" s="2321"/>
    </row>
    <row r="182" spans="1:12" s="450" customFormat="1" ht="27.75" customHeight="1">
      <c r="A182" s="505" t="s">
        <v>535</v>
      </c>
      <c r="B182" s="2339" t="s">
        <v>1131</v>
      </c>
      <c r="C182" s="2339"/>
      <c r="D182" s="2375"/>
      <c r="E182" s="2375"/>
      <c r="F182" s="2375"/>
      <c r="G182" s="503" t="s">
        <v>745</v>
      </c>
      <c r="H182" s="1172"/>
      <c r="I182" s="2317">
        <f>'BS old'!D112</f>
        <v>0</v>
      </c>
      <c r="J182" s="2319"/>
      <c r="K182" s="2317">
        <f>'BS old'!E112</f>
        <v>0</v>
      </c>
      <c r="L182" s="2321"/>
    </row>
    <row r="183" spans="1:12" ht="27.75" customHeight="1">
      <c r="A183" s="505" t="s">
        <v>538</v>
      </c>
      <c r="B183" s="2339" t="s">
        <v>1130</v>
      </c>
      <c r="C183" s="2339"/>
      <c r="D183" s="2375"/>
      <c r="E183" s="2375"/>
      <c r="F183" s="2375"/>
      <c r="G183" s="503" t="s">
        <v>747</v>
      </c>
      <c r="H183" s="1172"/>
      <c r="I183" s="2317">
        <f>'BS old'!D113</f>
        <v>0</v>
      </c>
      <c r="J183" s="2319"/>
      <c r="K183" s="2317">
        <f>'BS old'!E113</f>
        <v>0</v>
      </c>
      <c r="L183" s="2321"/>
    </row>
    <row r="184" spans="1:12" ht="27.75" customHeight="1">
      <c r="A184" s="505" t="s">
        <v>541</v>
      </c>
      <c r="B184" s="2339" t="s">
        <v>1129</v>
      </c>
      <c r="C184" s="2339"/>
      <c r="D184" s="2375"/>
      <c r="E184" s="2375"/>
      <c r="F184" s="2375"/>
      <c r="G184" s="503" t="s">
        <v>749</v>
      </c>
      <c r="H184" s="1172"/>
      <c r="I184" s="2317">
        <f>'BS old'!D114</f>
        <v>0</v>
      </c>
      <c r="J184" s="2319"/>
      <c r="K184" s="2317">
        <f>'BS old'!E114</f>
        <v>0</v>
      </c>
      <c r="L184" s="2321"/>
    </row>
    <row r="185" spans="1:12" ht="27.75" customHeight="1">
      <c r="A185" s="505" t="s">
        <v>544</v>
      </c>
      <c r="B185" s="2339" t="s">
        <v>1128</v>
      </c>
      <c r="C185" s="2339"/>
      <c r="D185" s="2375"/>
      <c r="E185" s="2375"/>
      <c r="F185" s="2375"/>
      <c r="G185" s="503" t="s">
        <v>751</v>
      </c>
      <c r="H185" s="1172"/>
      <c r="I185" s="2317">
        <f>'BS old'!D115</f>
        <v>0</v>
      </c>
      <c r="J185" s="2319"/>
      <c r="K185" s="2317">
        <f>'BS old'!E115</f>
        <v>0</v>
      </c>
      <c r="L185" s="2321"/>
    </row>
    <row r="186" spans="1:12" ht="27.75" customHeight="1">
      <c r="A186" s="505" t="s">
        <v>547</v>
      </c>
      <c r="B186" s="2339" t="s">
        <v>1127</v>
      </c>
      <c r="C186" s="2339"/>
      <c r="D186" s="2375"/>
      <c r="E186" s="2375"/>
      <c r="F186" s="2375"/>
      <c r="G186" s="503" t="s">
        <v>753</v>
      </c>
      <c r="H186" s="1172"/>
      <c r="I186" s="2317">
        <f>'BS old'!D116</f>
        <v>0</v>
      </c>
      <c r="J186" s="2319"/>
      <c r="K186" s="2317">
        <f>'BS old'!E116</f>
        <v>0</v>
      </c>
      <c r="L186" s="2321"/>
    </row>
    <row r="187" spans="1:12" ht="27.75" customHeight="1">
      <c r="A187" s="505" t="s">
        <v>568</v>
      </c>
      <c r="B187" s="2339" t="s">
        <v>1126</v>
      </c>
      <c r="C187" s="2339"/>
      <c r="D187" s="2375"/>
      <c r="E187" s="2375"/>
      <c r="F187" s="2375"/>
      <c r="G187" s="503" t="s">
        <v>755</v>
      </c>
      <c r="H187" s="1172"/>
      <c r="I187" s="2317">
        <f>'BS old'!D117</f>
        <v>0</v>
      </c>
      <c r="J187" s="2319"/>
      <c r="K187" s="2317">
        <f>'BS old'!E117</f>
        <v>0</v>
      </c>
      <c r="L187" s="2321"/>
    </row>
    <row r="188" spans="1:12" ht="27.75" customHeight="1">
      <c r="A188" s="505" t="s">
        <v>571</v>
      </c>
      <c r="B188" s="2339" t="s">
        <v>1125</v>
      </c>
      <c r="C188" s="2339"/>
      <c r="D188" s="2375"/>
      <c r="E188" s="2375"/>
      <c r="F188" s="2375"/>
      <c r="G188" s="503" t="s">
        <v>757</v>
      </c>
      <c r="H188" s="1172"/>
      <c r="I188" s="2317">
        <f>'BS old'!D118</f>
        <v>0</v>
      </c>
      <c r="J188" s="2319"/>
      <c r="K188" s="2317">
        <f>'BS old'!E118</f>
        <v>0</v>
      </c>
      <c r="L188" s="2321"/>
    </row>
    <row r="189" spans="1:12" ht="27.75" customHeight="1">
      <c r="A189" s="505" t="s">
        <v>758</v>
      </c>
      <c r="B189" s="2339" t="s">
        <v>1124</v>
      </c>
      <c r="C189" s="2339"/>
      <c r="D189" s="2375"/>
      <c r="E189" s="2375"/>
      <c r="F189" s="2375"/>
      <c r="G189" s="503" t="s">
        <v>760</v>
      </c>
      <c r="H189" s="1172"/>
      <c r="I189" s="2317">
        <f>'BS old'!D119</f>
        <v>0</v>
      </c>
      <c r="J189" s="2319"/>
      <c r="K189" s="2317">
        <f>'BS old'!E119</f>
        <v>0</v>
      </c>
      <c r="L189" s="2321"/>
    </row>
    <row r="190" spans="1:12" ht="27.75" customHeight="1">
      <c r="A190" s="505" t="s">
        <v>761</v>
      </c>
      <c r="B190" s="2339" t="s">
        <v>1123</v>
      </c>
      <c r="C190" s="2339"/>
      <c r="D190" s="2375"/>
      <c r="E190" s="2375"/>
      <c r="F190" s="2375"/>
      <c r="G190" s="503" t="s">
        <v>763</v>
      </c>
      <c r="H190" s="1172"/>
      <c r="I190" s="2317">
        <f>'BS old'!D120</f>
        <v>0</v>
      </c>
      <c r="J190" s="2319"/>
      <c r="K190" s="2317">
        <f>'BS old'!E120</f>
        <v>0</v>
      </c>
      <c r="L190" s="2321"/>
    </row>
    <row r="191" spans="1:12" ht="27.75" customHeight="1">
      <c r="A191" s="507" t="s">
        <v>631</v>
      </c>
      <c r="B191" s="2351" t="s">
        <v>1122</v>
      </c>
      <c r="C191" s="2351"/>
      <c r="D191" s="2376"/>
      <c r="E191" s="2376"/>
      <c r="F191" s="2376"/>
      <c r="G191" s="503" t="s">
        <v>765</v>
      </c>
      <c r="H191" s="1172"/>
      <c r="I191" s="2317">
        <f>'BS old'!D121</f>
        <v>0</v>
      </c>
      <c r="J191" s="2319"/>
      <c r="K191" s="2317">
        <f>'BS old'!E121</f>
        <v>0</v>
      </c>
      <c r="L191" s="2321"/>
    </row>
    <row r="192" spans="1:12" ht="27.75" customHeight="1">
      <c r="A192" s="505" t="s">
        <v>634</v>
      </c>
      <c r="B192" s="2339" t="s">
        <v>1121</v>
      </c>
      <c r="C192" s="2339"/>
      <c r="D192" s="2375"/>
      <c r="E192" s="2375"/>
      <c r="F192" s="2375"/>
      <c r="G192" s="503" t="s">
        <v>767</v>
      </c>
      <c r="H192" s="1172"/>
      <c r="I192" s="2317">
        <f>'BS old'!D122</f>
        <v>0</v>
      </c>
      <c r="J192" s="2319"/>
      <c r="K192" s="2317">
        <f>'BS old'!E122</f>
        <v>0</v>
      </c>
      <c r="L192" s="2321"/>
    </row>
    <row r="193" spans="1:12" ht="27.75" customHeight="1">
      <c r="A193" s="505" t="s">
        <v>532</v>
      </c>
      <c r="B193" s="2339" t="s">
        <v>1120</v>
      </c>
      <c r="C193" s="2339"/>
      <c r="D193" s="2375"/>
      <c r="E193" s="2375"/>
      <c r="F193" s="2375"/>
      <c r="G193" s="503" t="s">
        <v>768</v>
      </c>
      <c r="H193" s="1172"/>
      <c r="I193" s="2317">
        <f>'BS old'!D123</f>
        <v>0</v>
      </c>
      <c r="J193" s="2319"/>
      <c r="K193" s="2317">
        <f>'BS old'!E123</f>
        <v>0</v>
      </c>
      <c r="L193" s="2321"/>
    </row>
    <row r="194" spans="1:12" ht="27.75" customHeight="1">
      <c r="A194" s="505" t="s">
        <v>535</v>
      </c>
      <c r="B194" s="2339" t="s">
        <v>1119</v>
      </c>
      <c r="C194" s="2339"/>
      <c r="D194" s="2375"/>
      <c r="E194" s="2375"/>
      <c r="F194" s="2375"/>
      <c r="G194" s="503" t="s">
        <v>770</v>
      </c>
      <c r="H194" s="1172"/>
      <c r="I194" s="2317">
        <f>'BS old'!D124</f>
        <v>0</v>
      </c>
      <c r="J194" s="2319"/>
      <c r="K194" s="2317">
        <f>'BS old'!E124</f>
        <v>0</v>
      </c>
      <c r="L194" s="2321"/>
    </row>
    <row r="195" spans="1:12" s="450" customFormat="1" ht="27.75" customHeight="1">
      <c r="A195" s="505" t="s">
        <v>538</v>
      </c>
      <c r="B195" s="2339" t="s">
        <v>1118</v>
      </c>
      <c r="C195" s="2339"/>
      <c r="D195" s="2375"/>
      <c r="E195" s="2375"/>
      <c r="F195" s="2375"/>
      <c r="G195" s="503" t="s">
        <v>772</v>
      </c>
      <c r="H195" s="1172"/>
      <c r="I195" s="2317">
        <f>'BS old'!D125</f>
        <v>0</v>
      </c>
      <c r="J195" s="2319"/>
      <c r="K195" s="2317">
        <f>'BS old'!E125</f>
        <v>0</v>
      </c>
      <c r="L195" s="2321"/>
    </row>
    <row r="196" spans="1:12" ht="27.75" customHeight="1">
      <c r="A196" s="505" t="s">
        <v>541</v>
      </c>
      <c r="B196" s="2339" t="s">
        <v>1117</v>
      </c>
      <c r="C196" s="2339"/>
      <c r="D196" s="2375"/>
      <c r="E196" s="2375"/>
      <c r="F196" s="2375"/>
      <c r="G196" s="503" t="s">
        <v>774</v>
      </c>
      <c r="H196" s="1172"/>
      <c r="I196" s="2317">
        <f>'BS old'!D126</f>
        <v>0</v>
      </c>
      <c r="J196" s="2319"/>
      <c r="K196" s="2317">
        <f>'BS old'!E126</f>
        <v>0</v>
      </c>
      <c r="L196" s="2321"/>
    </row>
    <row r="197" spans="1:12" ht="27.75" customHeight="1">
      <c r="A197" s="505" t="s">
        <v>544</v>
      </c>
      <c r="B197" s="2339" t="s">
        <v>1116</v>
      </c>
      <c r="C197" s="2339"/>
      <c r="D197" s="2375"/>
      <c r="E197" s="2375"/>
      <c r="F197" s="2375"/>
      <c r="G197" s="503" t="s">
        <v>776</v>
      </c>
      <c r="H197" s="1172"/>
      <c r="I197" s="2317">
        <f>'BS old'!D127</f>
        <v>0</v>
      </c>
      <c r="J197" s="2319"/>
      <c r="K197" s="2317">
        <f>'BS old'!E127</f>
        <v>0</v>
      </c>
      <c r="L197" s="2321"/>
    </row>
    <row r="198" spans="1:12" ht="27.75" customHeight="1">
      <c r="A198" s="505" t="s">
        <v>547</v>
      </c>
      <c r="B198" s="2339" t="s">
        <v>1115</v>
      </c>
      <c r="C198" s="2339"/>
      <c r="D198" s="2375"/>
      <c r="E198" s="2375"/>
      <c r="F198" s="2375"/>
      <c r="G198" s="503" t="s">
        <v>778</v>
      </c>
      <c r="H198" s="1172"/>
      <c r="I198" s="2317">
        <f>'BS old'!D128</f>
        <v>0</v>
      </c>
      <c r="J198" s="2319"/>
      <c r="K198" s="2317">
        <f>'BS old'!E128</f>
        <v>0</v>
      </c>
      <c r="L198" s="2321"/>
    </row>
    <row r="199" spans="1:12" ht="27.75" customHeight="1">
      <c r="A199" s="505" t="s">
        <v>568</v>
      </c>
      <c r="B199" s="2339" t="s">
        <v>1114</v>
      </c>
      <c r="C199" s="2339"/>
      <c r="D199" s="2375"/>
      <c r="E199" s="2375"/>
      <c r="F199" s="2375"/>
      <c r="G199" s="503" t="s">
        <v>780</v>
      </c>
      <c r="H199" s="1172"/>
      <c r="I199" s="2317">
        <f>'BS old'!D129</f>
        <v>0</v>
      </c>
      <c r="J199" s="2319"/>
      <c r="K199" s="2317">
        <f>'BS old'!E129</f>
        <v>0</v>
      </c>
      <c r="L199" s="2321"/>
    </row>
    <row r="200" spans="1:12" ht="27.75" customHeight="1">
      <c r="A200" s="505" t="s">
        <v>571</v>
      </c>
      <c r="B200" s="2339" t="s">
        <v>1113</v>
      </c>
      <c r="C200" s="2339"/>
      <c r="D200" s="2375"/>
      <c r="E200" s="2375"/>
      <c r="F200" s="2375"/>
      <c r="G200" s="503" t="s">
        <v>782</v>
      </c>
      <c r="H200" s="1172"/>
      <c r="I200" s="2317">
        <f>'BS old'!D130</f>
        <v>0</v>
      </c>
      <c r="J200" s="2319"/>
      <c r="K200" s="2317">
        <f>'BS old'!E130</f>
        <v>0</v>
      </c>
      <c r="L200" s="2321"/>
    </row>
    <row r="201" spans="1:12" ht="27.75" customHeight="1">
      <c r="A201" s="505" t="s">
        <v>758</v>
      </c>
      <c r="B201" s="2339" t="s">
        <v>1112</v>
      </c>
      <c r="C201" s="2339"/>
      <c r="D201" s="2375"/>
      <c r="E201" s="2375"/>
      <c r="F201" s="2375"/>
      <c r="G201" s="503" t="s">
        <v>784</v>
      </c>
      <c r="H201" s="1172"/>
      <c r="I201" s="2317">
        <f>'BS old'!D131</f>
        <v>0</v>
      </c>
      <c r="J201" s="2319"/>
      <c r="K201" s="2317">
        <f>'BS old'!E131</f>
        <v>0</v>
      </c>
      <c r="L201" s="2321"/>
    </row>
    <row r="202" spans="1:12" ht="27.75" customHeight="1">
      <c r="A202" s="507" t="s">
        <v>649</v>
      </c>
      <c r="B202" s="2351" t="s">
        <v>1111</v>
      </c>
      <c r="C202" s="2351"/>
      <c r="D202" s="2376"/>
      <c r="E202" s="2376"/>
      <c r="F202" s="2376"/>
      <c r="G202" s="503" t="s">
        <v>786</v>
      </c>
      <c r="H202" s="1172"/>
      <c r="I202" s="2317">
        <f>'BS old'!D132</f>
        <v>0</v>
      </c>
      <c r="J202" s="2319"/>
      <c r="K202" s="2317">
        <f>'BS old'!E132</f>
        <v>0</v>
      </c>
      <c r="L202" s="2321"/>
    </row>
    <row r="203" spans="1:12" ht="27.75" customHeight="1">
      <c r="A203" s="508" t="s">
        <v>787</v>
      </c>
      <c r="B203" s="2351" t="s">
        <v>1110</v>
      </c>
      <c r="C203" s="2351"/>
      <c r="D203" s="2376"/>
      <c r="E203" s="2376"/>
      <c r="F203" s="2376"/>
      <c r="G203" s="503" t="s">
        <v>789</v>
      </c>
      <c r="H203" s="1172"/>
      <c r="I203" s="2317">
        <f>'BS old'!D133</f>
        <v>0</v>
      </c>
      <c r="J203" s="2319"/>
      <c r="K203" s="2317">
        <f>'BS old'!E133</f>
        <v>0</v>
      </c>
      <c r="L203" s="2321"/>
    </row>
    <row r="204" spans="1:12" ht="27.75" customHeight="1">
      <c r="A204" s="505" t="s">
        <v>790</v>
      </c>
      <c r="B204" s="2351" t="s">
        <v>1109</v>
      </c>
      <c r="C204" s="2351"/>
      <c r="D204" s="2376"/>
      <c r="E204" s="2376"/>
      <c r="F204" s="2376"/>
      <c r="G204" s="503" t="s">
        <v>792</v>
      </c>
      <c r="H204" s="1172"/>
      <c r="I204" s="2317">
        <f>'BS old'!D134</f>
        <v>0</v>
      </c>
      <c r="J204" s="2319"/>
      <c r="K204" s="2317">
        <f>'BS old'!E134</f>
        <v>0</v>
      </c>
      <c r="L204" s="2321"/>
    </row>
    <row r="205" spans="1:12" s="450" customFormat="1" ht="27.75" customHeight="1">
      <c r="A205" s="505" t="s">
        <v>532</v>
      </c>
      <c r="B205" s="2339" t="s">
        <v>1108</v>
      </c>
      <c r="C205" s="2339"/>
      <c r="D205" s="2375"/>
      <c r="E205" s="2375"/>
      <c r="F205" s="2375"/>
      <c r="G205" s="503" t="s">
        <v>794</v>
      </c>
      <c r="H205" s="1172"/>
      <c r="I205" s="2317">
        <f>'BS old'!D135</f>
        <v>0</v>
      </c>
      <c r="J205" s="2319"/>
      <c r="K205" s="2317">
        <f>'BS old'!E135</f>
        <v>0</v>
      </c>
      <c r="L205" s="2321"/>
    </row>
    <row r="206" spans="1:12" ht="27.75" customHeight="1">
      <c r="A206" s="507" t="s">
        <v>663</v>
      </c>
      <c r="B206" s="2351" t="s">
        <v>1107</v>
      </c>
      <c r="C206" s="2351"/>
      <c r="D206" s="2376"/>
      <c r="E206" s="2376"/>
      <c r="F206" s="2376"/>
      <c r="G206" s="503" t="s">
        <v>796</v>
      </c>
      <c r="H206" s="1172"/>
      <c r="I206" s="2317">
        <f>'BS old'!D136</f>
        <v>0</v>
      </c>
      <c r="J206" s="2319"/>
      <c r="K206" s="2317">
        <f>'BS old'!E136</f>
        <v>0</v>
      </c>
      <c r="L206" s="2321"/>
    </row>
    <row r="207" spans="1:12" ht="27.75" customHeight="1">
      <c r="A207" s="506" t="s">
        <v>666</v>
      </c>
      <c r="B207" s="2339" t="s">
        <v>1106</v>
      </c>
      <c r="C207" s="2339"/>
      <c r="D207" s="2375"/>
      <c r="E207" s="2375"/>
      <c r="F207" s="2375"/>
      <c r="G207" s="503" t="s">
        <v>798</v>
      </c>
      <c r="H207" s="1172"/>
      <c r="I207" s="2317">
        <f>'BS old'!D137</f>
        <v>0</v>
      </c>
      <c r="J207" s="2319"/>
      <c r="K207" s="2317">
        <f>'BS old'!E137</f>
        <v>0</v>
      </c>
      <c r="L207" s="2321"/>
    </row>
    <row r="208" spans="1:12" ht="27.75" customHeight="1">
      <c r="A208" s="505" t="s">
        <v>532</v>
      </c>
      <c r="B208" s="2339" t="s">
        <v>1105</v>
      </c>
      <c r="C208" s="2339"/>
      <c r="D208" s="2375"/>
      <c r="E208" s="2375"/>
      <c r="F208" s="2375"/>
      <c r="G208" s="503" t="s">
        <v>800</v>
      </c>
      <c r="H208" s="1172"/>
      <c r="I208" s="2317">
        <f>'BS old'!D138</f>
        <v>0</v>
      </c>
      <c r="J208" s="2319"/>
      <c r="K208" s="2317">
        <f>'BS old'!E138</f>
        <v>0</v>
      </c>
      <c r="L208" s="2321"/>
    </row>
    <row r="209" spans="1:12" s="450" customFormat="1" ht="27.75" customHeight="1">
      <c r="A209" s="505" t="s">
        <v>535</v>
      </c>
      <c r="B209" s="2339" t="s">
        <v>1104</v>
      </c>
      <c r="C209" s="2339"/>
      <c r="D209" s="2375"/>
      <c r="E209" s="2375"/>
      <c r="F209" s="2375"/>
      <c r="G209" s="503" t="s">
        <v>802</v>
      </c>
      <c r="H209" s="1172"/>
      <c r="I209" s="2317">
        <f>'BS old'!D139</f>
        <v>0</v>
      </c>
      <c r="J209" s="2319"/>
      <c r="K209" s="2317">
        <f>'BS old'!E139</f>
        <v>0</v>
      </c>
      <c r="L209" s="2321"/>
    </row>
    <row r="210" spans="1:12" ht="27.75" customHeight="1" thickBot="1">
      <c r="A210" s="504" t="s">
        <v>538</v>
      </c>
      <c r="B210" s="2379" t="s">
        <v>1103</v>
      </c>
      <c r="C210" s="2379"/>
      <c r="D210" s="2380"/>
      <c r="E210" s="2380"/>
      <c r="F210" s="2380"/>
      <c r="G210" s="503" t="s">
        <v>804</v>
      </c>
      <c r="H210" s="1172"/>
      <c r="I210" s="2317">
        <f>'BS old'!D140</f>
        <v>0</v>
      </c>
      <c r="J210" s="2319"/>
      <c r="K210" s="2317">
        <f>'BS old'!E140</f>
        <v>0</v>
      </c>
      <c r="L210" s="2321"/>
    </row>
    <row r="211" spans="1:12" ht="24.75" customHeight="1"/>
    <row r="212" spans="1:12" ht="24.75" customHeight="1"/>
    <row r="213" spans="1:12" ht="24.75" customHeight="1"/>
  </sheetData>
  <mergeCells count="700">
    <mergeCell ref="H32:I32"/>
    <mergeCell ref="J10:L10"/>
    <mergeCell ref="J12:L12"/>
    <mergeCell ref="E19:G19"/>
    <mergeCell ref="E44:G44"/>
    <mergeCell ref="E45:G45"/>
    <mergeCell ref="I48:K48"/>
    <mergeCell ref="J47:L47"/>
    <mergeCell ref="J16:L16"/>
    <mergeCell ref="K35:L35"/>
    <mergeCell ref="E33:J33"/>
    <mergeCell ref="I40:K40"/>
    <mergeCell ref="J39:L39"/>
    <mergeCell ref="E41:G41"/>
    <mergeCell ref="E20:G20"/>
    <mergeCell ref="E42:G42"/>
    <mergeCell ref="E43:G43"/>
    <mergeCell ref="I38:K38"/>
    <mergeCell ref="I42:K42"/>
    <mergeCell ref="I35:J35"/>
    <mergeCell ref="J24:L24"/>
    <mergeCell ref="E39:G39"/>
    <mergeCell ref="E11:G11"/>
    <mergeCell ref="E12:G12"/>
    <mergeCell ref="K4:L5"/>
    <mergeCell ref="J8:L8"/>
    <mergeCell ref="E4:J4"/>
    <mergeCell ref="F5:G5"/>
    <mergeCell ref="F6:G6"/>
    <mergeCell ref="E5:E6"/>
    <mergeCell ref="E9:G9"/>
    <mergeCell ref="K6:L6"/>
    <mergeCell ref="H5:J5"/>
    <mergeCell ref="H6:J6"/>
    <mergeCell ref="H7:K7"/>
    <mergeCell ref="H8:I8"/>
    <mergeCell ref="H9:K9"/>
    <mergeCell ref="E7:G7"/>
    <mergeCell ref="E8:G8"/>
    <mergeCell ref="J49:L49"/>
    <mergeCell ref="E47:G47"/>
    <mergeCell ref="I44:K44"/>
    <mergeCell ref="J43:L43"/>
    <mergeCell ref="E14:G14"/>
    <mergeCell ref="E13:G13"/>
    <mergeCell ref="I36:K36"/>
    <mergeCell ref="J63:L63"/>
    <mergeCell ref="J32:L32"/>
    <mergeCell ref="E48:G48"/>
    <mergeCell ref="I54:K54"/>
    <mergeCell ref="I50:K50"/>
    <mergeCell ref="I52:K52"/>
    <mergeCell ref="J20:L20"/>
    <mergeCell ref="J18:L18"/>
    <mergeCell ref="J26:L26"/>
    <mergeCell ref="I34:J34"/>
    <mergeCell ref="J22:L22"/>
    <mergeCell ref="J30:L30"/>
    <mergeCell ref="J28:L28"/>
    <mergeCell ref="K33:L34"/>
    <mergeCell ref="E21:G21"/>
    <mergeCell ref="H21:K21"/>
    <mergeCell ref="H23:K23"/>
    <mergeCell ref="I81:K81"/>
    <mergeCell ref="J80:L80"/>
    <mergeCell ref="I87:K87"/>
    <mergeCell ref="J86:L86"/>
    <mergeCell ref="I85:K85"/>
    <mergeCell ref="J84:L84"/>
    <mergeCell ref="E68:G68"/>
    <mergeCell ref="E89:G89"/>
    <mergeCell ref="I91:K91"/>
    <mergeCell ref="I77:K77"/>
    <mergeCell ref="J76:L76"/>
    <mergeCell ref="I75:K75"/>
    <mergeCell ref="B187:F187"/>
    <mergeCell ref="B168:F168"/>
    <mergeCell ref="B169:F169"/>
    <mergeCell ref="B179:F179"/>
    <mergeCell ref="I66:J66"/>
    <mergeCell ref="I96:J96"/>
    <mergeCell ref="B188:F188"/>
    <mergeCell ref="B166:F166"/>
    <mergeCell ref="E80:G80"/>
    <mergeCell ref="E79:G79"/>
    <mergeCell ref="E91:G91"/>
    <mergeCell ref="E92:G92"/>
    <mergeCell ref="B91:B92"/>
    <mergeCell ref="E65:E66"/>
    <mergeCell ref="E69:G69"/>
    <mergeCell ref="B177:F177"/>
    <mergeCell ref="B170:F170"/>
    <mergeCell ref="B171:F171"/>
    <mergeCell ref="B174:F174"/>
    <mergeCell ref="B175:F175"/>
    <mergeCell ref="B110:B111"/>
    <mergeCell ref="B150:F150"/>
    <mergeCell ref="B151:F151"/>
    <mergeCell ref="B152:F152"/>
    <mergeCell ref="B210:F210"/>
    <mergeCell ref="B200:F200"/>
    <mergeCell ref="B201:F201"/>
    <mergeCell ref="B202:F202"/>
    <mergeCell ref="B203:F203"/>
    <mergeCell ref="B204:F204"/>
    <mergeCell ref="B199:F199"/>
    <mergeCell ref="B207:F207"/>
    <mergeCell ref="B189:F189"/>
    <mergeCell ref="B190:F190"/>
    <mergeCell ref="B192:F192"/>
    <mergeCell ref="B197:F197"/>
    <mergeCell ref="B194:F194"/>
    <mergeCell ref="B195:F195"/>
    <mergeCell ref="B196:F196"/>
    <mergeCell ref="B193:F193"/>
    <mergeCell ref="B198:F198"/>
    <mergeCell ref="B191:F191"/>
    <mergeCell ref="B209:F209"/>
    <mergeCell ref="B205:F205"/>
    <mergeCell ref="B206:F206"/>
    <mergeCell ref="B208:F208"/>
    <mergeCell ref="B186:F186"/>
    <mergeCell ref="E62:G62"/>
    <mergeCell ref="E51:G51"/>
    <mergeCell ref="E60:G60"/>
    <mergeCell ref="E55:G55"/>
    <mergeCell ref="B164:F164"/>
    <mergeCell ref="B165:F165"/>
    <mergeCell ref="B156:F156"/>
    <mergeCell ref="B157:F157"/>
    <mergeCell ref="B162:F162"/>
    <mergeCell ref="B163:F163"/>
    <mergeCell ref="B62:B63"/>
    <mergeCell ref="B87:B88"/>
    <mergeCell ref="D87:D88"/>
    <mergeCell ref="B160:F160"/>
    <mergeCell ref="B161:F161"/>
    <mergeCell ref="E74:G74"/>
    <mergeCell ref="E84:G84"/>
    <mergeCell ref="B178:F178"/>
    <mergeCell ref="B172:F172"/>
    <mergeCell ref="B173:F173"/>
    <mergeCell ref="B149:F149"/>
    <mergeCell ref="E83:G83"/>
    <mergeCell ref="D106:D107"/>
    <mergeCell ref="C4:D6"/>
    <mergeCell ref="C7:D8"/>
    <mergeCell ref="C9:D10"/>
    <mergeCell ref="B185:F185"/>
    <mergeCell ref="B184:F184"/>
    <mergeCell ref="K66:L66"/>
    <mergeCell ref="E26:G26"/>
    <mergeCell ref="E30:G30"/>
    <mergeCell ref="B38:B39"/>
    <mergeCell ref="B180:F180"/>
    <mergeCell ref="B182:F182"/>
    <mergeCell ref="B183:F183"/>
    <mergeCell ref="B167:F167"/>
    <mergeCell ref="B176:F176"/>
    <mergeCell ref="B181:F181"/>
    <mergeCell ref="E46:G46"/>
    <mergeCell ref="E54:G54"/>
    <mergeCell ref="B153:F153"/>
    <mergeCell ref="B158:F158"/>
    <mergeCell ref="B159:F159"/>
    <mergeCell ref="B154:F154"/>
    <mergeCell ref="B155:F155"/>
    <mergeCell ref="B98:B99"/>
    <mergeCell ref="J82:L82"/>
    <mergeCell ref="A15:A16"/>
    <mergeCell ref="B15:B16"/>
    <mergeCell ref="A13:A14"/>
    <mergeCell ref="B13:B14"/>
    <mergeCell ref="A11:A12"/>
    <mergeCell ref="B11:B12"/>
    <mergeCell ref="A4:A6"/>
    <mergeCell ref="B4:B6"/>
    <mergeCell ref="A7:A8"/>
    <mergeCell ref="B7:B8"/>
    <mergeCell ref="A9:A10"/>
    <mergeCell ref="B9:B10"/>
    <mergeCell ref="A31:A32"/>
    <mergeCell ref="A29:A30"/>
    <mergeCell ref="B29:B30"/>
    <mergeCell ref="B31:B32"/>
    <mergeCell ref="A23:A24"/>
    <mergeCell ref="E24:G24"/>
    <mergeCell ref="E23:G23"/>
    <mergeCell ref="B21:B22"/>
    <mergeCell ref="B19:B20"/>
    <mergeCell ref="E22:G22"/>
    <mergeCell ref="B23:B24"/>
    <mergeCell ref="C21:D22"/>
    <mergeCell ref="C23:D24"/>
    <mergeCell ref="A17:A18"/>
    <mergeCell ref="B17:B18"/>
    <mergeCell ref="A19:A20"/>
    <mergeCell ref="A21:A22"/>
    <mergeCell ref="E27:G27"/>
    <mergeCell ref="E29:G29"/>
    <mergeCell ref="A27:A28"/>
    <mergeCell ref="B27:B28"/>
    <mergeCell ref="A25:A26"/>
    <mergeCell ref="B25:B26"/>
    <mergeCell ref="E25:G25"/>
    <mergeCell ref="E28:G28"/>
    <mergeCell ref="C25:D26"/>
    <mergeCell ref="E17:G17"/>
    <mergeCell ref="A50:A51"/>
    <mergeCell ref="A60:A61"/>
    <mergeCell ref="B60:B61"/>
    <mergeCell ref="D42:D43"/>
    <mergeCell ref="A42:A43"/>
    <mergeCell ref="A40:A41"/>
    <mergeCell ref="D48:D49"/>
    <mergeCell ref="A44:A45"/>
    <mergeCell ref="B48:B49"/>
    <mergeCell ref="B50:B51"/>
    <mergeCell ref="B52:B53"/>
    <mergeCell ref="A52:A53"/>
    <mergeCell ref="D44:D45"/>
    <mergeCell ref="D50:D51"/>
    <mergeCell ref="B40:B41"/>
    <mergeCell ref="B46:B47"/>
    <mergeCell ref="A62:A63"/>
    <mergeCell ref="A56:A57"/>
    <mergeCell ref="B56:B57"/>
    <mergeCell ref="B44:B45"/>
    <mergeCell ref="A58:A59"/>
    <mergeCell ref="A67:A68"/>
    <mergeCell ref="F65:G65"/>
    <mergeCell ref="E73:G73"/>
    <mergeCell ref="B67:B68"/>
    <mergeCell ref="A69:A70"/>
    <mergeCell ref="D67:D68"/>
    <mergeCell ref="A71:A72"/>
    <mergeCell ref="B71:B72"/>
    <mergeCell ref="D71:D72"/>
    <mergeCell ref="D69:D70"/>
    <mergeCell ref="E72:G72"/>
    <mergeCell ref="D46:D47"/>
    <mergeCell ref="B58:B59"/>
    <mergeCell ref="D56:D57"/>
    <mergeCell ref="D58:D59"/>
    <mergeCell ref="A73:A74"/>
    <mergeCell ref="B73:B74"/>
    <mergeCell ref="B64:B66"/>
    <mergeCell ref="A64:A66"/>
    <mergeCell ref="A77:A78"/>
    <mergeCell ref="B77:B78"/>
    <mergeCell ref="D77:D78"/>
    <mergeCell ref="E77:G77"/>
    <mergeCell ref="E78:G78"/>
    <mergeCell ref="A75:A76"/>
    <mergeCell ref="B75:B76"/>
    <mergeCell ref="D75:D76"/>
    <mergeCell ref="E75:G75"/>
    <mergeCell ref="E76:G76"/>
    <mergeCell ref="A87:A88"/>
    <mergeCell ref="A110:A111"/>
    <mergeCell ref="D110:D111"/>
    <mergeCell ref="E110:G110"/>
    <mergeCell ref="A81:A82"/>
    <mergeCell ref="B81:B82"/>
    <mergeCell ref="D81:D82"/>
    <mergeCell ref="E82:G82"/>
    <mergeCell ref="E111:G111"/>
    <mergeCell ref="D91:D92"/>
    <mergeCell ref="A83:A84"/>
    <mergeCell ref="A100:A101"/>
    <mergeCell ref="A95:A97"/>
    <mergeCell ref="A104:A105"/>
    <mergeCell ref="E106:G106"/>
    <mergeCell ref="E105:G105"/>
    <mergeCell ref="B102:B103"/>
    <mergeCell ref="D102:D103"/>
    <mergeCell ref="A102:A103"/>
    <mergeCell ref="B100:B101"/>
    <mergeCell ref="E96:E97"/>
    <mergeCell ref="A108:A109"/>
    <mergeCell ref="B108:B109"/>
    <mergeCell ref="D108:D109"/>
    <mergeCell ref="A79:A80"/>
    <mergeCell ref="B79:B80"/>
    <mergeCell ref="D79:D80"/>
    <mergeCell ref="E87:G87"/>
    <mergeCell ref="E86:G86"/>
    <mergeCell ref="A98:A99"/>
    <mergeCell ref="A93:A94"/>
    <mergeCell ref="B93:B94"/>
    <mergeCell ref="D93:D94"/>
    <mergeCell ref="B95:B97"/>
    <mergeCell ref="E94:G94"/>
    <mergeCell ref="E95:J95"/>
    <mergeCell ref="F96:G96"/>
    <mergeCell ref="F97:G97"/>
    <mergeCell ref="I97:J97"/>
    <mergeCell ref="A85:A86"/>
    <mergeCell ref="B85:B86"/>
    <mergeCell ref="D85:D86"/>
    <mergeCell ref="A89:A90"/>
    <mergeCell ref="B89:B90"/>
    <mergeCell ref="A91:A92"/>
    <mergeCell ref="E81:G81"/>
    <mergeCell ref="B83:B84"/>
    <mergeCell ref="D83:D84"/>
    <mergeCell ref="A106:A107"/>
    <mergeCell ref="B106:B107"/>
    <mergeCell ref="I98:K98"/>
    <mergeCell ref="K97:L97"/>
    <mergeCell ref="E90:G90"/>
    <mergeCell ref="K95:L96"/>
    <mergeCell ref="J94:L94"/>
    <mergeCell ref="J92:L92"/>
    <mergeCell ref="A114:A115"/>
    <mergeCell ref="B114:B115"/>
    <mergeCell ref="D114:D115"/>
    <mergeCell ref="A112:A113"/>
    <mergeCell ref="B112:B113"/>
    <mergeCell ref="D112:D113"/>
    <mergeCell ref="D98:D99"/>
    <mergeCell ref="E93:G93"/>
    <mergeCell ref="B104:B105"/>
    <mergeCell ref="J115:L115"/>
    <mergeCell ref="A116:A117"/>
    <mergeCell ref="B116:B117"/>
    <mergeCell ref="D116:D117"/>
    <mergeCell ref="A137:A138"/>
    <mergeCell ref="B137:B138"/>
    <mergeCell ref="A131:A132"/>
    <mergeCell ref="B135:B136"/>
    <mergeCell ref="B139:B140"/>
    <mergeCell ref="D139:D140"/>
    <mergeCell ref="B120:B121"/>
    <mergeCell ref="A126:A127"/>
    <mergeCell ref="A135:A136"/>
    <mergeCell ref="E124:G124"/>
    <mergeCell ref="E123:G123"/>
    <mergeCell ref="I122:K122"/>
    <mergeCell ref="A139:A140"/>
    <mergeCell ref="E139:G139"/>
    <mergeCell ref="D122:D123"/>
    <mergeCell ref="E125:G125"/>
    <mergeCell ref="F129:G129"/>
    <mergeCell ref="E131:G131"/>
    <mergeCell ref="E132:G132"/>
    <mergeCell ref="E128:J128"/>
    <mergeCell ref="F130:G130"/>
    <mergeCell ref="D128:D130"/>
    <mergeCell ref="D135:D136"/>
    <mergeCell ref="E136:G136"/>
    <mergeCell ref="E129:E130"/>
    <mergeCell ref="B124:B125"/>
    <mergeCell ref="D124:D125"/>
    <mergeCell ref="A133:A134"/>
    <mergeCell ref="B133:B134"/>
    <mergeCell ref="D133:D134"/>
    <mergeCell ref="B128:B130"/>
    <mergeCell ref="A128:A130"/>
    <mergeCell ref="A124:A125"/>
    <mergeCell ref="A143:A144"/>
    <mergeCell ref="D131:D132"/>
    <mergeCell ref="D89:D90"/>
    <mergeCell ref="D95:D97"/>
    <mergeCell ref="E115:G115"/>
    <mergeCell ref="E117:G117"/>
    <mergeCell ref="E133:G133"/>
    <mergeCell ref="E114:G114"/>
    <mergeCell ref="E126:G126"/>
    <mergeCell ref="E127:G127"/>
    <mergeCell ref="D120:D121"/>
    <mergeCell ref="D126:D127"/>
    <mergeCell ref="E118:G118"/>
    <mergeCell ref="E120:G120"/>
    <mergeCell ref="E121:G121"/>
    <mergeCell ref="A118:A119"/>
    <mergeCell ref="B118:B119"/>
    <mergeCell ref="B122:B123"/>
    <mergeCell ref="A122:A123"/>
    <mergeCell ref="A120:A121"/>
    <mergeCell ref="B126:B127"/>
    <mergeCell ref="B131:B132"/>
    <mergeCell ref="A141:A142"/>
    <mergeCell ref="B141:B142"/>
    <mergeCell ref="D33:D35"/>
    <mergeCell ref="E38:G38"/>
    <mergeCell ref="D38:D39"/>
    <mergeCell ref="E40:G40"/>
    <mergeCell ref="E141:G141"/>
    <mergeCell ref="E122:G122"/>
    <mergeCell ref="D141:D142"/>
    <mergeCell ref="D118:D119"/>
    <mergeCell ref="E107:G107"/>
    <mergeCell ref="D104:D105"/>
    <mergeCell ref="E102:G102"/>
    <mergeCell ref="E103:G103"/>
    <mergeCell ref="D100:D101"/>
    <mergeCell ref="E100:G100"/>
    <mergeCell ref="E85:G85"/>
    <mergeCell ref="E50:G50"/>
    <mergeCell ref="E116:G116"/>
    <mergeCell ref="E88:G88"/>
    <mergeCell ref="E113:G113"/>
    <mergeCell ref="E112:G112"/>
    <mergeCell ref="E104:G104"/>
    <mergeCell ref="E36:G36"/>
    <mergeCell ref="E37:G37"/>
    <mergeCell ref="E34:E35"/>
    <mergeCell ref="B143:B144"/>
    <mergeCell ref="D143:D144"/>
    <mergeCell ref="E140:G140"/>
    <mergeCell ref="E144:G144"/>
    <mergeCell ref="E143:G143"/>
    <mergeCell ref="E134:G134"/>
    <mergeCell ref="E135:G135"/>
    <mergeCell ref="E138:G138"/>
    <mergeCell ref="D137:D138"/>
    <mergeCell ref="E137:G137"/>
    <mergeCell ref="E142:G142"/>
    <mergeCell ref="F34:G34"/>
    <mergeCell ref="F35:G35"/>
    <mergeCell ref="E119:G119"/>
    <mergeCell ref="E18:G18"/>
    <mergeCell ref="E15:G15"/>
    <mergeCell ref="E49:G49"/>
    <mergeCell ref="E56:G56"/>
    <mergeCell ref="E108:G108"/>
    <mergeCell ref="E109:G109"/>
    <mergeCell ref="E101:G101"/>
    <mergeCell ref="E98:G98"/>
    <mergeCell ref="E99:G99"/>
    <mergeCell ref="E58:G58"/>
    <mergeCell ref="E52:G52"/>
    <mergeCell ref="E53:G53"/>
    <mergeCell ref="E147:G147"/>
    <mergeCell ref="E145:G145"/>
    <mergeCell ref="A145:A146"/>
    <mergeCell ref="B145:B146"/>
    <mergeCell ref="D145:D146"/>
    <mergeCell ref="A147:A148"/>
    <mergeCell ref="B147:B148"/>
    <mergeCell ref="D147:D148"/>
    <mergeCell ref="E148:G148"/>
    <mergeCell ref="E146:G146"/>
    <mergeCell ref="B69:B70"/>
    <mergeCell ref="D64:D66"/>
    <mergeCell ref="E71:G71"/>
    <mergeCell ref="D73:D74"/>
    <mergeCell ref="E63:G63"/>
    <mergeCell ref="D62:D63"/>
    <mergeCell ref="E57:G57"/>
    <mergeCell ref="E70:G70"/>
    <mergeCell ref="D60:D61"/>
    <mergeCell ref="E61:G61"/>
    <mergeCell ref="E59:G59"/>
    <mergeCell ref="F66:G66"/>
    <mergeCell ref="E64:J64"/>
    <mergeCell ref="E67:G67"/>
    <mergeCell ref="I62:K62"/>
    <mergeCell ref="J61:L61"/>
    <mergeCell ref="I60:K60"/>
    <mergeCell ref="J74:L74"/>
    <mergeCell ref="I69:K69"/>
    <mergeCell ref="J68:L68"/>
    <mergeCell ref="I73:K73"/>
    <mergeCell ref="J72:L72"/>
    <mergeCell ref="I71:K71"/>
    <mergeCell ref="J70:L70"/>
    <mergeCell ref="A33:A35"/>
    <mergeCell ref="A36:A37"/>
    <mergeCell ref="B36:B37"/>
    <mergeCell ref="D36:D37"/>
    <mergeCell ref="B33:B35"/>
    <mergeCell ref="A38:A39"/>
    <mergeCell ref="D40:D41"/>
    <mergeCell ref="B42:B43"/>
    <mergeCell ref="J59:L59"/>
    <mergeCell ref="I58:K58"/>
    <mergeCell ref="J57:L57"/>
    <mergeCell ref="J37:L37"/>
    <mergeCell ref="J53:L53"/>
    <mergeCell ref="J51:L51"/>
    <mergeCell ref="I56:K56"/>
    <mergeCell ref="J55:L55"/>
    <mergeCell ref="I46:K46"/>
    <mergeCell ref="J45:L45"/>
    <mergeCell ref="A54:A55"/>
    <mergeCell ref="B54:B55"/>
    <mergeCell ref="D54:D55"/>
    <mergeCell ref="A48:A49"/>
    <mergeCell ref="D52:D53"/>
    <mergeCell ref="A46:A47"/>
    <mergeCell ref="I67:K67"/>
    <mergeCell ref="K64:L65"/>
    <mergeCell ref="I65:J65"/>
    <mergeCell ref="J148:L148"/>
    <mergeCell ref="I147:K147"/>
    <mergeCell ref="J146:L146"/>
    <mergeCell ref="I145:K145"/>
    <mergeCell ref="I93:K93"/>
    <mergeCell ref="J90:L90"/>
    <mergeCell ref="I89:K89"/>
    <mergeCell ref="J88:L88"/>
    <mergeCell ref="J144:L144"/>
    <mergeCell ref="I143:K143"/>
    <mergeCell ref="J142:L142"/>
    <mergeCell ref="I141:K141"/>
    <mergeCell ref="I110:K110"/>
    <mergeCell ref="J111:L111"/>
    <mergeCell ref="J138:L138"/>
    <mergeCell ref="I137:K137"/>
    <mergeCell ref="J134:L134"/>
    <mergeCell ref="I133:K133"/>
    <mergeCell ref="J105:L105"/>
    <mergeCell ref="I106:K106"/>
    <mergeCell ref="I116:K116"/>
    <mergeCell ref="J41:L41"/>
    <mergeCell ref="I79:K79"/>
    <mergeCell ref="J78:L78"/>
    <mergeCell ref="I83:K83"/>
    <mergeCell ref="J140:L140"/>
    <mergeCell ref="I139:K139"/>
    <mergeCell ref="K128:L129"/>
    <mergeCell ref="I129:J129"/>
    <mergeCell ref="I130:J130"/>
    <mergeCell ref="J136:L136"/>
    <mergeCell ref="I135:K135"/>
    <mergeCell ref="K130:L130"/>
    <mergeCell ref="J99:L99"/>
    <mergeCell ref="I112:K112"/>
    <mergeCell ref="J109:L109"/>
    <mergeCell ref="I108:K108"/>
    <mergeCell ref="J107:L107"/>
    <mergeCell ref="J103:L103"/>
    <mergeCell ref="I102:K102"/>
    <mergeCell ref="J101:L101"/>
    <mergeCell ref="I100:K100"/>
    <mergeCell ref="I104:K104"/>
    <mergeCell ref="I114:K114"/>
    <mergeCell ref="J113:L113"/>
    <mergeCell ref="I120:K120"/>
    <mergeCell ref="J119:L119"/>
    <mergeCell ref="I118:K118"/>
    <mergeCell ref="J117:L117"/>
    <mergeCell ref="J132:L132"/>
    <mergeCell ref="I131:K131"/>
    <mergeCell ref="J123:L123"/>
    <mergeCell ref="I153:J153"/>
    <mergeCell ref="J121:L121"/>
    <mergeCell ref="J127:L127"/>
    <mergeCell ref="I126:K126"/>
    <mergeCell ref="J125:L125"/>
    <mergeCell ref="I124:K124"/>
    <mergeCell ref="I154:J154"/>
    <mergeCell ref="I155:J155"/>
    <mergeCell ref="I156:J156"/>
    <mergeCell ref="I149:J149"/>
    <mergeCell ref="I150:J150"/>
    <mergeCell ref="I151:J151"/>
    <mergeCell ref="I152:J152"/>
    <mergeCell ref="I161:J161"/>
    <mergeCell ref="I162:J162"/>
    <mergeCell ref="I163:J163"/>
    <mergeCell ref="I164:J164"/>
    <mergeCell ref="I157:J157"/>
    <mergeCell ref="I158:J158"/>
    <mergeCell ref="I159:J159"/>
    <mergeCell ref="I160:J160"/>
    <mergeCell ref="I181:J181"/>
    <mergeCell ref="I169:J169"/>
    <mergeCell ref="I170:J170"/>
    <mergeCell ref="I171:J171"/>
    <mergeCell ref="I172:J172"/>
    <mergeCell ref="I165:J165"/>
    <mergeCell ref="I166:J166"/>
    <mergeCell ref="I167:J167"/>
    <mergeCell ref="I168:J168"/>
    <mergeCell ref="I177:J177"/>
    <mergeCell ref="I178:J178"/>
    <mergeCell ref="I179:J179"/>
    <mergeCell ref="I180:J180"/>
    <mergeCell ref="I173:J173"/>
    <mergeCell ref="I174:J174"/>
    <mergeCell ref="I175:J175"/>
    <mergeCell ref="I176:J176"/>
    <mergeCell ref="I186:J186"/>
    <mergeCell ref="I187:J187"/>
    <mergeCell ref="I188:J188"/>
    <mergeCell ref="I189:J189"/>
    <mergeCell ref="I193:J193"/>
    <mergeCell ref="I182:J182"/>
    <mergeCell ref="I183:J183"/>
    <mergeCell ref="I184:J184"/>
    <mergeCell ref="I185:J185"/>
    <mergeCell ref="I195:J195"/>
    <mergeCell ref="I196:J196"/>
    <mergeCell ref="I197:J197"/>
    <mergeCell ref="I198:J198"/>
    <mergeCell ref="I190:J190"/>
    <mergeCell ref="I191:J191"/>
    <mergeCell ref="I192:J192"/>
    <mergeCell ref="I194:J194"/>
    <mergeCell ref="I209:J209"/>
    <mergeCell ref="I210:J210"/>
    <mergeCell ref="I203:J203"/>
    <mergeCell ref="I204:J204"/>
    <mergeCell ref="I205:J205"/>
    <mergeCell ref="I206:J206"/>
    <mergeCell ref="K149:L149"/>
    <mergeCell ref="K150:L150"/>
    <mergeCell ref="K151:L151"/>
    <mergeCell ref="K152:L152"/>
    <mergeCell ref="I207:J207"/>
    <mergeCell ref="I208:J208"/>
    <mergeCell ref="I199:J199"/>
    <mergeCell ref="I200:J200"/>
    <mergeCell ref="I201:J201"/>
    <mergeCell ref="I202:J202"/>
    <mergeCell ref="K157:L157"/>
    <mergeCell ref="K158:L158"/>
    <mergeCell ref="K159:L159"/>
    <mergeCell ref="K160:L160"/>
    <mergeCell ref="K153:L153"/>
    <mergeCell ref="K154:L154"/>
    <mergeCell ref="K155:L155"/>
    <mergeCell ref="K156:L156"/>
    <mergeCell ref="K165:L165"/>
    <mergeCell ref="K166:L166"/>
    <mergeCell ref="K167:L167"/>
    <mergeCell ref="K168:L168"/>
    <mergeCell ref="K161:L161"/>
    <mergeCell ref="K162:L162"/>
    <mergeCell ref="K163:L163"/>
    <mergeCell ref="K164:L164"/>
    <mergeCell ref="K173:L173"/>
    <mergeCell ref="K174:L174"/>
    <mergeCell ref="K175:L175"/>
    <mergeCell ref="K176:L176"/>
    <mergeCell ref="K181:L181"/>
    <mergeCell ref="K169:L169"/>
    <mergeCell ref="K170:L170"/>
    <mergeCell ref="K171:L171"/>
    <mergeCell ref="K172:L172"/>
    <mergeCell ref="K182:L182"/>
    <mergeCell ref="K183:L183"/>
    <mergeCell ref="K184:L184"/>
    <mergeCell ref="K185:L185"/>
    <mergeCell ref="K177:L177"/>
    <mergeCell ref="K178:L178"/>
    <mergeCell ref="K179:L179"/>
    <mergeCell ref="K180:L180"/>
    <mergeCell ref="K190:L190"/>
    <mergeCell ref="K191:L191"/>
    <mergeCell ref="K192:L192"/>
    <mergeCell ref="K194:L194"/>
    <mergeCell ref="K186:L186"/>
    <mergeCell ref="K187:L187"/>
    <mergeCell ref="K188:L188"/>
    <mergeCell ref="K189:L189"/>
    <mergeCell ref="K193:L193"/>
    <mergeCell ref="K199:L199"/>
    <mergeCell ref="K200:L200"/>
    <mergeCell ref="K207:L207"/>
    <mergeCell ref="K208:L208"/>
    <mergeCell ref="K195:L195"/>
    <mergeCell ref="K196:L196"/>
    <mergeCell ref="K197:L197"/>
    <mergeCell ref="K198:L198"/>
    <mergeCell ref="K209:L209"/>
    <mergeCell ref="K210:L210"/>
    <mergeCell ref="K201:L201"/>
    <mergeCell ref="K202:L202"/>
    <mergeCell ref="K203:L203"/>
    <mergeCell ref="K204:L204"/>
    <mergeCell ref="K205:L205"/>
    <mergeCell ref="K206:L206"/>
    <mergeCell ref="H27:K27"/>
    <mergeCell ref="C27:D28"/>
    <mergeCell ref="C29:D30"/>
    <mergeCell ref="H28:I28"/>
    <mergeCell ref="H29:K29"/>
    <mergeCell ref="H31:K31"/>
    <mergeCell ref="C31:D32"/>
    <mergeCell ref="H10:I10"/>
    <mergeCell ref="H11:K11"/>
    <mergeCell ref="H13:K13"/>
    <mergeCell ref="C11:D12"/>
    <mergeCell ref="C13:D14"/>
    <mergeCell ref="C15:D16"/>
    <mergeCell ref="C17:D18"/>
    <mergeCell ref="C19:D20"/>
    <mergeCell ref="H15:K15"/>
    <mergeCell ref="H17:K17"/>
    <mergeCell ref="H19:K19"/>
    <mergeCell ref="E10:G10"/>
    <mergeCell ref="E31:G31"/>
    <mergeCell ref="E32:G32"/>
    <mergeCell ref="E16:G16"/>
    <mergeCell ref="J14:L14"/>
    <mergeCell ref="H25:K25"/>
  </mergeCells>
  <pageMargins left="0.74803149606299213" right="0.55118110236220474" top="0.31496062992125984" bottom="0.35433070866141736" header="0.31496062992125984" footer="0.15748031496062992"/>
  <pageSetup paperSize="9" scale="88" firstPageNumber="2" orientation="portrait" useFirstPageNumber="1" r:id="rId1"/>
  <headerFooter alignWithMargins="0">
    <oddFooter>&amp;LMF SR č. 18009/2014&amp;RStrana &amp;P</oddFooter>
  </headerFooter>
  <rowBreaks count="6" manualBreakCount="6">
    <brk id="32" max="16383" man="1"/>
    <brk id="63" max="16383" man="1"/>
    <brk id="94" max="16383" man="1"/>
    <brk id="127" max="16383" man="1"/>
    <brk id="148" max="16383" man="1"/>
    <brk id="178" max="16383" man="1"/>
  </rowBreak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outlinePr summaryBelow="0" summaryRight="0"/>
  </sheetPr>
  <dimension ref="A1:J66"/>
  <sheetViews>
    <sheetView view="pageBreakPreview" topLeftCell="A52" zoomScaleNormal="100" zoomScaleSheetLayoutView="100" workbookViewId="0">
      <selection activeCell="H62" sqref="H62"/>
    </sheetView>
  </sheetViews>
  <sheetFormatPr defaultColWidth="9.140625" defaultRowHeight="10.5"/>
  <cols>
    <col min="1" max="1" width="4.42578125" style="535" customWidth="1"/>
    <col min="2" max="2" width="37.5703125" style="535" customWidth="1"/>
    <col min="3" max="3" width="1.42578125" style="535" customWidth="1"/>
    <col min="4" max="4" width="6.42578125" style="535" customWidth="1"/>
    <col min="5" max="6" width="29.5703125" style="535" customWidth="1"/>
    <col min="7" max="16384" width="9.140625" style="535"/>
  </cols>
  <sheetData>
    <row r="1" spans="1:10" s="502" customFormat="1" ht="7.5" customHeight="1">
      <c r="A1" s="501"/>
      <c r="G1" s="445"/>
      <c r="H1" s="445"/>
    </row>
    <row r="2" spans="1:10" s="502" customFormat="1" ht="17.25" customHeight="1">
      <c r="A2" s="501"/>
      <c r="B2" s="526" t="s">
        <v>1232</v>
      </c>
      <c r="C2" s="445"/>
      <c r="D2" s="525" t="s">
        <v>1231</v>
      </c>
      <c r="E2" s="581" t="str">
        <f>" "&amp;'SK Cover sheet'!A11&amp;"  "&amp;'SK Cover sheet'!B11&amp;"  "&amp;'SK Cover sheet'!C11&amp;"  "&amp;'SK Cover sheet'!D11&amp;"  "&amp;'SK Cover sheet'!E11&amp;"  "&amp;'SK Cover sheet'!F11&amp;"  "&amp;'SK Cover sheet'!G11&amp;"  "&amp;'SK Cover sheet'!H11&amp;"  "&amp;'SK Cover sheet'!I11&amp;"  "&amp;'SK Cover sheet'!J11</f>
        <v xml:space="preserve"> 2  0  2  0  3  1  9  8  2  9</v>
      </c>
    </row>
    <row r="3" spans="1:10" s="502" customFormat="1" ht="7.5" customHeight="1" thickBot="1">
      <c r="A3" s="501"/>
      <c r="B3" s="580"/>
      <c r="C3" s="445"/>
    </row>
    <row r="4" spans="1:10" s="560" customFormat="1" ht="11.25" customHeight="1">
      <c r="A4" s="579"/>
      <c r="B4" s="578"/>
      <c r="C4" s="577"/>
      <c r="D4" s="576"/>
      <c r="E4" s="2369" t="s">
        <v>1299</v>
      </c>
      <c r="F4" s="2393"/>
    </row>
    <row r="5" spans="1:10" s="560" customFormat="1" ht="33.75" customHeight="1">
      <c r="A5" s="575" t="s">
        <v>1137</v>
      </c>
      <c r="B5" s="574" t="s">
        <v>1298</v>
      </c>
      <c r="C5" s="573"/>
      <c r="D5" s="572" t="s">
        <v>1135</v>
      </c>
      <c r="E5" s="571" t="s">
        <v>1297</v>
      </c>
      <c r="F5" s="570" t="s">
        <v>1296</v>
      </c>
    </row>
    <row r="6" spans="1:10" s="560" customFormat="1" ht="29.65" customHeight="1">
      <c r="A6" s="506" t="s">
        <v>813</v>
      </c>
      <c r="B6" s="541" t="s">
        <v>1295</v>
      </c>
      <c r="C6" s="540"/>
      <c r="D6" s="503" t="s">
        <v>814</v>
      </c>
      <c r="E6" s="539">
        <f>'P&amp;L old'!D9</f>
        <v>0</v>
      </c>
      <c r="F6" s="539">
        <f>'P&amp;L old'!E9</f>
        <v>0</v>
      </c>
    </row>
    <row r="7" spans="1:10" s="560" customFormat="1" ht="29.65" customHeight="1">
      <c r="A7" s="506" t="s">
        <v>815</v>
      </c>
      <c r="B7" s="541" t="s">
        <v>1294</v>
      </c>
      <c r="C7" s="540"/>
      <c r="D7" s="503" t="s">
        <v>817</v>
      </c>
      <c r="E7" s="604">
        <f>'P&amp;L old'!D10</f>
        <v>0</v>
      </c>
      <c r="F7" s="539">
        <f>'P&amp;L old'!E10</f>
        <v>0</v>
      </c>
    </row>
    <row r="8" spans="1:10" s="565" customFormat="1" ht="29.65" customHeight="1">
      <c r="A8" s="507" t="s">
        <v>818</v>
      </c>
      <c r="B8" s="543" t="s">
        <v>1293</v>
      </c>
      <c r="C8" s="542"/>
      <c r="D8" s="513" t="s">
        <v>820</v>
      </c>
      <c r="E8" s="604">
        <f>'P&amp;L old'!D11</f>
        <v>0</v>
      </c>
      <c r="F8" s="539">
        <f>'P&amp;L old'!E11</f>
        <v>0</v>
      </c>
    </row>
    <row r="9" spans="1:10" s="565" customFormat="1" ht="29.65" customHeight="1">
      <c r="A9" s="507" t="s">
        <v>821</v>
      </c>
      <c r="B9" s="543" t="s">
        <v>1292</v>
      </c>
      <c r="C9" s="542"/>
      <c r="D9" s="513" t="s">
        <v>823</v>
      </c>
      <c r="E9" s="604">
        <f>'P&amp;L old'!D12</f>
        <v>0</v>
      </c>
      <c r="F9" s="539">
        <f>'P&amp;L old'!E12</f>
        <v>0</v>
      </c>
    </row>
    <row r="10" spans="1:10" s="560" customFormat="1" ht="29.65" customHeight="1">
      <c r="A10" s="505" t="s">
        <v>824</v>
      </c>
      <c r="B10" s="541" t="s">
        <v>1291</v>
      </c>
      <c r="C10" s="540"/>
      <c r="D10" s="503" t="s">
        <v>826</v>
      </c>
      <c r="E10" s="604">
        <f>'P&amp;L old'!D13</f>
        <v>0</v>
      </c>
      <c r="F10" s="539">
        <f>'P&amp;L old'!E13</f>
        <v>0</v>
      </c>
    </row>
    <row r="11" spans="1:10" s="560" customFormat="1" ht="29.65" customHeight="1">
      <c r="A11" s="505" t="s">
        <v>532</v>
      </c>
      <c r="B11" s="541" t="s">
        <v>1290</v>
      </c>
      <c r="C11" s="540"/>
      <c r="D11" s="503" t="s">
        <v>828</v>
      </c>
      <c r="E11" s="604">
        <f>'P&amp;L old'!D14</f>
        <v>0</v>
      </c>
      <c r="F11" s="539">
        <f>'P&amp;L old'!E14</f>
        <v>0</v>
      </c>
    </row>
    <row r="12" spans="1:10" s="560" customFormat="1" ht="29.65" customHeight="1">
      <c r="A12" s="505" t="s">
        <v>535</v>
      </c>
      <c r="B12" s="541" t="s">
        <v>1289</v>
      </c>
      <c r="C12" s="540"/>
      <c r="D12" s="503" t="s">
        <v>830</v>
      </c>
      <c r="E12" s="604">
        <f>'P&amp;L old'!D15</f>
        <v>0</v>
      </c>
      <c r="F12" s="539">
        <f>'P&amp;L old'!E15</f>
        <v>0</v>
      </c>
    </row>
    <row r="13" spans="1:10" s="565" customFormat="1" ht="29.65" customHeight="1">
      <c r="A13" s="507" t="s">
        <v>594</v>
      </c>
      <c r="B13" s="543" t="s">
        <v>1288</v>
      </c>
      <c r="C13" s="542"/>
      <c r="D13" s="513" t="s">
        <v>832</v>
      </c>
      <c r="E13" s="604">
        <f>'P&amp;L old'!D16</f>
        <v>0</v>
      </c>
      <c r="F13" s="539">
        <f>'P&amp;L old'!E16</f>
        <v>0</v>
      </c>
      <c r="J13" s="560"/>
    </row>
    <row r="14" spans="1:10" s="560" customFormat="1" ht="29.65" customHeight="1">
      <c r="A14" s="506" t="s">
        <v>833</v>
      </c>
      <c r="B14" s="541" t="s">
        <v>1287</v>
      </c>
      <c r="C14" s="540"/>
      <c r="D14" s="503" t="s">
        <v>835</v>
      </c>
      <c r="E14" s="604">
        <f>'P&amp;L old'!D17</f>
        <v>0</v>
      </c>
      <c r="F14" s="539">
        <f>'P&amp;L old'!E17</f>
        <v>0</v>
      </c>
    </row>
    <row r="15" spans="1:10" s="560" customFormat="1" ht="29.65" customHeight="1">
      <c r="A15" s="506" t="s">
        <v>836</v>
      </c>
      <c r="B15" s="541" t="s">
        <v>1286</v>
      </c>
      <c r="C15" s="540"/>
      <c r="D15" s="503" t="s">
        <v>838</v>
      </c>
      <c r="E15" s="604">
        <f>'P&amp;L old'!D18</f>
        <v>0</v>
      </c>
      <c r="F15" s="539">
        <f>'P&amp;L old'!E18</f>
        <v>0</v>
      </c>
    </row>
    <row r="16" spans="1:10" s="565" customFormat="1" ht="29.65" customHeight="1">
      <c r="A16" s="507" t="s">
        <v>818</v>
      </c>
      <c r="B16" s="543" t="s">
        <v>1285</v>
      </c>
      <c r="C16" s="542"/>
      <c r="D16" s="513" t="s">
        <v>840</v>
      </c>
      <c r="E16" s="604">
        <f>'P&amp;L old'!D19</f>
        <v>0</v>
      </c>
      <c r="F16" s="539">
        <f>'P&amp;L old'!E19</f>
        <v>0</v>
      </c>
    </row>
    <row r="17" spans="1:6" s="560" customFormat="1" ht="29.65" customHeight="1">
      <c r="A17" s="506" t="s">
        <v>663</v>
      </c>
      <c r="B17" s="541" t="s">
        <v>1284</v>
      </c>
      <c r="C17" s="540"/>
      <c r="D17" s="503" t="s">
        <v>842</v>
      </c>
      <c r="E17" s="604">
        <f>'P&amp;L old'!D20</f>
        <v>0</v>
      </c>
      <c r="F17" s="539">
        <f>'P&amp;L old'!E20</f>
        <v>0</v>
      </c>
    </row>
    <row r="18" spans="1:6" s="560" customFormat="1" ht="29.65" customHeight="1">
      <c r="A18" s="506" t="s">
        <v>666</v>
      </c>
      <c r="B18" s="541" t="s">
        <v>1283</v>
      </c>
      <c r="C18" s="540"/>
      <c r="D18" s="503" t="s">
        <v>844</v>
      </c>
      <c r="E18" s="604">
        <f>'P&amp;L old'!D21</f>
        <v>0</v>
      </c>
      <c r="F18" s="539">
        <f>'P&amp;L old'!E21</f>
        <v>0</v>
      </c>
    </row>
    <row r="19" spans="1:6" s="560" customFormat="1" ht="29.65" customHeight="1">
      <c r="A19" s="506" t="s">
        <v>836</v>
      </c>
      <c r="B19" s="541" t="s">
        <v>1282</v>
      </c>
      <c r="C19" s="540"/>
      <c r="D19" s="503" t="s">
        <v>846</v>
      </c>
      <c r="E19" s="604">
        <f>'P&amp;L old'!D22</f>
        <v>0</v>
      </c>
      <c r="F19" s="539">
        <f>'P&amp;L old'!E22</f>
        <v>0</v>
      </c>
    </row>
    <row r="20" spans="1:6" s="560" customFormat="1" ht="29.65" customHeight="1">
      <c r="A20" s="506" t="s">
        <v>847</v>
      </c>
      <c r="B20" s="541" t="s">
        <v>1281</v>
      </c>
      <c r="C20" s="540"/>
      <c r="D20" s="503" t="s">
        <v>849</v>
      </c>
      <c r="E20" s="604">
        <f>'P&amp;L old'!D23</f>
        <v>0</v>
      </c>
      <c r="F20" s="539">
        <f>'P&amp;L old'!E23</f>
        <v>0</v>
      </c>
    </row>
    <row r="21" spans="1:6" s="560" customFormat="1" ht="29.65" customHeight="1">
      <c r="A21" s="506" t="s">
        <v>850</v>
      </c>
      <c r="B21" s="541" t="s">
        <v>1280</v>
      </c>
      <c r="C21" s="540"/>
      <c r="D21" s="503" t="s">
        <v>852</v>
      </c>
      <c r="E21" s="604">
        <f>'P&amp;L old'!D24</f>
        <v>0</v>
      </c>
      <c r="F21" s="539">
        <f>'P&amp;L old'!E24</f>
        <v>0</v>
      </c>
    </row>
    <row r="22" spans="1:6" s="560" customFormat="1" ht="29.65" customHeight="1">
      <c r="A22" s="506" t="s">
        <v>853</v>
      </c>
      <c r="B22" s="541" t="s">
        <v>1279</v>
      </c>
      <c r="C22" s="540"/>
      <c r="D22" s="503" t="s">
        <v>855</v>
      </c>
      <c r="E22" s="604">
        <f>'P&amp;L old'!D25</f>
        <v>0</v>
      </c>
      <c r="F22" s="539">
        <f>'P&amp;L old'!E25</f>
        <v>0</v>
      </c>
    </row>
    <row r="23" spans="1:6" s="560" customFormat="1" ht="29.65" customHeight="1">
      <c r="A23" s="506" t="s">
        <v>856</v>
      </c>
      <c r="B23" s="541" t="s">
        <v>1278</v>
      </c>
      <c r="C23" s="540"/>
      <c r="D23" s="503" t="s">
        <v>858</v>
      </c>
      <c r="E23" s="604">
        <f>'P&amp;L old'!D26</f>
        <v>0</v>
      </c>
      <c r="F23" s="539">
        <f>'P&amp;L old'!E26</f>
        <v>0</v>
      </c>
    </row>
    <row r="24" spans="1:6" s="560" customFormat="1" ht="29.65" customHeight="1">
      <c r="A24" s="506" t="s">
        <v>859</v>
      </c>
      <c r="B24" s="541" t="s">
        <v>1277</v>
      </c>
      <c r="C24" s="540"/>
      <c r="D24" s="503" t="s">
        <v>861</v>
      </c>
      <c r="E24" s="604">
        <f>'P&amp;L old'!D27</f>
        <v>0</v>
      </c>
      <c r="F24" s="539">
        <f>'P&amp;L old'!E27</f>
        <v>0</v>
      </c>
    </row>
    <row r="25" spans="1:6" s="560" customFormat="1" ht="29.65" customHeight="1">
      <c r="A25" s="506" t="s">
        <v>862</v>
      </c>
      <c r="B25" s="541" t="s">
        <v>1276</v>
      </c>
      <c r="C25" s="540"/>
      <c r="D25" s="503" t="s">
        <v>864</v>
      </c>
      <c r="E25" s="604">
        <f>'P&amp;L old'!D28</f>
        <v>0</v>
      </c>
      <c r="F25" s="539">
        <f>'P&amp;L old'!E28</f>
        <v>0</v>
      </c>
    </row>
    <row r="26" spans="1:6" s="560" customFormat="1" ht="29.65" customHeight="1">
      <c r="A26" s="506" t="s">
        <v>865</v>
      </c>
      <c r="B26" s="569" t="s">
        <v>1275</v>
      </c>
      <c r="C26" s="568"/>
      <c r="D26" s="503" t="s">
        <v>867</v>
      </c>
      <c r="E26" s="604">
        <f>'P&amp;L old'!D29</f>
        <v>0</v>
      </c>
      <c r="F26" s="539">
        <f>'P&amp;L old'!E29</f>
        <v>0</v>
      </c>
    </row>
    <row r="27" spans="1:6" s="560" customFormat="1" ht="29.65" customHeight="1">
      <c r="A27" s="506" t="s">
        <v>868</v>
      </c>
      <c r="B27" s="541" t="s">
        <v>1274</v>
      </c>
      <c r="C27" s="540"/>
      <c r="D27" s="503" t="s">
        <v>870</v>
      </c>
      <c r="E27" s="604">
        <f>'P&amp;L old'!D30</f>
        <v>0</v>
      </c>
      <c r="F27" s="539">
        <f>'P&amp;L old'!E30</f>
        <v>0</v>
      </c>
    </row>
    <row r="28" spans="1:6" s="560" customFormat="1" ht="29.65" customHeight="1">
      <c r="A28" s="506" t="s">
        <v>871</v>
      </c>
      <c r="B28" s="569" t="s">
        <v>1273</v>
      </c>
      <c r="C28" s="568"/>
      <c r="D28" s="503" t="s">
        <v>873</v>
      </c>
      <c r="E28" s="604">
        <f>'P&amp;L old'!D31</f>
        <v>0</v>
      </c>
      <c r="F28" s="539">
        <f>'P&amp;L old'!E31</f>
        <v>0</v>
      </c>
    </row>
    <row r="29" spans="1:6" s="560" customFormat="1" ht="29.65" customHeight="1">
      <c r="A29" s="506" t="s">
        <v>874</v>
      </c>
      <c r="B29" s="541" t="s">
        <v>1272</v>
      </c>
      <c r="C29" s="540"/>
      <c r="D29" s="503" t="s">
        <v>876</v>
      </c>
      <c r="E29" s="604">
        <f>'P&amp;L old'!D32</f>
        <v>0</v>
      </c>
      <c r="F29" s="539">
        <f>'P&amp;L old'!E32</f>
        <v>0</v>
      </c>
    </row>
    <row r="30" spans="1:6" s="560" customFormat="1" ht="29.65" customHeight="1">
      <c r="A30" s="506" t="s">
        <v>877</v>
      </c>
      <c r="B30" s="541" t="s">
        <v>1271</v>
      </c>
      <c r="C30" s="540"/>
      <c r="D30" s="503" t="s">
        <v>879</v>
      </c>
      <c r="E30" s="604">
        <f>'P&amp;L old'!D33</f>
        <v>0</v>
      </c>
      <c r="F30" s="539">
        <f>'P&amp;L old'!E33</f>
        <v>0</v>
      </c>
    </row>
    <row r="31" spans="1:6" s="565" customFormat="1" ht="33.75" customHeight="1">
      <c r="A31" s="507" t="s">
        <v>880</v>
      </c>
      <c r="B31" s="567" t="s">
        <v>1270</v>
      </c>
      <c r="C31" s="566"/>
      <c r="D31" s="513" t="s">
        <v>882</v>
      </c>
      <c r="E31" s="604">
        <f>'P&amp;L old'!D34</f>
        <v>0</v>
      </c>
      <c r="F31" s="539">
        <f>'P&amp;L old'!E34</f>
        <v>0</v>
      </c>
    </row>
    <row r="32" spans="1:6" s="560" customFormat="1" ht="29.65" customHeight="1" thickBot="1">
      <c r="A32" s="564" t="s">
        <v>883</v>
      </c>
      <c r="B32" s="563" t="s">
        <v>1269</v>
      </c>
      <c r="C32" s="562"/>
      <c r="D32" s="561" t="s">
        <v>885</v>
      </c>
      <c r="E32" s="604">
        <f>'P&amp;L old'!D35</f>
        <v>0</v>
      </c>
      <c r="F32" s="539">
        <f>'P&amp;L old'!E35</f>
        <v>0</v>
      </c>
    </row>
    <row r="33" spans="1:6" ht="24.75" customHeight="1">
      <c r="A33" s="552" t="s">
        <v>886</v>
      </c>
      <c r="B33" s="551" t="s">
        <v>1268</v>
      </c>
      <c r="C33" s="550"/>
      <c r="D33" s="549" t="s">
        <v>888</v>
      </c>
      <c r="E33" s="604">
        <f>'P&amp;L old'!D36</f>
        <v>0</v>
      </c>
      <c r="F33" s="539">
        <f>'P&amp;L old'!E36</f>
        <v>0</v>
      </c>
    </row>
    <row r="34" spans="1:6" ht="30.75" customHeight="1">
      <c r="A34" s="552" t="s">
        <v>889</v>
      </c>
      <c r="B34" s="559" t="s">
        <v>1267</v>
      </c>
      <c r="C34" s="558"/>
      <c r="D34" s="549" t="s">
        <v>891</v>
      </c>
      <c r="E34" s="604">
        <f>'P&amp;L old'!D37</f>
        <v>0</v>
      </c>
      <c r="F34" s="539">
        <f>'P&amp;L old'!E37</f>
        <v>0</v>
      </c>
    </row>
    <row r="35" spans="1:6" ht="36.75" customHeight="1">
      <c r="A35" s="506" t="s">
        <v>892</v>
      </c>
      <c r="B35" s="541" t="s">
        <v>1266</v>
      </c>
      <c r="C35" s="540"/>
      <c r="D35" s="503" t="s">
        <v>894</v>
      </c>
      <c r="E35" s="604">
        <f>'P&amp;L old'!D38</f>
        <v>0</v>
      </c>
      <c r="F35" s="539">
        <f>'P&amp;L old'!E38</f>
        <v>0</v>
      </c>
    </row>
    <row r="36" spans="1:6" ht="30.75" customHeight="1">
      <c r="A36" s="506" t="s">
        <v>895</v>
      </c>
      <c r="B36" s="541" t="s">
        <v>1265</v>
      </c>
      <c r="C36" s="540"/>
      <c r="D36" s="503" t="s">
        <v>897</v>
      </c>
      <c r="E36" s="604">
        <f>'P&amp;L old'!D39</f>
        <v>0</v>
      </c>
      <c r="F36" s="539">
        <f>'P&amp;L old'!E39</f>
        <v>0</v>
      </c>
    </row>
    <row r="37" spans="1:6" ht="30" customHeight="1">
      <c r="A37" s="506" t="s">
        <v>898</v>
      </c>
      <c r="B37" s="541" t="s">
        <v>1264</v>
      </c>
      <c r="C37" s="540"/>
      <c r="D37" s="503" t="s">
        <v>900</v>
      </c>
      <c r="E37" s="604">
        <f>'P&amp;L old'!D40</f>
        <v>0</v>
      </c>
      <c r="F37" s="539">
        <f>'P&amp;L old'!E40</f>
        <v>0</v>
      </c>
    </row>
    <row r="38" spans="1:6" ht="26.25" customHeight="1">
      <c r="A38" s="506" t="s">
        <v>901</v>
      </c>
      <c r="B38" s="541" t="s">
        <v>1263</v>
      </c>
      <c r="C38" s="540"/>
      <c r="D38" s="503" t="s">
        <v>903</v>
      </c>
      <c r="E38" s="604">
        <f>'P&amp;L old'!D41</f>
        <v>0</v>
      </c>
      <c r="F38" s="539">
        <f>'P&amp;L old'!E41</f>
        <v>0</v>
      </c>
    </row>
    <row r="39" spans="1:6" ht="22.5" customHeight="1">
      <c r="A39" s="506" t="s">
        <v>904</v>
      </c>
      <c r="B39" s="541" t="s">
        <v>1262</v>
      </c>
      <c r="C39" s="540"/>
      <c r="D39" s="503" t="s">
        <v>906</v>
      </c>
      <c r="E39" s="604">
        <f>'P&amp;L old'!D42</f>
        <v>0</v>
      </c>
      <c r="F39" s="539">
        <f>'P&amp;L old'!E42</f>
        <v>0</v>
      </c>
    </row>
    <row r="40" spans="1:6" ht="30.75" customHeight="1">
      <c r="A40" s="506" t="s">
        <v>907</v>
      </c>
      <c r="B40" s="541" t="s">
        <v>1261</v>
      </c>
      <c r="C40" s="540"/>
      <c r="D40" s="503" t="s">
        <v>909</v>
      </c>
      <c r="E40" s="604">
        <f>'P&amp;L old'!D43</f>
        <v>0</v>
      </c>
      <c r="F40" s="539">
        <f>'P&amp;L old'!E43</f>
        <v>0</v>
      </c>
    </row>
    <row r="41" spans="1:6" ht="30" customHeight="1">
      <c r="A41" s="506" t="s">
        <v>910</v>
      </c>
      <c r="B41" s="541" t="s">
        <v>1260</v>
      </c>
      <c r="C41" s="540"/>
      <c r="D41" s="503" t="s">
        <v>912</v>
      </c>
      <c r="E41" s="604">
        <f>'P&amp;L old'!D44</f>
        <v>0</v>
      </c>
      <c r="F41" s="539">
        <f>'P&amp;L old'!E44</f>
        <v>0</v>
      </c>
    </row>
    <row r="42" spans="1:6" ht="32.25" customHeight="1">
      <c r="A42" s="506" t="s">
        <v>913</v>
      </c>
      <c r="B42" s="541" t="s">
        <v>1259</v>
      </c>
      <c r="C42" s="540"/>
      <c r="D42" s="503" t="s">
        <v>915</v>
      </c>
      <c r="E42" s="604">
        <f>'P&amp;L old'!D45</f>
        <v>0</v>
      </c>
      <c r="F42" s="539">
        <f>'P&amp;L old'!E45</f>
        <v>0</v>
      </c>
    </row>
    <row r="43" spans="1:6" ht="24" customHeight="1">
      <c r="A43" s="506" t="s">
        <v>916</v>
      </c>
      <c r="B43" s="541" t="s">
        <v>1258</v>
      </c>
      <c r="C43" s="540"/>
      <c r="D43" s="503" t="s">
        <v>918</v>
      </c>
      <c r="E43" s="604">
        <f>'P&amp;L old'!D46</f>
        <v>0</v>
      </c>
      <c r="F43" s="539">
        <f>'P&amp;L old'!E46</f>
        <v>0</v>
      </c>
    </row>
    <row r="44" spans="1:6" ht="26.25" customHeight="1">
      <c r="A44" s="506" t="s">
        <v>919</v>
      </c>
      <c r="B44" s="541" t="s">
        <v>1257</v>
      </c>
      <c r="C44" s="540"/>
      <c r="D44" s="503" t="s">
        <v>921</v>
      </c>
      <c r="E44" s="604">
        <f>'P&amp;L old'!D47</f>
        <v>0</v>
      </c>
      <c r="F44" s="539">
        <f>'P&amp;L old'!E47</f>
        <v>0</v>
      </c>
    </row>
    <row r="45" spans="1:6" ht="24.75" customHeight="1">
      <c r="A45" s="506" t="s">
        <v>922</v>
      </c>
      <c r="B45" s="541" t="s">
        <v>1256</v>
      </c>
      <c r="C45" s="540"/>
      <c r="D45" s="503" t="s">
        <v>924</v>
      </c>
      <c r="E45" s="604">
        <f>'P&amp;L old'!D48</f>
        <v>0</v>
      </c>
      <c r="F45" s="539">
        <f>'P&amp;L old'!E48</f>
        <v>0</v>
      </c>
    </row>
    <row r="46" spans="1:6" ht="27" customHeight="1">
      <c r="A46" s="506" t="s">
        <v>925</v>
      </c>
      <c r="B46" s="541" t="s">
        <v>1255</v>
      </c>
      <c r="C46" s="540"/>
      <c r="D46" s="503" t="s">
        <v>927</v>
      </c>
      <c r="E46" s="604">
        <f>'P&amp;L old'!D49</f>
        <v>0</v>
      </c>
      <c r="F46" s="539">
        <f>'P&amp;L old'!E49</f>
        <v>0</v>
      </c>
    </row>
    <row r="47" spans="1:6" ht="29.25" customHeight="1">
      <c r="A47" s="506" t="s">
        <v>928</v>
      </c>
      <c r="B47" s="541" t="s">
        <v>1254</v>
      </c>
      <c r="C47" s="540"/>
      <c r="D47" s="503" t="s">
        <v>930</v>
      </c>
      <c r="E47" s="604">
        <f>'P&amp;L old'!D50</f>
        <v>0</v>
      </c>
      <c r="F47" s="539">
        <f>'P&amp;L old'!E50</f>
        <v>0</v>
      </c>
    </row>
    <row r="48" spans="1:6" ht="27.75" customHeight="1">
      <c r="A48" s="506" t="s">
        <v>931</v>
      </c>
      <c r="B48" s="541" t="s">
        <v>1253</v>
      </c>
      <c r="C48" s="540"/>
      <c r="D48" s="503" t="s">
        <v>933</v>
      </c>
      <c r="E48" s="604">
        <f>'P&amp;L old'!D51</f>
        <v>0</v>
      </c>
      <c r="F48" s="539">
        <f>'P&amp;L old'!E51</f>
        <v>0</v>
      </c>
    </row>
    <row r="49" spans="1:6" ht="27.75" customHeight="1">
      <c r="A49" s="506" t="s">
        <v>934</v>
      </c>
      <c r="B49" s="541" t="s">
        <v>1252</v>
      </c>
      <c r="C49" s="540"/>
      <c r="D49" s="503" t="s">
        <v>936</v>
      </c>
      <c r="E49" s="604">
        <f>'P&amp;L old'!D52</f>
        <v>0</v>
      </c>
      <c r="F49" s="539">
        <f>'P&amp;L old'!E52</f>
        <v>0</v>
      </c>
    </row>
    <row r="50" spans="1:6" ht="27.75" customHeight="1">
      <c r="A50" s="506" t="s">
        <v>937</v>
      </c>
      <c r="B50" s="541" t="s">
        <v>1251</v>
      </c>
      <c r="C50" s="540"/>
      <c r="D50" s="503" t="s">
        <v>939</v>
      </c>
      <c r="E50" s="604">
        <f>'P&amp;L old'!D53</f>
        <v>0</v>
      </c>
      <c r="F50" s="539">
        <f>'P&amp;L old'!E53</f>
        <v>0</v>
      </c>
    </row>
    <row r="51" spans="1:6" s="536" customFormat="1" ht="44.25" customHeight="1">
      <c r="A51" s="555" t="s">
        <v>880</v>
      </c>
      <c r="B51" s="557" t="s">
        <v>1250</v>
      </c>
      <c r="C51" s="556"/>
      <c r="D51" s="513" t="s">
        <v>941</v>
      </c>
      <c r="E51" s="604">
        <f>'P&amp;L old'!D54</f>
        <v>0</v>
      </c>
      <c r="F51" s="539">
        <f>'P&amp;L old'!E54</f>
        <v>0</v>
      </c>
    </row>
    <row r="52" spans="1:6" s="536" customFormat="1" ht="29.25" customHeight="1">
      <c r="A52" s="555" t="s">
        <v>942</v>
      </c>
      <c r="B52" s="554" t="s">
        <v>1249</v>
      </c>
      <c r="C52" s="553"/>
      <c r="D52" s="513" t="s">
        <v>944</v>
      </c>
      <c r="E52" s="604">
        <f>'P&amp;L old'!D55</f>
        <v>0</v>
      </c>
      <c r="F52" s="539">
        <f>'P&amp;L old'!E55</f>
        <v>0</v>
      </c>
    </row>
    <row r="53" spans="1:6" ht="30.75" customHeight="1">
      <c r="A53" s="506" t="s">
        <v>945</v>
      </c>
      <c r="B53" s="541" t="s">
        <v>1248</v>
      </c>
      <c r="C53" s="540"/>
      <c r="D53" s="503" t="s">
        <v>947</v>
      </c>
      <c r="E53" s="604">
        <f>'P&amp;L old'!D56</f>
        <v>0</v>
      </c>
      <c r="F53" s="539">
        <f>'P&amp;L old'!E56</f>
        <v>0</v>
      </c>
    </row>
    <row r="54" spans="1:6" ht="28.5" customHeight="1">
      <c r="A54" s="548" t="s">
        <v>948</v>
      </c>
      <c r="B54" s="541" t="s">
        <v>1247</v>
      </c>
      <c r="C54" s="540"/>
      <c r="D54" s="503" t="s">
        <v>950</v>
      </c>
      <c r="E54" s="604">
        <f>'P&amp;L old'!D57</f>
        <v>0</v>
      </c>
      <c r="F54" s="539">
        <f>'P&amp;L old'!E57</f>
        <v>0</v>
      </c>
    </row>
    <row r="55" spans="1:6" ht="28.5" customHeight="1">
      <c r="A55" s="506" t="s">
        <v>836</v>
      </c>
      <c r="B55" s="541" t="s">
        <v>1246</v>
      </c>
      <c r="C55" s="540"/>
      <c r="D55" s="503" t="s">
        <v>952</v>
      </c>
      <c r="E55" s="604">
        <f>'P&amp;L old'!D58</f>
        <v>0</v>
      </c>
      <c r="F55" s="539">
        <f>'P&amp;L old'!E58</f>
        <v>0</v>
      </c>
    </row>
    <row r="56" spans="1:6" s="536" customFormat="1" ht="31.5" customHeight="1">
      <c r="A56" s="555" t="s">
        <v>942</v>
      </c>
      <c r="B56" s="554" t="s">
        <v>1245</v>
      </c>
      <c r="C56" s="553"/>
      <c r="D56" s="513" t="s">
        <v>954</v>
      </c>
      <c r="E56" s="604">
        <f>'P&amp;L old'!D59</f>
        <v>0</v>
      </c>
      <c r="F56" s="539">
        <f>'P&amp;L old'!E59</f>
        <v>0</v>
      </c>
    </row>
    <row r="57" spans="1:6" ht="29.25" customHeight="1">
      <c r="A57" s="506" t="s">
        <v>955</v>
      </c>
      <c r="B57" s="541" t="s">
        <v>1244</v>
      </c>
      <c r="C57" s="540"/>
      <c r="D57" s="503" t="s">
        <v>957</v>
      </c>
      <c r="E57" s="604">
        <f>'P&amp;L old'!D60</f>
        <v>0</v>
      </c>
      <c r="F57" s="539">
        <f>'P&amp;L old'!E60</f>
        <v>0</v>
      </c>
    </row>
    <row r="58" spans="1:6" ht="28.5" customHeight="1">
      <c r="A58" s="506" t="s">
        <v>958</v>
      </c>
      <c r="B58" s="541" t="s">
        <v>1243</v>
      </c>
      <c r="C58" s="540"/>
      <c r="D58" s="503" t="s">
        <v>960</v>
      </c>
      <c r="E58" s="604">
        <f>'P&amp;L old'!D61</f>
        <v>0</v>
      </c>
      <c r="F58" s="539">
        <f>'P&amp;L old'!E61</f>
        <v>0</v>
      </c>
    </row>
    <row r="59" spans="1:6" ht="30.75" customHeight="1" thickBot="1">
      <c r="A59" s="512" t="s">
        <v>880</v>
      </c>
      <c r="B59" s="538" t="s">
        <v>1242</v>
      </c>
      <c r="C59" s="537"/>
      <c r="D59" s="511" t="s">
        <v>962</v>
      </c>
      <c r="E59" s="604">
        <f>'P&amp;L old'!D62</f>
        <v>0</v>
      </c>
      <c r="F59" s="539">
        <f>'P&amp;L old'!E62</f>
        <v>0</v>
      </c>
    </row>
    <row r="60" spans="1:6" ht="27.75" customHeight="1">
      <c r="A60" s="552" t="s">
        <v>963</v>
      </c>
      <c r="B60" s="551" t="s">
        <v>1241</v>
      </c>
      <c r="C60" s="550"/>
      <c r="D60" s="549" t="s">
        <v>965</v>
      </c>
      <c r="E60" s="604">
        <f>'P&amp;L old'!D63</f>
        <v>0</v>
      </c>
      <c r="F60" s="539">
        <f>'P&amp;L old'!E63</f>
        <v>0</v>
      </c>
    </row>
    <row r="61" spans="1:6" ht="27.75" customHeight="1">
      <c r="A61" s="548" t="s">
        <v>966</v>
      </c>
      <c r="B61" s="541" t="s">
        <v>1240</v>
      </c>
      <c r="C61" s="540"/>
      <c r="D61" s="503" t="s">
        <v>968</v>
      </c>
      <c r="E61" s="604">
        <f>'P&amp;L old'!D64</f>
        <v>0</v>
      </c>
      <c r="F61" s="539">
        <f>'P&amp;L old'!E64</f>
        <v>0</v>
      </c>
    </row>
    <row r="62" spans="1:6" ht="27.75" customHeight="1">
      <c r="A62" s="506" t="s">
        <v>836</v>
      </c>
      <c r="B62" s="541" t="s">
        <v>1239</v>
      </c>
      <c r="C62" s="540"/>
      <c r="D62" s="503" t="s">
        <v>970</v>
      </c>
      <c r="E62" s="604">
        <f>'P&amp;L old'!D65</f>
        <v>0</v>
      </c>
      <c r="F62" s="539">
        <f>'P&amp;L old'!E65</f>
        <v>0</v>
      </c>
    </row>
    <row r="63" spans="1:6" s="536" customFormat="1" ht="27.75" customHeight="1">
      <c r="A63" s="547" t="s">
        <v>880</v>
      </c>
      <c r="B63" s="546" t="s">
        <v>1238</v>
      </c>
      <c r="C63" s="545"/>
      <c r="D63" s="544" t="s">
        <v>972</v>
      </c>
      <c r="E63" s="604">
        <f>'P&amp;L old'!D66</f>
        <v>0</v>
      </c>
      <c r="F63" s="539">
        <f>'P&amp;L old'!E66</f>
        <v>0</v>
      </c>
    </row>
    <row r="64" spans="1:6" s="536" customFormat="1" ht="27.75" customHeight="1">
      <c r="A64" s="507" t="s">
        <v>973</v>
      </c>
      <c r="B64" s="543" t="s">
        <v>1237</v>
      </c>
      <c r="C64" s="542"/>
      <c r="D64" s="513" t="s">
        <v>975</v>
      </c>
      <c r="E64" s="604">
        <f>'P&amp;L old'!D67</f>
        <v>0</v>
      </c>
      <c r="F64" s="539">
        <f>'P&amp;L old'!E67</f>
        <v>0</v>
      </c>
    </row>
    <row r="65" spans="1:6" ht="27.75" customHeight="1">
      <c r="A65" s="506" t="s">
        <v>976</v>
      </c>
      <c r="B65" s="541" t="s">
        <v>1236</v>
      </c>
      <c r="C65" s="540"/>
      <c r="D65" s="503" t="s">
        <v>978</v>
      </c>
      <c r="E65" s="604">
        <f>'P&amp;L old'!D68</f>
        <v>0</v>
      </c>
      <c r="F65" s="539">
        <f>'P&amp;L old'!E68</f>
        <v>0</v>
      </c>
    </row>
    <row r="66" spans="1:6" s="536" customFormat="1" ht="27.75" customHeight="1" thickBot="1">
      <c r="A66" s="512" t="s">
        <v>973</v>
      </c>
      <c r="B66" s="538" t="s">
        <v>1235</v>
      </c>
      <c r="C66" s="537"/>
      <c r="D66" s="511" t="s">
        <v>980</v>
      </c>
      <c r="E66" s="604">
        <f>'P&amp;L old'!D69</f>
        <v>0</v>
      </c>
      <c r="F66" s="539">
        <f>'P&amp;L old'!E69</f>
        <v>0</v>
      </c>
    </row>
  </sheetData>
  <mergeCells count="1">
    <mergeCell ref="E4:F4"/>
  </mergeCells>
  <pageMargins left="0.74803149606299213" right="0.55118110236220474" top="0.39370078740157483" bottom="0.47244094488188981" header="0.39370078740157483" footer="0.19685039370078741"/>
  <pageSetup paperSize="9" scale="81" firstPageNumber="2" orientation="portrait" useFirstPageNumber="1" r:id="rId1"/>
  <headerFooter alignWithMargins="0">
    <oddFooter>&amp;LMF SR č. 24219/3/2008/1&amp;RStrana &amp;P</oddFooter>
  </headerFooter>
  <rowBreaks count="2" manualBreakCount="2">
    <brk id="32" max="4" man="1"/>
    <brk id="59" max="4" man="1"/>
  </rowBreak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outlinePr summaryBelow="0" summaryRight="0"/>
  </sheetPr>
  <dimension ref="A1:AO55"/>
  <sheetViews>
    <sheetView showGridLines="0" view="pageBreakPreview" zoomScaleNormal="100" zoomScaleSheetLayoutView="100" workbookViewId="0"/>
  </sheetViews>
  <sheetFormatPr defaultColWidth="9.140625" defaultRowHeight="12.75"/>
  <cols>
    <col min="1" max="38" width="2.5703125" style="390" customWidth="1"/>
    <col min="39" max="39" width="0.85546875" style="390" customWidth="1"/>
    <col min="40" max="41" width="2.5703125" style="390" customWidth="1"/>
    <col min="42" max="42" width="9.140625" style="390"/>
    <col min="43" max="45" width="2.5703125" style="390" customWidth="1"/>
    <col min="46" max="46" width="7.7109375" style="390" customWidth="1"/>
    <col min="47" max="61" width="2.5703125" style="390" customWidth="1"/>
    <col min="62" max="16384" width="9.140625" style="390"/>
  </cols>
  <sheetData>
    <row r="1" spans="1:39" s="500" customFormat="1" ht="10.5" customHeight="1">
      <c r="B1" s="501" t="s">
        <v>1234</v>
      </c>
      <c r="N1" s="2394" t="s">
        <v>1233</v>
      </c>
      <c r="O1" s="2394"/>
      <c r="P1" s="2394"/>
      <c r="Q1" s="2394"/>
      <c r="R1" s="2394"/>
      <c r="S1" s="2394"/>
      <c r="T1" s="2394"/>
      <c r="U1" s="2394"/>
      <c r="V1" s="2394"/>
      <c r="W1" s="2394"/>
      <c r="AM1" s="501"/>
    </row>
    <row r="2" spans="1:39" s="397" customFormat="1" ht="21" customHeight="1">
      <c r="B2" s="499" t="s">
        <v>1232</v>
      </c>
      <c r="C2" s="498"/>
      <c r="D2" s="498"/>
      <c r="E2" s="498"/>
      <c r="F2" s="498"/>
      <c r="G2" s="498"/>
      <c r="H2" s="498"/>
      <c r="I2" s="498"/>
      <c r="J2" s="534"/>
      <c r="K2" s="498"/>
      <c r="L2" s="498"/>
      <c r="M2" s="533"/>
      <c r="N2" s="2394"/>
      <c r="O2" s="2394"/>
      <c r="P2" s="2394"/>
      <c r="Q2" s="2394"/>
      <c r="R2" s="2394"/>
      <c r="S2" s="2394"/>
      <c r="T2" s="2394"/>
      <c r="U2" s="2394"/>
      <c r="V2" s="2394"/>
      <c r="W2" s="2394"/>
      <c r="AM2" s="532"/>
    </row>
    <row r="3" spans="1:39" ht="13.5" customHeight="1" thickBot="1">
      <c r="N3" s="2395"/>
      <c r="O3" s="2395"/>
      <c r="P3" s="2395"/>
      <c r="Q3" s="2395"/>
      <c r="R3" s="2395"/>
      <c r="S3" s="2395"/>
      <c r="T3" s="2395"/>
      <c r="U3" s="2395"/>
      <c r="V3" s="2395"/>
      <c r="W3" s="2395"/>
    </row>
    <row r="4" spans="1:39" ht="28.5" customHeight="1" thickBot="1">
      <c r="K4" s="495" t="s">
        <v>1062</v>
      </c>
      <c r="L4" s="494" t="str">
        <f>+MID('Input data'!$B$11,1,1)</f>
        <v>3</v>
      </c>
      <c r="M4" s="494" t="str">
        <f>+MID('Input data'!$B$11,2,1)</f>
        <v>1</v>
      </c>
      <c r="N4" s="494" t="s">
        <v>1063</v>
      </c>
      <c r="O4" s="494" t="str">
        <f>LEFT('Input data'!B13,1)</f>
        <v>0</v>
      </c>
      <c r="P4" s="494" t="str">
        <f>RIGHT('Input data'!B13,1)</f>
        <v>3</v>
      </c>
      <c r="Q4" s="494" t="s">
        <v>1063</v>
      </c>
      <c r="R4" s="494" t="str">
        <f>+LEFT('Input data'!$B$14,1)</f>
        <v>2</v>
      </c>
      <c r="S4" s="494" t="str">
        <f>+MID('Input data'!$B$14,2,1)</f>
        <v>0</v>
      </c>
      <c r="T4" s="494" t="str">
        <f>+MID('Input data'!$B$14,3,1)</f>
        <v>1</v>
      </c>
      <c r="U4" s="494" t="str">
        <f>+MID('Input data'!$B$14,4,1)</f>
        <v>8</v>
      </c>
      <c r="V4" s="493" t="s">
        <v>1064</v>
      </c>
      <c r="W4" s="492"/>
      <c r="X4" s="492"/>
      <c r="Y4" s="492"/>
      <c r="Z4" s="491"/>
    </row>
    <row r="5" spans="1:39" ht="7.5" customHeight="1" thickBot="1"/>
    <row r="6" spans="1:39" s="487" customFormat="1" ht="14.25" customHeight="1">
      <c r="A6" s="490" t="s">
        <v>1065</v>
      </c>
      <c r="B6" s="489"/>
      <c r="C6" s="489"/>
      <c r="D6" s="489"/>
      <c r="E6" s="489"/>
      <c r="F6" s="489"/>
      <c r="G6" s="489"/>
      <c r="H6" s="489"/>
      <c r="I6" s="489"/>
      <c r="J6" s="489"/>
      <c r="K6" s="489"/>
      <c r="L6" s="489"/>
      <c r="M6" s="489"/>
      <c r="N6" s="489"/>
      <c r="O6" s="489"/>
      <c r="P6" s="489"/>
      <c r="Q6" s="489"/>
      <c r="R6" s="489"/>
      <c r="S6" s="488"/>
      <c r="T6" s="489"/>
      <c r="U6" s="489"/>
      <c r="V6" s="489"/>
      <c r="W6" s="489"/>
      <c r="X6" s="489"/>
      <c r="Y6" s="489"/>
      <c r="Z6" s="489"/>
      <c r="AA6" s="489"/>
      <c r="AB6" s="489"/>
      <c r="AC6" s="489"/>
      <c r="AD6" s="489"/>
      <c r="AE6" s="489"/>
      <c r="AF6" s="489"/>
      <c r="AG6" s="489"/>
      <c r="AH6" s="489"/>
      <c r="AI6" s="489"/>
      <c r="AJ6" s="489"/>
      <c r="AK6" s="488"/>
    </row>
    <row r="7" spans="1:39" s="391" customFormat="1" ht="15" customHeight="1">
      <c r="A7" s="403" t="s">
        <v>1066</v>
      </c>
      <c r="B7" s="402"/>
      <c r="C7" s="402"/>
      <c r="D7" s="402"/>
      <c r="E7" s="402"/>
      <c r="F7" s="402"/>
      <c r="G7" s="402"/>
      <c r="H7" s="402"/>
      <c r="I7" s="402"/>
      <c r="J7" s="402"/>
      <c r="K7" s="402"/>
      <c r="L7" s="402"/>
      <c r="M7" s="402"/>
      <c r="N7" s="402"/>
      <c r="O7" s="402"/>
      <c r="P7" s="402"/>
      <c r="Q7" s="402"/>
      <c r="R7" s="402"/>
      <c r="S7" s="486"/>
      <c r="T7" s="402"/>
      <c r="U7" s="402"/>
      <c r="V7" s="402"/>
      <c r="W7" s="402"/>
      <c r="X7" s="402"/>
      <c r="Y7" s="402"/>
      <c r="Z7" s="402"/>
      <c r="AA7" s="402"/>
      <c r="AB7" s="402"/>
      <c r="AC7" s="402"/>
      <c r="AD7" s="402"/>
      <c r="AE7" s="402"/>
      <c r="AF7" s="402"/>
      <c r="AG7" s="402"/>
      <c r="AH7" s="402"/>
      <c r="AI7" s="402"/>
      <c r="AJ7" s="402"/>
      <c r="AK7" s="486"/>
    </row>
    <row r="8" spans="1:39" s="482" customFormat="1" ht="18" customHeight="1" thickBot="1">
      <c r="A8" s="485" t="s">
        <v>1067</v>
      </c>
      <c r="B8" s="484"/>
      <c r="C8" s="484"/>
      <c r="D8" s="484"/>
      <c r="E8" s="485"/>
      <c r="F8" s="484"/>
      <c r="G8" s="484"/>
      <c r="H8" s="484"/>
      <c r="I8" s="484"/>
      <c r="J8" s="484"/>
      <c r="K8" s="484"/>
      <c r="L8" s="484"/>
      <c r="M8" s="484"/>
      <c r="N8" s="484"/>
      <c r="O8" s="484"/>
      <c r="P8" s="484"/>
      <c r="Q8" s="484"/>
      <c r="R8" s="484"/>
      <c r="S8" s="483"/>
      <c r="T8" s="484"/>
      <c r="U8" s="484"/>
      <c r="V8" s="484"/>
      <c r="W8" s="484"/>
      <c r="X8" s="484"/>
      <c r="Y8" s="484"/>
      <c r="Z8" s="484"/>
      <c r="AA8" s="484"/>
      <c r="AB8" s="484"/>
      <c r="AC8" s="484"/>
      <c r="AD8" s="484"/>
      <c r="AE8" s="484"/>
      <c r="AF8" s="484"/>
      <c r="AG8" s="484"/>
      <c r="AH8" s="484"/>
      <c r="AI8" s="484"/>
      <c r="AJ8" s="484"/>
      <c r="AK8" s="483"/>
    </row>
    <row r="9" spans="1:39" s="462" customFormat="1" ht="3.75" customHeight="1" thickBot="1"/>
    <row r="10" spans="1:39" s="462" customFormat="1" ht="14.25" customHeight="1">
      <c r="A10" s="464" t="s">
        <v>1068</v>
      </c>
      <c r="B10" s="463"/>
      <c r="C10" s="463"/>
      <c r="D10" s="463"/>
      <c r="E10" s="463"/>
      <c r="F10" s="463"/>
      <c r="G10" s="463"/>
      <c r="H10" s="463"/>
      <c r="I10" s="407"/>
      <c r="J10" s="406"/>
      <c r="K10" s="480" t="s">
        <v>1069</v>
      </c>
      <c r="L10" s="463"/>
      <c r="M10" s="481"/>
      <c r="N10" s="481"/>
      <c r="O10" s="481"/>
      <c r="P10" s="463"/>
      <c r="Q10" s="480" t="s">
        <v>1069</v>
      </c>
      <c r="R10" s="463"/>
      <c r="S10" s="407"/>
      <c r="T10" s="463"/>
      <c r="U10" s="463"/>
      <c r="V10" s="479"/>
      <c r="W10" s="463"/>
      <c r="X10" s="463"/>
      <c r="Y10" s="463"/>
      <c r="Z10" s="463"/>
      <c r="AA10" s="463"/>
      <c r="AB10" s="463"/>
      <c r="AC10" s="463"/>
      <c r="AD10" s="480" t="s">
        <v>1070</v>
      </c>
      <c r="AE10" s="480"/>
      <c r="AF10" s="480"/>
      <c r="AG10" s="480" t="s">
        <v>1071</v>
      </c>
      <c r="AH10" s="463"/>
      <c r="AI10" s="463"/>
      <c r="AJ10" s="463"/>
      <c r="AK10" s="479"/>
    </row>
    <row r="11" spans="1:39" s="462" customFormat="1" ht="19.5" customHeight="1">
      <c r="A11" s="476" t="str">
        <f>LEFT('Input data'!C24,1)</f>
        <v>2</v>
      </c>
      <c r="B11" s="441" t="str">
        <f>MID('Input data'!$C$24,2,1)</f>
        <v>0</v>
      </c>
      <c r="C11" s="441" t="str">
        <f>MID('Input data'!$C$24,3,1)</f>
        <v>2</v>
      </c>
      <c r="D11" s="441" t="str">
        <f>MID('Input data'!$C$24,4,1)</f>
        <v>0</v>
      </c>
      <c r="E11" s="441" t="str">
        <f>MID('Input data'!$C$24,5,1)</f>
        <v>3</v>
      </c>
      <c r="F11" s="441" t="str">
        <f>MID('Input data'!$C$24,6,1)</f>
        <v>1</v>
      </c>
      <c r="G11" s="441" t="str">
        <f>MID('Input data'!$C$24,7,1)</f>
        <v>9</v>
      </c>
      <c r="H11" s="441" t="str">
        <f>MID('Input data'!$C$24,8,1)</f>
        <v>8</v>
      </c>
      <c r="I11" s="441" t="str">
        <f>MID('Input data'!$C$24,9,1)</f>
        <v>2</v>
      </c>
      <c r="J11" s="448" t="str">
        <f>MID('Input data'!$C$24,10,1)</f>
        <v>9</v>
      </c>
      <c r="K11" s="399"/>
      <c r="L11" s="465"/>
      <c r="M11" s="465"/>
      <c r="N11" s="465"/>
      <c r="O11" s="465"/>
      <c r="P11" s="465"/>
      <c r="Q11" s="465"/>
      <c r="R11" s="465"/>
      <c r="S11" s="465"/>
      <c r="T11" s="465"/>
      <c r="U11" s="465"/>
      <c r="V11" s="471"/>
      <c r="W11" s="470" t="s">
        <v>1072</v>
      </c>
      <c r="X11" s="465"/>
      <c r="Y11" s="465"/>
      <c r="Z11" s="465"/>
      <c r="AA11" s="465"/>
      <c r="AB11" s="470" t="s">
        <v>1073</v>
      </c>
      <c r="AC11" s="465"/>
      <c r="AD11" s="441" t="str">
        <f>MID('Input data'!$B$8,1,1)</f>
        <v>0</v>
      </c>
      <c r="AE11" s="441" t="str">
        <f>MID('Input data'!$B$8,2,1)</f>
        <v>4</v>
      </c>
      <c r="AF11" s="441"/>
      <c r="AG11" s="441" t="str">
        <f>MID('Input data'!$B$9,1,1)</f>
        <v>2</v>
      </c>
      <c r="AH11" s="441" t="str">
        <f>MID('Input data'!$B$9,2,1)</f>
        <v>0</v>
      </c>
      <c r="AI11" s="441" t="str">
        <f>MID('Input data'!$B$9,3,1)</f>
        <v>1</v>
      </c>
      <c r="AJ11" s="441" t="str">
        <f>MID('Input data'!$B$9,4,1)</f>
        <v>7</v>
      </c>
      <c r="AK11" s="471"/>
    </row>
    <row r="12" spans="1:39" s="462" customFormat="1" ht="19.5" customHeight="1" thickBot="1">
      <c r="A12" s="403" t="s">
        <v>1074</v>
      </c>
      <c r="B12" s="465"/>
      <c r="C12" s="465"/>
      <c r="D12" s="465"/>
      <c r="E12" s="465"/>
      <c r="F12" s="465"/>
      <c r="G12" s="465"/>
      <c r="H12" s="399"/>
      <c r="I12" s="399"/>
      <c r="J12" s="398"/>
      <c r="K12" s="399"/>
      <c r="L12" s="478" t="str">
        <f>IF('Input data'!D7="x","x"," ")</f>
        <v>x</v>
      </c>
      <c r="M12" s="470" t="s">
        <v>1075</v>
      </c>
      <c r="N12" s="472"/>
      <c r="O12" s="472"/>
      <c r="P12" s="472"/>
      <c r="Q12" s="472"/>
      <c r="R12" s="478" t="str">
        <f>IF('Input data'!D17="x","x"," ")</f>
        <v>x</v>
      </c>
      <c r="S12" s="470" t="s">
        <v>1076</v>
      </c>
      <c r="T12" s="465"/>
      <c r="U12" s="465"/>
      <c r="V12" s="471"/>
      <c r="W12" s="477"/>
      <c r="X12" s="467"/>
      <c r="Y12" s="467"/>
      <c r="Z12" s="467"/>
      <c r="AA12" s="467"/>
      <c r="AB12" s="466" t="s">
        <v>1077</v>
      </c>
      <c r="AC12" s="467"/>
      <c r="AD12" s="439" t="str">
        <f>MID('Input data'!$B$13,1,1)</f>
        <v>0</v>
      </c>
      <c r="AE12" s="439" t="str">
        <f>MID('Input data'!$B$13,2,1)</f>
        <v>3</v>
      </c>
      <c r="AF12" s="439"/>
      <c r="AG12" s="439" t="str">
        <f>MID('Input data'!$B$14,1,1)</f>
        <v>2</v>
      </c>
      <c r="AH12" s="439" t="str">
        <f>MID('Input data'!$B$14,2,1)</f>
        <v>0</v>
      </c>
      <c r="AI12" s="439" t="str">
        <f>MID('Input data'!$B$14,3,1)</f>
        <v>1</v>
      </c>
      <c r="AJ12" s="439" t="str">
        <f>MID('Input data'!$B$14,4,1)</f>
        <v>8</v>
      </c>
      <c r="AK12" s="468"/>
    </row>
    <row r="13" spans="1:39" s="462" customFormat="1" ht="19.5" customHeight="1">
      <c r="A13" s="476" t="str">
        <f>LEFT('Input data'!C26,1)</f>
        <v>3</v>
      </c>
      <c r="B13" s="441" t="str">
        <f>MID('Input data'!$C$26,2,1)</f>
        <v>1</v>
      </c>
      <c r="C13" s="441" t="str">
        <f>MID('Input data'!$C$26,3,1)</f>
        <v>3</v>
      </c>
      <c r="D13" s="441" t="str">
        <f>MID('Input data'!$C$26,4,1)</f>
        <v>6</v>
      </c>
      <c r="E13" s="441" t="str">
        <f>MID('Input data'!$C$26,5,1)</f>
        <v>5</v>
      </c>
      <c r="F13" s="441" t="str">
        <f>MID('Input data'!$C$26,6,1)</f>
        <v>5</v>
      </c>
      <c r="G13" s="441" t="str">
        <f>MID('Input data'!$C$26,7,1)</f>
        <v>0</v>
      </c>
      <c r="H13" s="441" t="str">
        <f>MID('Input data'!$C$26,8,1)</f>
        <v>7</v>
      </c>
      <c r="I13" s="399"/>
      <c r="J13" s="398"/>
      <c r="K13" s="399"/>
      <c r="L13" s="474" t="str">
        <f>IF('Input data'!D8="x","x", "")</f>
        <v/>
      </c>
      <c r="M13" s="470" t="s">
        <v>1078</v>
      </c>
      <c r="N13" s="472"/>
      <c r="O13" s="472"/>
      <c r="P13" s="472"/>
      <c r="Q13" s="472"/>
      <c r="R13" s="475" t="str">
        <f>IF('Input data'!D18="x","x"," ")</f>
        <v xml:space="preserve"> </v>
      </c>
      <c r="S13" s="470" t="s">
        <v>1079</v>
      </c>
      <c r="T13" s="465"/>
      <c r="U13" s="465"/>
      <c r="V13" s="471"/>
      <c r="W13" s="470" t="s">
        <v>1080</v>
      </c>
      <c r="X13" s="465"/>
      <c r="Y13" s="402"/>
      <c r="Z13" s="399"/>
      <c r="AA13" s="399"/>
      <c r="AB13" s="472"/>
      <c r="AC13" s="399"/>
      <c r="AD13" s="474"/>
      <c r="AE13" s="474"/>
      <c r="AF13" s="474"/>
      <c r="AG13" s="474"/>
      <c r="AH13" s="474"/>
      <c r="AI13" s="474"/>
      <c r="AJ13" s="474"/>
      <c r="AK13" s="398"/>
    </row>
    <row r="14" spans="1:39" s="462" customFormat="1" ht="19.5" customHeight="1">
      <c r="A14" s="403" t="s">
        <v>1081</v>
      </c>
      <c r="B14" s="465"/>
      <c r="C14" s="465"/>
      <c r="D14" s="465"/>
      <c r="E14" s="465"/>
      <c r="F14" s="465"/>
      <c r="G14" s="465"/>
      <c r="H14" s="465"/>
      <c r="I14" s="399"/>
      <c r="J14" s="398"/>
      <c r="K14" s="399"/>
      <c r="L14" s="399"/>
      <c r="M14" s="470"/>
      <c r="N14" s="472"/>
      <c r="O14" s="472"/>
      <c r="P14" s="472"/>
      <c r="Q14" s="472"/>
      <c r="R14" s="473" t="s">
        <v>1082</v>
      </c>
      <c r="S14" s="472"/>
      <c r="T14" s="465"/>
      <c r="U14" s="465"/>
      <c r="V14" s="471"/>
      <c r="W14" s="470" t="s">
        <v>983</v>
      </c>
      <c r="X14" s="465"/>
      <c r="Y14" s="402"/>
      <c r="Z14" s="399"/>
      <c r="AA14" s="399"/>
      <c r="AB14" s="470" t="s">
        <v>1073</v>
      </c>
      <c r="AC14" s="399"/>
      <c r="AD14" s="441" t="str">
        <f>MID('Input data'!$B$18,1,1)</f>
        <v>0</v>
      </c>
      <c r="AE14" s="441" t="str">
        <f>MID('Input data'!$B$18,2,1)</f>
        <v>4</v>
      </c>
      <c r="AF14" s="441"/>
      <c r="AG14" s="441" t="str">
        <f>MID('Input data'!$B$19,1,1)</f>
        <v>2</v>
      </c>
      <c r="AH14" s="441" t="str">
        <f>MID('Input data'!$B$19,2,1)</f>
        <v>0</v>
      </c>
      <c r="AI14" s="441" t="str">
        <f>MID('Input data'!$B$19,3,1)</f>
        <v>1</v>
      </c>
      <c r="AJ14" s="441" t="str">
        <f>MID('Input data'!$B$19,4,1)</f>
        <v>6</v>
      </c>
      <c r="AK14" s="398"/>
    </row>
    <row r="15" spans="1:39" s="462" customFormat="1" ht="19.5" customHeight="1" thickBot="1">
      <c r="A15" s="469" t="str">
        <f>LEFT('Input data'!$F$7,1)</f>
        <v>2</v>
      </c>
      <c r="B15" s="394" t="str">
        <f>MID('Input data'!$F$7,2,1)</f>
        <v>7</v>
      </c>
      <c r="C15" s="467" t="s">
        <v>1063</v>
      </c>
      <c r="D15" s="394" t="str">
        <f>MID('Input data'!$F$7,3,1)</f>
        <v>3</v>
      </c>
      <c r="E15" s="394" t="str">
        <f>MID('Input data'!$F$7,4,1)</f>
        <v>1</v>
      </c>
      <c r="F15" s="418" t="s">
        <v>1063</v>
      </c>
      <c r="G15" s="394" t="str">
        <f>MID('Input data'!$F$7,5,1)</f>
        <v>0</v>
      </c>
      <c r="H15" s="394"/>
      <c r="I15" s="394"/>
      <c r="J15" s="393"/>
      <c r="K15" s="394"/>
      <c r="L15" s="394"/>
      <c r="M15" s="394"/>
      <c r="N15" s="394"/>
      <c r="O15" s="394"/>
      <c r="P15" s="394"/>
      <c r="Q15" s="394"/>
      <c r="R15" s="394"/>
      <c r="S15" s="394"/>
      <c r="T15" s="467"/>
      <c r="U15" s="467"/>
      <c r="V15" s="468"/>
      <c r="W15" s="466" t="s">
        <v>1083</v>
      </c>
      <c r="X15" s="467"/>
      <c r="Y15" s="395"/>
      <c r="Z15" s="394"/>
      <c r="AA15" s="394"/>
      <c r="AB15" s="466" t="s">
        <v>1077</v>
      </c>
      <c r="AC15" s="394"/>
      <c r="AD15" s="439" t="str">
        <f>MID('Input data'!$B$21,1,1)</f>
        <v>0</v>
      </c>
      <c r="AE15" s="439" t="str">
        <f>MID('Input data'!$B$21,2,1)</f>
        <v>3</v>
      </c>
      <c r="AF15" s="439"/>
      <c r="AG15" s="439" t="str">
        <f>MID('Input data'!$B$22,1,1)</f>
        <v>2</v>
      </c>
      <c r="AH15" s="439" t="str">
        <f>MID('Input data'!$B$22,2,1)</f>
        <v>0</v>
      </c>
      <c r="AI15" s="439" t="str">
        <f>MID('Input data'!$B$22,3,1)</f>
        <v>1</v>
      </c>
      <c r="AJ15" s="439" t="str">
        <f>MID('Input data'!$B$22,4,1)</f>
        <v>7</v>
      </c>
      <c r="AK15" s="393"/>
    </row>
    <row r="16" spans="1:39" s="462" customFormat="1" ht="4.5" customHeight="1">
      <c r="A16" s="465"/>
      <c r="B16" s="465"/>
      <c r="C16" s="465"/>
      <c r="D16" s="465"/>
      <c r="E16" s="465"/>
      <c r="F16" s="463"/>
      <c r="G16" s="465"/>
      <c r="H16" s="399"/>
      <c r="I16" s="399"/>
      <c r="J16" s="399"/>
      <c r="K16" s="399"/>
      <c r="L16" s="399"/>
      <c r="M16" s="399"/>
      <c r="N16" s="399"/>
      <c r="O16" s="399"/>
      <c r="P16" s="399"/>
      <c r="Q16" s="399"/>
      <c r="R16" s="399"/>
      <c r="S16" s="399"/>
      <c r="T16" s="465"/>
      <c r="U16" s="465"/>
      <c r="V16" s="399"/>
      <c r="W16" s="399"/>
      <c r="X16" s="399"/>
      <c r="Y16" s="399"/>
      <c r="Z16" s="399"/>
      <c r="AA16" s="399"/>
      <c r="AB16" s="399"/>
      <c r="AC16" s="399"/>
      <c r="AD16" s="399"/>
      <c r="AE16" s="399"/>
      <c r="AF16" s="399"/>
      <c r="AG16" s="399"/>
      <c r="AH16" s="399"/>
      <c r="AI16" s="399"/>
      <c r="AJ16" s="399"/>
      <c r="AK16" s="399"/>
    </row>
    <row r="17" spans="1:39" s="462" customFormat="1" ht="3" customHeight="1" thickBot="1">
      <c r="H17" s="392"/>
      <c r="I17" s="392"/>
      <c r="J17" s="392"/>
      <c r="K17" s="392"/>
      <c r="L17" s="392"/>
      <c r="M17" s="392"/>
      <c r="N17" s="392"/>
      <c r="O17" s="392"/>
      <c r="P17" s="392"/>
      <c r="Q17" s="392"/>
      <c r="R17" s="392"/>
      <c r="S17" s="392"/>
      <c r="W17" s="392"/>
      <c r="X17" s="392"/>
      <c r="Y17" s="392"/>
      <c r="Z17" s="392"/>
      <c r="AA17" s="392"/>
      <c r="AB17" s="392"/>
      <c r="AC17" s="392"/>
      <c r="AD17" s="392"/>
      <c r="AE17" s="392"/>
      <c r="AF17" s="392"/>
      <c r="AG17" s="392"/>
      <c r="AH17" s="392"/>
      <c r="AI17" s="392"/>
      <c r="AJ17" s="392"/>
      <c r="AK17" s="392"/>
    </row>
    <row r="18" spans="1:39" s="462" customFormat="1" ht="16.5">
      <c r="A18" s="464" t="s">
        <v>1084</v>
      </c>
      <c r="B18" s="463"/>
      <c r="C18" s="463"/>
      <c r="D18" s="463"/>
      <c r="E18" s="463"/>
      <c r="F18" s="463"/>
      <c r="G18" s="463"/>
      <c r="H18" s="407"/>
      <c r="I18" s="407"/>
      <c r="J18" s="407"/>
      <c r="K18" s="407"/>
      <c r="L18" s="407"/>
      <c r="M18" s="407"/>
      <c r="N18" s="407"/>
      <c r="O18" s="407"/>
      <c r="P18" s="407"/>
      <c r="Q18" s="407"/>
      <c r="R18" s="407"/>
      <c r="S18" s="407"/>
      <c r="T18" s="463"/>
      <c r="U18" s="463"/>
      <c r="V18" s="463"/>
      <c r="W18" s="407"/>
      <c r="X18" s="407"/>
      <c r="Y18" s="407"/>
      <c r="Z18" s="407"/>
      <c r="AA18" s="407"/>
      <c r="AB18" s="407"/>
      <c r="AC18" s="407"/>
      <c r="AD18" s="407"/>
      <c r="AE18" s="407"/>
      <c r="AF18" s="407"/>
      <c r="AG18" s="407"/>
      <c r="AH18" s="407"/>
      <c r="AI18" s="407"/>
      <c r="AJ18" s="407"/>
      <c r="AK18" s="406"/>
    </row>
    <row r="19" spans="1:39" s="392" customFormat="1" ht="19.5" customHeight="1">
      <c r="A19" s="449" t="str">
        <f>+LEFT('Input data'!$F$3,1)</f>
        <v>F</v>
      </c>
      <c r="B19" s="441" t="str">
        <f>+MID('Input data'!$F$3,2,1)</f>
        <v>o</v>
      </c>
      <c r="C19" s="441" t="str">
        <f>+MID('Input data'!$F$3,3,1)</f>
        <v>s</v>
      </c>
      <c r="D19" s="441" t="str">
        <f>+MID('Input data'!$F$3,4,1)</f>
        <v>s</v>
      </c>
      <c r="E19" s="441" t="str">
        <f>+MID('Input data'!$F$3,5,1)</f>
        <v xml:space="preserve"> </v>
      </c>
      <c r="F19" s="441" t="str">
        <f>+MID('Input data'!$F$3,6,1)</f>
        <v>F</v>
      </c>
      <c r="G19" s="441" t="str">
        <f>+MID('Input data'!$F$3,7,1)</f>
        <v>i</v>
      </c>
      <c r="H19" s="441" t="str">
        <f>+MID('Input data'!$F$3,8,1)</f>
        <v>b</v>
      </c>
      <c r="I19" s="441" t="str">
        <f>+MID('Input data'!$F$3,9,1)</f>
        <v>r</v>
      </c>
      <c r="J19" s="441" t="str">
        <f>+MID('Input data'!$F$3,10,1)</f>
        <v>e</v>
      </c>
      <c r="K19" s="441" t="str">
        <f>+MID('Input data'!$F$3,11,1)</f>
        <v xml:space="preserve"> </v>
      </c>
      <c r="L19" s="441" t="str">
        <f>+MID('Input data'!$F$3,12,1)</f>
        <v>O</v>
      </c>
      <c r="M19" s="441" t="str">
        <f>+MID('Input data'!$F$3,13,1)</f>
        <v>p</v>
      </c>
      <c r="N19" s="441" t="str">
        <f>+MID('Input data'!$F$3,14,1)</f>
        <v>t</v>
      </c>
      <c r="O19" s="441" t="str">
        <f>+MID('Input data'!$F$3,15,1)</f>
        <v>i</v>
      </c>
      <c r="P19" s="441" t="str">
        <f>+MID('Input data'!$F$3,16,1)</f>
        <v>c</v>
      </c>
      <c r="Q19" s="441" t="str">
        <f>+MID('Input data'!$F$3,17,1)</f>
        <v>s</v>
      </c>
      <c r="R19" s="441" t="str">
        <f>+MID('Input data'!$F$3,18,1)</f>
        <v>,</v>
      </c>
      <c r="S19" s="441" t="str">
        <f>+MID('Input data'!$F$3,19,1)</f>
        <v xml:space="preserve"> </v>
      </c>
      <c r="T19" s="441" t="str">
        <f>+MID('Input data'!$F$3,20,1)</f>
        <v>s</v>
      </c>
      <c r="U19" s="441" t="str">
        <f>+MID('Input data'!$F$3,21,1)</f>
        <v>.</v>
      </c>
      <c r="V19" s="441" t="str">
        <f>+MID('Input data'!$F$3,22,1)</f>
        <v>r</v>
      </c>
      <c r="W19" s="441" t="str">
        <f>+MID('Input data'!$F$3,23,1)</f>
        <v>.</v>
      </c>
      <c r="X19" s="441" t="str">
        <f>+MID('Input data'!$F$3,24,1)</f>
        <v>o</v>
      </c>
      <c r="Y19" s="441" t="str">
        <f>+MID('Input data'!$F$3,25,1)</f>
        <v>.</v>
      </c>
      <c r="Z19" s="441" t="str">
        <f>+MID('Input data'!$F$3,26,1)</f>
        <v xml:space="preserve"> </v>
      </c>
      <c r="AA19" s="441" t="str">
        <f>+MID('Input data'!$F$3,27,1)</f>
        <v xml:space="preserve">
</v>
      </c>
      <c r="AB19" s="441" t="str">
        <f>+MID('Input data'!$F$3,28,1)</f>
        <v/>
      </c>
      <c r="AC19" s="441" t="str">
        <f>+MID('Input data'!$F$3,29,1)</f>
        <v/>
      </c>
      <c r="AD19" s="441" t="str">
        <f>+MID('Input data'!$F$3,30,1)</f>
        <v/>
      </c>
      <c r="AE19" s="441" t="str">
        <f>+MID('Input data'!$F$3,31,1)</f>
        <v/>
      </c>
      <c r="AF19" s="441" t="str">
        <f>+MID('Input data'!$F$3,32,1)</f>
        <v/>
      </c>
      <c r="AG19" s="441" t="str">
        <f>+MID('Input data'!$F$3,33,1)</f>
        <v/>
      </c>
      <c r="AH19" s="441" t="str">
        <f>+MID('Input data'!$F$3,34,1)</f>
        <v/>
      </c>
      <c r="AI19" s="441" t="str">
        <f>+MID('Input data'!$F$3,35,1)</f>
        <v/>
      </c>
      <c r="AJ19" s="441" t="str">
        <f>+MID('Input data'!$F$3,36,1)</f>
        <v/>
      </c>
      <c r="AK19" s="448" t="str">
        <f>+MID('Input data'!$F$3,37,1)</f>
        <v/>
      </c>
      <c r="AL19" s="462"/>
      <c r="AM19" s="462"/>
    </row>
    <row r="20" spans="1:39" s="530" customFormat="1" ht="19.5" customHeight="1">
      <c r="A20" s="449" t="str">
        <f>+MID('Input data'!$F$3,38,1)</f>
        <v/>
      </c>
      <c r="B20" s="441" t="str">
        <f>+MID('Input data'!$F$3,39,1)</f>
        <v/>
      </c>
      <c r="C20" s="441" t="str">
        <f>+MID('Input data'!$F$3,40,1)</f>
        <v/>
      </c>
      <c r="D20" s="441" t="str">
        <f>+MID('Input data'!$F$3,41,1)</f>
        <v/>
      </c>
      <c r="E20" s="441" t="str">
        <f>+MID('Input data'!$F$3,42,1)</f>
        <v/>
      </c>
      <c r="F20" s="441" t="str">
        <f>+MID('Input data'!$F$3,43,1)</f>
        <v/>
      </c>
      <c r="G20" s="441" t="str">
        <f>+MID('Input data'!$F$3,44,1)</f>
        <v/>
      </c>
      <c r="H20" s="441" t="str">
        <f>+MID('Input data'!$F$3,45,1)</f>
        <v/>
      </c>
      <c r="I20" s="441" t="str">
        <f>+MID('Input data'!$F$3,46,1)</f>
        <v/>
      </c>
      <c r="J20" s="441" t="str">
        <f>+MID('Input data'!$F$3,47,1)</f>
        <v/>
      </c>
      <c r="K20" s="441" t="str">
        <f>+MID('Input data'!$F$3,48,1)</f>
        <v/>
      </c>
      <c r="L20" s="441" t="str">
        <f>+MID('Input data'!$F$3,49,1)</f>
        <v/>
      </c>
      <c r="M20" s="441" t="str">
        <f>+MID('Input data'!$F$3,50,1)</f>
        <v/>
      </c>
      <c r="N20" s="441" t="str">
        <f>+MID('Input data'!$F$3,51,1)</f>
        <v/>
      </c>
      <c r="O20" s="441" t="str">
        <f>+MID('Input data'!$F$3,52,1)</f>
        <v/>
      </c>
      <c r="P20" s="441" t="str">
        <f>+MID('Input data'!$F$3,53,1)</f>
        <v/>
      </c>
      <c r="Q20" s="441" t="str">
        <f>+MID('Input data'!$F$3,54,1)</f>
        <v/>
      </c>
      <c r="R20" s="441" t="str">
        <f>+MID('Input data'!$F$3,55,1)</f>
        <v/>
      </c>
      <c r="S20" s="441" t="str">
        <f>+MID('Input data'!$F$3,56,1)</f>
        <v/>
      </c>
      <c r="T20" s="441" t="str">
        <f>+MID('Input data'!$F$3,57,1)</f>
        <v/>
      </c>
      <c r="U20" s="441" t="str">
        <f>+MID('Input data'!$F$3,58,1)</f>
        <v/>
      </c>
      <c r="V20" s="441" t="str">
        <f>+MID('Input data'!$F$3,59,1)</f>
        <v/>
      </c>
      <c r="W20" s="441" t="str">
        <f>+MID('Input data'!$F$3,60,1)</f>
        <v/>
      </c>
      <c r="X20" s="441" t="str">
        <f>+MID('Input data'!$F$3,61,1)</f>
        <v/>
      </c>
      <c r="Y20" s="441" t="str">
        <f>+MID('Input data'!$F$3,62,1)</f>
        <v/>
      </c>
      <c r="Z20" s="441" t="str">
        <f>+MID('Input data'!$F$3,63,1)</f>
        <v/>
      </c>
      <c r="AA20" s="441" t="str">
        <f>+MID('Input data'!$F$3,64,1)</f>
        <v/>
      </c>
      <c r="AB20" s="441" t="str">
        <f>+MID('Input data'!$F$3,65,1)</f>
        <v/>
      </c>
      <c r="AC20" s="441" t="str">
        <f>+MID('Input data'!$F$3,66,1)</f>
        <v/>
      </c>
      <c r="AD20" s="441" t="str">
        <f>+MID('Input data'!$F$3,67,1)</f>
        <v/>
      </c>
      <c r="AE20" s="441" t="str">
        <f>+MID('Input data'!$F$3,68,1)</f>
        <v/>
      </c>
      <c r="AF20" s="441" t="str">
        <f>+MID('Input data'!$F$3,69,1)</f>
        <v/>
      </c>
      <c r="AG20" s="441" t="str">
        <f>+MID('Input data'!$F$3,70,1)</f>
        <v/>
      </c>
      <c r="AH20" s="441" t="str">
        <f>+MID('Input data'!$F$3,71,1)</f>
        <v/>
      </c>
      <c r="AI20" s="441" t="str">
        <f>+MID('Input data'!$F$3,72,1)</f>
        <v/>
      </c>
      <c r="AJ20" s="441" t="str">
        <f>+MID('Input data'!$F$3,73,1)</f>
        <v/>
      </c>
      <c r="AK20" s="448" t="str">
        <f>+MID('Input data'!$F$3,74,1)</f>
        <v/>
      </c>
    </row>
    <row r="21" spans="1:39" ht="12.75" customHeight="1">
      <c r="A21" s="461"/>
      <c r="B21" s="460"/>
      <c r="C21" s="460"/>
      <c r="D21" s="460"/>
      <c r="E21" s="460"/>
      <c r="F21" s="460"/>
      <c r="G21" s="460"/>
      <c r="H21" s="460"/>
      <c r="I21" s="460"/>
      <c r="J21" s="460"/>
      <c r="K21" s="460"/>
      <c r="L21" s="460"/>
      <c r="M21" s="460"/>
      <c r="N21" s="460"/>
      <c r="O21" s="460"/>
      <c r="P21" s="460"/>
      <c r="Q21" s="460"/>
      <c r="R21" s="460"/>
      <c r="S21" s="460"/>
      <c r="T21" s="460"/>
      <c r="U21" s="460"/>
      <c r="V21" s="460"/>
      <c r="W21" s="459"/>
      <c r="X21" s="459"/>
      <c r="Y21" s="459"/>
      <c r="Z21" s="459"/>
      <c r="AA21" s="459"/>
      <c r="AB21" s="459"/>
      <c r="AC21" s="459"/>
      <c r="AD21" s="459"/>
      <c r="AE21" s="459"/>
      <c r="AF21" s="459"/>
      <c r="AG21" s="459"/>
      <c r="AH21" s="459"/>
      <c r="AI21" s="459"/>
      <c r="AJ21" s="459"/>
      <c r="AK21" s="458"/>
    </row>
    <row r="22" spans="1:39" s="531" customFormat="1" ht="19.5" hidden="1" customHeight="1">
      <c r="A22" s="457"/>
      <c r="B22" s="456"/>
      <c r="C22" s="456"/>
      <c r="D22" s="456"/>
      <c r="E22" s="456"/>
      <c r="F22" s="456"/>
      <c r="G22" s="456" t="e">
        <f>+MID('Input data'!#REF!,7,1)</f>
        <v>#REF!</v>
      </c>
      <c r="H22" s="456" t="e">
        <f>+MID('Input data'!#REF!,8,1)</f>
        <v>#REF!</v>
      </c>
      <c r="I22" s="456" t="e">
        <f>+MID('Input data'!#REF!,9,1)</f>
        <v>#REF!</v>
      </c>
      <c r="J22" s="456" t="e">
        <f>+MID('Input data'!#REF!,10,1)</f>
        <v>#REF!</v>
      </c>
      <c r="K22" s="456" t="e">
        <f>+MID('Input data'!#REF!,11,1)</f>
        <v>#REF!</v>
      </c>
      <c r="L22" s="456" t="e">
        <f>+MID('Input data'!#REF!,12,1)</f>
        <v>#REF!</v>
      </c>
      <c r="M22" s="456" t="e">
        <f>+MID('Input data'!#REF!,13,1)</f>
        <v>#REF!</v>
      </c>
      <c r="N22" s="456" t="e">
        <f>+MID('Input data'!#REF!,14,1)</f>
        <v>#REF!</v>
      </c>
      <c r="O22" s="456" t="e">
        <f>+MID('Input data'!#REF!,15,1)</f>
        <v>#REF!</v>
      </c>
      <c r="P22" s="456" t="e">
        <f>+MID('Input data'!#REF!,16,1)</f>
        <v>#REF!</v>
      </c>
      <c r="Q22" s="456" t="e">
        <f>+MID('Input data'!#REF!,17,1)</f>
        <v>#REF!</v>
      </c>
      <c r="R22" s="456" t="e">
        <f>+MID('Input data'!#REF!,18,1)</f>
        <v>#REF!</v>
      </c>
      <c r="S22" s="456" t="e">
        <f>+MID('Input data'!#REF!,19,1)</f>
        <v>#REF!</v>
      </c>
      <c r="T22" s="456" t="e">
        <f>+MID('Input data'!#REF!,20,1)</f>
        <v>#REF!</v>
      </c>
      <c r="U22" s="456" t="e">
        <f>+MID('Input data'!#REF!,21,1)</f>
        <v>#REF!</v>
      </c>
      <c r="V22" s="456" t="e">
        <f>+MID('Input data'!#REF!,22,1)</f>
        <v>#REF!</v>
      </c>
      <c r="W22" s="456" t="e">
        <f>+MID('Input data'!#REF!,23,1)</f>
        <v>#REF!</v>
      </c>
      <c r="X22" s="456" t="e">
        <f>+MID('Input data'!#REF!,24,1)</f>
        <v>#REF!</v>
      </c>
      <c r="Y22" s="456" t="e">
        <f>+MID('Input data'!#REF!,25,1)</f>
        <v>#REF!</v>
      </c>
      <c r="Z22" s="456" t="e">
        <f>+MID('Input data'!#REF!,26,1)</f>
        <v>#REF!</v>
      </c>
      <c r="AA22" s="456" t="e">
        <f>+MID('Input data'!#REF!,27,1)</f>
        <v>#REF!</v>
      </c>
      <c r="AB22" s="456" t="e">
        <f>+MID('Input data'!#REF!,28,1)</f>
        <v>#REF!</v>
      </c>
      <c r="AC22" s="456" t="e">
        <f>+MID('Input data'!#REF!,29,1)</f>
        <v>#REF!</v>
      </c>
      <c r="AD22" s="456" t="e">
        <f>+MID('Input data'!#REF!,30,1)</f>
        <v>#REF!</v>
      </c>
      <c r="AE22" s="456" t="e">
        <f>+MID('Input data'!#REF!,31,1)</f>
        <v>#REF!</v>
      </c>
      <c r="AF22" s="456" t="e">
        <f>+MID('Input data'!#REF!,32,1)</f>
        <v>#REF!</v>
      </c>
      <c r="AG22" s="456" t="e">
        <f>+MID('Input data'!#REF!,33,1)</f>
        <v>#REF!</v>
      </c>
      <c r="AH22" s="456" t="e">
        <f>+MID('Input data'!#REF!,34,1)</f>
        <v>#REF!</v>
      </c>
      <c r="AI22" s="456" t="e">
        <f>+MID('Input data'!#REF!,35,1)</f>
        <v>#REF!</v>
      </c>
      <c r="AJ22" s="456" t="e">
        <f>+MID('Input data'!#REF!,36,1)</f>
        <v>#REF!</v>
      </c>
      <c r="AK22" s="455" t="e">
        <f>+MID('Input data'!#REF!,37,1)</f>
        <v>#REF!</v>
      </c>
      <c r="AL22" s="390"/>
      <c r="AM22" s="390"/>
    </row>
    <row r="23" spans="1:39" s="450" customFormat="1" ht="14.25" customHeight="1">
      <c r="A23" s="454" t="s">
        <v>1085</v>
      </c>
      <c r="B23" s="453"/>
      <c r="C23" s="453"/>
      <c r="D23" s="453"/>
      <c r="E23" s="453"/>
      <c r="F23" s="453"/>
      <c r="G23" s="453"/>
      <c r="H23" s="453"/>
      <c r="I23" s="453"/>
      <c r="J23" s="453"/>
      <c r="K23" s="453"/>
      <c r="L23" s="453"/>
      <c r="M23" s="453"/>
      <c r="N23" s="453"/>
      <c r="O23" s="453"/>
      <c r="P23" s="453"/>
      <c r="Q23" s="453"/>
      <c r="R23" s="453"/>
      <c r="S23" s="453"/>
      <c r="T23" s="453"/>
      <c r="U23" s="453"/>
      <c r="V23" s="453"/>
      <c r="W23" s="452"/>
      <c r="X23" s="452"/>
      <c r="Y23" s="452"/>
      <c r="Z23" s="452"/>
      <c r="AA23" s="452"/>
      <c r="AB23" s="452"/>
      <c r="AC23" s="452"/>
      <c r="AD23" s="452"/>
      <c r="AE23" s="452"/>
      <c r="AF23" s="452"/>
      <c r="AG23" s="452"/>
      <c r="AH23" s="452"/>
      <c r="AI23" s="452"/>
      <c r="AJ23" s="452"/>
      <c r="AK23" s="451"/>
    </row>
    <row r="24" spans="1:39">
      <c r="A24" s="446" t="s">
        <v>1086</v>
      </c>
      <c r="B24" s="404"/>
      <c r="C24" s="404"/>
      <c r="D24" s="404"/>
      <c r="E24" s="404"/>
      <c r="F24" s="404"/>
      <c r="G24" s="404"/>
      <c r="H24" s="404"/>
      <c r="I24" s="404"/>
      <c r="J24" s="404"/>
      <c r="K24" s="404"/>
      <c r="L24" s="404"/>
      <c r="M24" s="404"/>
      <c r="N24" s="404"/>
      <c r="O24" s="404"/>
      <c r="P24" s="404"/>
      <c r="Q24" s="404"/>
      <c r="R24" s="404"/>
      <c r="S24" s="404"/>
      <c r="T24" s="404"/>
      <c r="U24" s="404"/>
      <c r="V24" s="404"/>
      <c r="W24" s="399"/>
      <c r="X24" s="399"/>
      <c r="Y24" s="399"/>
      <c r="Z24" s="399"/>
      <c r="AA24" s="399"/>
      <c r="AB24" s="404"/>
      <c r="AC24" s="399"/>
      <c r="AD24" s="402" t="s">
        <v>1087</v>
      </c>
      <c r="AE24" s="399"/>
      <c r="AF24" s="399"/>
      <c r="AG24" s="399"/>
      <c r="AH24" s="399"/>
      <c r="AI24" s="399"/>
      <c r="AJ24" s="399"/>
      <c r="AK24" s="398"/>
    </row>
    <row r="25" spans="1:39" s="530" customFormat="1" ht="19.5" customHeight="1">
      <c r="A25" s="449" t="str">
        <f>+LEFT('Input data'!$C$28,1)</f>
        <v>O</v>
      </c>
      <c r="B25" s="441" t="str">
        <f>+MID('Input data'!$C$28,2,1)</f>
        <v>d</v>
      </c>
      <c r="C25" s="441" t="str">
        <f>+MID('Input data'!$C$28,3,1)</f>
        <v>b</v>
      </c>
      <c r="D25" s="441" t="str">
        <f>+MID('Input data'!$C$28,4,1)</f>
        <v>o</v>
      </c>
      <c r="E25" s="441" t="str">
        <f>+MID('Input data'!$C$28,5,1)</f>
        <v>r</v>
      </c>
      <c r="F25" s="441" t="str">
        <f>+MID('Input data'!$C$28,6,1)</f>
        <v>á</v>
      </c>
      <c r="G25" s="441" t="str">
        <f>+MID('Input data'!$C$28,7,1)</f>
        <v>r</v>
      </c>
      <c r="H25" s="441" t="str">
        <f>+MID('Input data'!$C$28,8,1)</f>
        <v>s</v>
      </c>
      <c r="I25" s="441" t="str">
        <f>+MID('Input data'!$C$28,9,1)</f>
        <v>k</v>
      </c>
      <c r="J25" s="441" t="str">
        <f>+MID('Input data'!$C$28,10,1)</f>
        <v>a</v>
      </c>
      <c r="K25" s="441" t="str">
        <f>+MID('Input data'!$C$28,11,1)</f>
        <v/>
      </c>
      <c r="L25" s="441" t="str">
        <f>+MID('Input data'!$C$28,12,1)</f>
        <v/>
      </c>
      <c r="M25" s="441" t="str">
        <f>+MID('Input data'!$C$28,13,1)</f>
        <v/>
      </c>
      <c r="N25" s="441" t="str">
        <f>+MID('Input data'!$C$28,14,1)</f>
        <v/>
      </c>
      <c r="O25" s="441" t="str">
        <f>+MID('Input data'!$C$28,15,1)</f>
        <v/>
      </c>
      <c r="P25" s="441" t="str">
        <f>+MID('Input data'!$C$28,16,1)</f>
        <v/>
      </c>
      <c r="Q25" s="441" t="str">
        <f>+MID('Input data'!$C$28,17,1)</f>
        <v/>
      </c>
      <c r="R25" s="441" t="str">
        <f>+MID('Input data'!$C$28,18,1)</f>
        <v/>
      </c>
      <c r="S25" s="441" t="str">
        <f>+MID('Input data'!$C$28,19,1)</f>
        <v/>
      </c>
      <c r="T25" s="441" t="str">
        <f>+MID('Input data'!$C$28,20,1)</f>
        <v/>
      </c>
      <c r="U25" s="441" t="str">
        <f>+MID('Input data'!$C$28,21,1)</f>
        <v/>
      </c>
      <c r="V25" s="441" t="str">
        <f>+MID('Input data'!$C$28,22,1)</f>
        <v/>
      </c>
      <c r="W25" s="441" t="str">
        <f>+MID('Input data'!$C$28,23,1)</f>
        <v/>
      </c>
      <c r="X25" s="441" t="str">
        <f>+MID('Input data'!$C$28,24,1)</f>
        <v/>
      </c>
      <c r="Y25" s="441" t="str">
        <f>+MID('Input data'!$C$28,25,1)</f>
        <v/>
      </c>
      <c r="Z25" s="441" t="str">
        <f>+MID('Input data'!$C$28,26,1)</f>
        <v/>
      </c>
      <c r="AA25" s="441" t="str">
        <f>+MID('Input data'!$C$28,27,1)</f>
        <v/>
      </c>
      <c r="AB25" s="441" t="str">
        <f>+MID('Input data'!$C$28,28,1)</f>
        <v/>
      </c>
      <c r="AC25" s="443"/>
      <c r="AD25" s="441" t="str">
        <f>+LEFT('Input data'!$C$30,1)</f>
        <v>5</v>
      </c>
      <c r="AE25" s="441" t="str">
        <f>+MID('Input data'!$C$30,2,1)</f>
        <v>2</v>
      </c>
      <c r="AF25" s="441" t="str">
        <f>+MID('Input data'!$C$30,3,1)</f>
        <v/>
      </c>
      <c r="AG25" s="441" t="str">
        <f>+MID('Input data'!$C$30,4,1)</f>
        <v/>
      </c>
      <c r="AH25" s="441" t="str">
        <f>+MID('Input data'!$C$30,5,1)</f>
        <v/>
      </c>
      <c r="AI25" s="441" t="str">
        <f>+MID('Input data'!$C$30,6,1)</f>
        <v/>
      </c>
      <c r="AJ25" s="441" t="str">
        <f>+MID('Input data'!$C$30,7,1)</f>
        <v/>
      </c>
      <c r="AK25" s="448" t="str">
        <f>+MID('Input data'!$C$30,8,1)</f>
        <v/>
      </c>
    </row>
    <row r="26" spans="1:39">
      <c r="A26" s="446" t="s">
        <v>1088</v>
      </c>
      <c r="B26" s="404"/>
      <c r="C26" s="404"/>
      <c r="D26" s="404"/>
      <c r="E26" s="404"/>
      <c r="F26" s="404"/>
      <c r="G26" s="445" t="s">
        <v>1089</v>
      </c>
      <c r="H26" s="445"/>
      <c r="I26" s="445"/>
      <c r="J26" s="445"/>
      <c r="K26" s="445"/>
      <c r="L26" s="445"/>
      <c r="M26" s="445"/>
      <c r="N26" s="445"/>
      <c r="O26" s="445"/>
      <c r="P26" s="445"/>
      <c r="Q26" s="445"/>
      <c r="R26" s="445"/>
      <c r="S26" s="445"/>
      <c r="T26" s="445"/>
      <c r="U26" s="445"/>
      <c r="V26" s="445"/>
      <c r="W26" s="445"/>
      <c r="X26" s="445"/>
      <c r="Y26" s="445"/>
      <c r="Z26" s="445"/>
      <c r="AA26" s="445"/>
      <c r="AB26" s="445"/>
      <c r="AC26" s="445"/>
      <c r="AD26" s="445"/>
      <c r="AE26" s="399"/>
      <c r="AF26" s="399"/>
      <c r="AG26" s="399"/>
      <c r="AH26" s="399"/>
      <c r="AI26" s="399"/>
      <c r="AJ26" s="399"/>
      <c r="AK26" s="398"/>
    </row>
    <row r="27" spans="1:39" s="530" customFormat="1" ht="19.5" customHeight="1">
      <c r="A27" s="449" t="str">
        <f>+LEFT('Input data'!$C$32,1)</f>
        <v>8</v>
      </c>
      <c r="B27" s="441" t="str">
        <f>+MID('Input data'!$C$32,2,1)</f>
        <v>3</v>
      </c>
      <c r="C27" s="441" t="str">
        <f>+MID('Input data'!$C$32,3,1)</f>
        <v>1</v>
      </c>
      <c r="D27" s="441" t="str">
        <f>+MID('Input data'!$C$32,4,1)</f>
        <v xml:space="preserve"> </v>
      </c>
      <c r="E27" s="441" t="str">
        <f>+MID('Input data'!$C$32,5,1)</f>
        <v>0</v>
      </c>
      <c r="F27" s="441"/>
      <c r="G27" s="441" t="str">
        <f>+LEFT('Input data'!$C$34,1)</f>
        <v>B</v>
      </c>
      <c r="H27" s="441" t="str">
        <f>+MID('Input data'!$C$34,2,1)</f>
        <v>r</v>
      </c>
      <c r="I27" s="441" t="str">
        <f>+MID('Input data'!$C$34,3,1)</f>
        <v>a</v>
      </c>
      <c r="J27" s="441" t="str">
        <f>+MID('Input data'!$C$34,4,1)</f>
        <v>t</v>
      </c>
      <c r="K27" s="441" t="str">
        <f>+MID('Input data'!$C$34,5,1)</f>
        <v>i</v>
      </c>
      <c r="L27" s="441" t="str">
        <f>+MID('Input data'!$C$34,6,1)</f>
        <v>s</v>
      </c>
      <c r="M27" s="441" t="str">
        <f>+MID('Input data'!$C$34,7,1)</f>
        <v>l</v>
      </c>
      <c r="N27" s="441" t="str">
        <f>+MID('Input data'!$C$34,8,1)</f>
        <v>a</v>
      </c>
      <c r="O27" s="441" t="str">
        <f>+MID('Input data'!$C$34,9,1)</f>
        <v>v</v>
      </c>
      <c r="P27" s="441" t="str">
        <f>+MID('Input data'!$C$34,10,1)</f>
        <v>a</v>
      </c>
      <c r="Q27" s="441" t="str">
        <f>+MID('Input data'!$C$34,11,1)</f>
        <v xml:space="preserve"> </v>
      </c>
      <c r="R27" s="441" t="str">
        <f>+MID('Input data'!$C$34,12,1)</f>
        <v/>
      </c>
      <c r="S27" s="441" t="str">
        <f>+MID('Input data'!$C$34,13,1)</f>
        <v/>
      </c>
      <c r="T27" s="441" t="str">
        <f>+MID('Input data'!$C$34,14,1)</f>
        <v/>
      </c>
      <c r="U27" s="441" t="str">
        <f>+MID('Input data'!$C$34,15,1)</f>
        <v/>
      </c>
      <c r="V27" s="441" t="str">
        <f>+MID('Input data'!$C$34,16,1)</f>
        <v/>
      </c>
      <c r="W27" s="441" t="str">
        <f>+MID('Input data'!$C$34,17,1)</f>
        <v/>
      </c>
      <c r="X27" s="441" t="str">
        <f>+MID('Input data'!$C$34,18,1)</f>
        <v/>
      </c>
      <c r="Y27" s="441" t="str">
        <f>+MID('Input data'!$C$34,19,1)</f>
        <v/>
      </c>
      <c r="Z27" s="441" t="str">
        <f>+MID('Input data'!$C$34,20,1)</f>
        <v/>
      </c>
      <c r="AA27" s="441" t="str">
        <f>+MID('Input data'!$C$34,21,1)</f>
        <v/>
      </c>
      <c r="AB27" s="441" t="str">
        <f>+MID('Input data'!$C$34,22,1)</f>
        <v/>
      </c>
      <c r="AC27" s="441" t="str">
        <f>+MID('Input data'!$C$34,23,1)</f>
        <v/>
      </c>
      <c r="AD27" s="441" t="str">
        <f>+MID('Input data'!$C$34,24,1)</f>
        <v/>
      </c>
      <c r="AE27" s="441" t="str">
        <f>+MID('Input data'!$C$34,25,1)</f>
        <v/>
      </c>
      <c r="AF27" s="441" t="str">
        <f>+MID('Input data'!$C$34,26,1)</f>
        <v/>
      </c>
      <c r="AG27" s="441" t="str">
        <f>+MID('Input data'!$C$34,27,1)</f>
        <v/>
      </c>
      <c r="AH27" s="441" t="str">
        <f>+MID('Input data'!$C$34,28,1)</f>
        <v/>
      </c>
      <c r="AI27" s="441" t="str">
        <f>+MID('Input data'!$C$34,29,1)</f>
        <v/>
      </c>
      <c r="AJ27" s="441" t="str">
        <f>+MID('Input data'!$C$34,30,1)</f>
        <v/>
      </c>
      <c r="AK27" s="448" t="str">
        <f>+MID('Input data'!$C$34,31,1)</f>
        <v/>
      </c>
    </row>
    <row r="28" spans="1:39">
      <c r="A28" s="446" t="s">
        <v>1090</v>
      </c>
      <c r="B28" s="404"/>
      <c r="C28" s="404"/>
      <c r="D28" s="404"/>
      <c r="E28" s="404"/>
      <c r="F28" s="404"/>
      <c r="G28" s="445"/>
      <c r="H28" s="445"/>
      <c r="I28" s="445"/>
      <c r="J28" s="445"/>
      <c r="K28" s="445"/>
      <c r="L28" s="445"/>
      <c r="M28" s="445"/>
      <c r="N28" s="404"/>
      <c r="O28" s="445" t="s">
        <v>1091</v>
      </c>
      <c r="P28" s="445"/>
      <c r="Q28" s="445"/>
      <c r="R28" s="445"/>
      <c r="S28" s="445"/>
      <c r="T28" s="445"/>
      <c r="U28" s="445"/>
      <c r="V28" s="445"/>
      <c r="W28" s="445"/>
      <c r="X28" s="445"/>
      <c r="Y28" s="445"/>
      <c r="Z28" s="445"/>
      <c r="AA28" s="445"/>
      <c r="AB28" s="445"/>
      <c r="AC28" s="445"/>
      <c r="AD28" s="445"/>
      <c r="AE28" s="399"/>
      <c r="AF28" s="399"/>
      <c r="AG28" s="399"/>
      <c r="AH28" s="399"/>
      <c r="AI28" s="399"/>
      <c r="AJ28" s="399"/>
      <c r="AK28" s="398"/>
    </row>
    <row r="29" spans="1:39" s="530" customFormat="1" ht="19.5" customHeight="1">
      <c r="A29" s="444">
        <v>0</v>
      </c>
      <c r="B29" s="441" t="str">
        <f>+LEFT('Input data'!$C$36,1)</f>
        <v>2</v>
      </c>
      <c r="C29" s="441" t="str">
        <f>+MID('Input data'!$C$36,2,1)</f>
        <v/>
      </c>
      <c r="D29" s="441" t="str">
        <f>+MID('Input data'!$C$36,3,1)</f>
        <v/>
      </c>
      <c r="E29" s="441" t="s">
        <v>1092</v>
      </c>
      <c r="F29" s="441" t="str">
        <f>+LEFT('Input data'!$C$38,1)</f>
        <v>4</v>
      </c>
      <c r="G29" s="441" t="str">
        <f>+MID('Input data'!$C$38,2,1)</f>
        <v>8</v>
      </c>
      <c r="H29" s="441" t="str">
        <f>+MID('Input data'!$C$38,3,1)</f>
        <v>2</v>
      </c>
      <c r="I29" s="441" t="str">
        <f>+MID('Input data'!$C$38,4,1)</f>
        <v>0</v>
      </c>
      <c r="J29" s="441" t="str">
        <f>+MID('Input data'!$C$38,5,1)</f>
        <v>5</v>
      </c>
      <c r="K29" s="441" t="str">
        <f>+MID('Input data'!$C$38,6,1)</f>
        <v>2</v>
      </c>
      <c r="L29" s="441" t="str">
        <f>+MID('Input data'!$C$38,7,1)</f>
        <v>1</v>
      </c>
      <c r="M29" s="441" t="str">
        <f>+MID('Input data'!$C$38,8,1)</f>
        <v>0</v>
      </c>
      <c r="N29" s="443"/>
      <c r="O29" s="442">
        <v>0</v>
      </c>
      <c r="P29" s="441" t="str">
        <f>+LEFT('Input data'!$C$36,1)</f>
        <v>2</v>
      </c>
      <c r="Q29" s="441" t="str">
        <f>+MID('Input data'!$C$36,2,1)</f>
        <v/>
      </c>
      <c r="R29" s="441" t="str">
        <f>+MID('Input data'!$C$36,3,1)</f>
        <v/>
      </c>
      <c r="S29" s="441" t="s">
        <v>1092</v>
      </c>
      <c r="T29" s="441" t="str">
        <f>+LEFT('Input data'!$C$40,1)</f>
        <v>4</v>
      </c>
      <c r="U29" s="441" t="str">
        <f>+MID('Input data'!$C$40,2,1)</f>
        <v>8</v>
      </c>
      <c r="V29" s="441" t="str">
        <f>+MID('Input data'!$C$40,3,1)</f>
        <v>2</v>
      </c>
      <c r="W29" s="441" t="str">
        <f>+MID('Input data'!$C$40,4,1)</f>
        <v>0</v>
      </c>
      <c r="X29" s="441" t="str">
        <f>+MID('Input data'!$C$40,5,1)</f>
        <v>5</v>
      </c>
      <c r="Y29" s="441" t="str">
        <f>+MID('Input data'!$C$40,6,1)</f>
        <v>2</v>
      </c>
      <c r="Z29" s="441" t="str">
        <f>+MID('Input data'!$C$40,7,1)</f>
        <v>3</v>
      </c>
      <c r="AA29" s="441" t="str">
        <f>+MID('Input data'!$C$40,8,1)</f>
        <v>1</v>
      </c>
      <c r="AB29" s="441"/>
      <c r="AC29" s="441"/>
      <c r="AD29" s="441"/>
      <c r="AE29" s="399"/>
      <c r="AF29" s="399"/>
      <c r="AG29" s="399"/>
      <c r="AH29" s="399"/>
      <c r="AI29" s="399"/>
      <c r="AJ29" s="399"/>
      <c r="AK29" s="398"/>
    </row>
    <row r="30" spans="1:39" s="391" customFormat="1">
      <c r="A30" s="403" t="s">
        <v>1094</v>
      </c>
      <c r="B30" s="402"/>
      <c r="C30" s="402"/>
      <c r="D30" s="402"/>
      <c r="E30" s="402"/>
      <c r="F30" s="402"/>
      <c r="G30" s="402"/>
      <c r="H30" s="402"/>
      <c r="I30" s="402"/>
      <c r="J30" s="402"/>
      <c r="K30" s="402"/>
      <c r="L30" s="402"/>
      <c r="M30" s="402"/>
      <c r="N30" s="402"/>
      <c r="O30" s="402"/>
      <c r="P30" s="402"/>
      <c r="Q30" s="402"/>
      <c r="R30" s="402"/>
      <c r="S30" s="402"/>
      <c r="T30" s="402"/>
      <c r="U30" s="402"/>
      <c r="V30" s="402"/>
      <c r="W30" s="399"/>
      <c r="X30" s="399"/>
      <c r="Y30" s="399"/>
      <c r="Z30" s="399"/>
      <c r="AA30" s="399"/>
      <c r="AB30" s="399"/>
      <c r="AC30" s="399"/>
      <c r="AD30" s="399"/>
      <c r="AE30" s="399"/>
      <c r="AF30" s="399"/>
      <c r="AG30" s="399"/>
      <c r="AH30" s="399"/>
      <c r="AI30" s="399"/>
      <c r="AJ30" s="399"/>
      <c r="AK30" s="398"/>
    </row>
    <row r="31" spans="1:39" s="530" customFormat="1" ht="19.5" customHeight="1" thickBot="1">
      <c r="A31" s="440" t="str">
        <f>+LEFT('Input data'!$B$42,1)</f>
        <v>a</v>
      </c>
      <c r="B31" s="439" t="str">
        <f>+MID('Input data'!$B$42,2,1)</f>
        <v>c</v>
      </c>
      <c r="C31" s="439" t="str">
        <f>+MID('Input data'!$B$42,3,1)</f>
        <v>c</v>
      </c>
      <c r="D31" s="439" t="str">
        <f>+MID('Input data'!$B$42,4,1)</f>
        <v>o</v>
      </c>
      <c r="E31" s="439" t="str">
        <f>+MID('Input data'!$B$42,5,1)</f>
        <v>u</v>
      </c>
      <c r="F31" s="439" t="str">
        <f>+MID('Input data'!$B$42,6,1)</f>
        <v>n</v>
      </c>
      <c r="G31" s="439" t="str">
        <f>+MID('Input data'!$B$42,7,1)</f>
        <v>t</v>
      </c>
      <c r="H31" s="439" t="str">
        <f>+MID('Input data'!$B$42,8,1)</f>
        <v>i</v>
      </c>
      <c r="I31" s="439" t="str">
        <f>+MID('Input data'!$B$42,9,1)</f>
        <v>n</v>
      </c>
      <c r="J31" s="439" t="str">
        <f>+MID('Input data'!$B$42,10,1)</f>
        <v>g</v>
      </c>
      <c r="K31" s="439" t="str">
        <f>+MID('Input data'!$B$42,11,1)</f>
        <v>@</v>
      </c>
      <c r="L31" s="439" t="str">
        <f>+MID('Input data'!$B$42,12,1)</f>
        <v>o</v>
      </c>
      <c r="M31" s="439" t="str">
        <f>+MID('Input data'!$B$42,13,1)</f>
        <v>p</v>
      </c>
      <c r="N31" s="439" t="str">
        <f>+MID('Input data'!$B$42,14,1)</f>
        <v>t</v>
      </c>
      <c r="O31" s="439" t="str">
        <f>+MID('Input data'!$B$42,15,1)</f>
        <v>o</v>
      </c>
      <c r="P31" s="439" t="str">
        <f>+MID('Input data'!$B$42,16,1)</f>
        <v>c</v>
      </c>
      <c r="Q31" s="439" t="str">
        <f>+MID('Input data'!$B$42,17,1)</f>
        <v>o</v>
      </c>
      <c r="R31" s="439" t="str">
        <f>+MID('Input data'!$B$42,18,1)</f>
        <v>n</v>
      </c>
      <c r="S31" s="439" t="str">
        <f>+MID('Input data'!$B$42,19,1)</f>
        <v>.</v>
      </c>
      <c r="T31" s="439" t="str">
        <f>+MID('Input data'!$B$42,20,1)</f>
        <v>s</v>
      </c>
      <c r="U31" s="439" t="str">
        <f>+MID('Input data'!$B$42,21,1)</f>
        <v>k</v>
      </c>
      <c r="V31" s="439" t="str">
        <f>+MID('Input data'!$B$42,22,1)</f>
        <v/>
      </c>
      <c r="W31" s="439" t="str">
        <f>+MID('Input data'!$B$42,23,1)</f>
        <v/>
      </c>
      <c r="X31" s="439" t="str">
        <f>+MID('Input data'!$B$42,24,1)</f>
        <v/>
      </c>
      <c r="Y31" s="439" t="str">
        <f>+MID('Input data'!$B$42,25,1)</f>
        <v/>
      </c>
      <c r="Z31" s="439" t="str">
        <f>+MID('Input data'!$B$42,26,1)</f>
        <v/>
      </c>
      <c r="AA31" s="439" t="str">
        <f>+MID('Input data'!$B$42,27,1)</f>
        <v/>
      </c>
      <c r="AB31" s="439" t="str">
        <f>+MID('Input data'!$B$42,28,1)</f>
        <v/>
      </c>
      <c r="AC31" s="439" t="str">
        <f>+MID('Input data'!$B$42,29,1)</f>
        <v/>
      </c>
      <c r="AD31" s="439" t="str">
        <f>+MID('Input data'!$B$42,30,1)</f>
        <v/>
      </c>
      <c r="AE31" s="439" t="str">
        <f>+MID('Input data'!$B$42,31,1)</f>
        <v/>
      </c>
      <c r="AF31" s="439" t="str">
        <f>+MID('Input data'!$B$42,32,1)</f>
        <v/>
      </c>
      <c r="AG31" s="439" t="str">
        <f>+MID('Input data'!$B$42,33,1)</f>
        <v/>
      </c>
      <c r="AH31" s="439" t="str">
        <f>+MID('Input data'!$B$42,34,1)</f>
        <v/>
      </c>
      <c r="AI31" s="439" t="str">
        <f>+MID('Input data'!$B$42,35,1)</f>
        <v/>
      </c>
      <c r="AJ31" s="439" t="str">
        <f>+MID('Input data'!$B$42,36,1)</f>
        <v/>
      </c>
      <c r="AK31" s="438" t="str">
        <f>+MID('Input data'!$B$42,37,1)</f>
        <v/>
      </c>
    </row>
    <row r="32" spans="1:39" s="391" customFormat="1" ht="4.5" customHeight="1" thickBot="1">
      <c r="W32" s="392"/>
      <c r="X32" s="392"/>
      <c r="Y32" s="392"/>
      <c r="Z32" s="392"/>
      <c r="AA32" s="392"/>
      <c r="AB32" s="392"/>
      <c r="AC32" s="392"/>
      <c r="AD32" s="392"/>
      <c r="AE32" s="392"/>
      <c r="AF32" s="392"/>
      <c r="AG32" s="392"/>
      <c r="AH32" s="392"/>
      <c r="AI32" s="392"/>
      <c r="AJ32" s="392"/>
      <c r="AK32" s="392"/>
    </row>
    <row r="33" spans="1:41" s="434" customFormat="1" ht="12.75" customHeight="1">
      <c r="A33" s="437" t="s">
        <v>1095</v>
      </c>
      <c r="B33" s="436"/>
      <c r="C33" s="436"/>
      <c r="D33" s="436"/>
      <c r="E33" s="436"/>
      <c r="F33" s="436"/>
      <c r="G33" s="436"/>
      <c r="H33" s="436"/>
      <c r="I33" s="436"/>
      <c r="J33" s="436"/>
      <c r="K33" s="435"/>
      <c r="L33" s="2396" t="s">
        <v>1098</v>
      </c>
      <c r="M33" s="2397"/>
      <c r="N33" s="2397"/>
      <c r="O33" s="2397"/>
      <c r="P33" s="2397"/>
      <c r="Q33" s="2397"/>
      <c r="R33" s="2397"/>
      <c r="S33" s="2397"/>
      <c r="T33" s="2398"/>
      <c r="U33" s="1610" t="s">
        <v>1097</v>
      </c>
      <c r="V33" s="1610"/>
      <c r="W33" s="1610"/>
      <c r="X33" s="1610"/>
      <c r="Y33" s="1610"/>
      <c r="Z33" s="1610"/>
      <c r="AA33" s="1610"/>
      <c r="AB33" s="2298"/>
      <c r="AC33" s="2396" t="s">
        <v>1096</v>
      </c>
      <c r="AD33" s="2397"/>
      <c r="AE33" s="2397"/>
      <c r="AF33" s="2397"/>
      <c r="AG33" s="2397"/>
      <c r="AH33" s="2397"/>
      <c r="AI33" s="2397"/>
      <c r="AJ33" s="2397"/>
      <c r="AK33" s="2402"/>
    </row>
    <row r="34" spans="1:41" s="391" customFormat="1" ht="19.5" customHeight="1">
      <c r="A34" s="420" t="str">
        <f>LEFT(TEXT('Input data'!F34,"dd.m.yyyy"),1)</f>
        <v>1</v>
      </c>
      <c r="B34" s="419" t="str">
        <f>MID(TEXT('Input data'!$F$34,"dd.mm.yyyy"),2,1)</f>
        <v>5</v>
      </c>
      <c r="C34" s="418" t="s">
        <v>1063</v>
      </c>
      <c r="D34" s="419" t="str">
        <f>MID(TEXT('Input data'!$F$34,"dd.mm.yyyy"),4,1)</f>
        <v>0</v>
      </c>
      <c r="E34" s="419" t="str">
        <f>MID(TEXT('Input data'!$F$34,"dd.mm.yyyy"),5,1)</f>
        <v>5</v>
      </c>
      <c r="F34" s="418" t="s">
        <v>1063</v>
      </c>
      <c r="G34" s="417" t="str">
        <f>MID(TEXT('Input data'!$F$34,"dd.mm.yyyy"),7,1)</f>
        <v>2</v>
      </c>
      <c r="H34" s="417" t="str">
        <f>MID(TEXT('Input data'!$F$34,"dd.mm.yyyy"),8,1)</f>
        <v>0</v>
      </c>
      <c r="I34" s="417" t="str">
        <f>MID(TEXT('Input data'!$F$34,"dd.mm.yyyy"),9,1)</f>
        <v>1</v>
      </c>
      <c r="J34" s="417" t="str">
        <f>MID(TEXT('Input data'!$F$34,"dd.mm.yyyy"),10,1)</f>
        <v>8</v>
      </c>
      <c r="K34" s="433"/>
      <c r="L34" s="2399"/>
      <c r="M34" s="2400"/>
      <c r="N34" s="2400"/>
      <c r="O34" s="2400"/>
      <c r="P34" s="2400"/>
      <c r="Q34" s="2400"/>
      <c r="R34" s="2400"/>
      <c r="S34" s="2400"/>
      <c r="T34" s="2401"/>
      <c r="U34" s="1612"/>
      <c r="V34" s="1612"/>
      <c r="W34" s="1612"/>
      <c r="X34" s="1612"/>
      <c r="Y34" s="1612"/>
      <c r="Z34" s="1612"/>
      <c r="AA34" s="1612"/>
      <c r="AB34" s="2300"/>
      <c r="AC34" s="2399"/>
      <c r="AD34" s="2400"/>
      <c r="AE34" s="2400"/>
      <c r="AF34" s="2400"/>
      <c r="AG34" s="2400"/>
      <c r="AH34" s="2400"/>
      <c r="AI34" s="2400"/>
      <c r="AJ34" s="2400"/>
      <c r="AK34" s="2403"/>
      <c r="AO34" s="529"/>
    </row>
    <row r="35" spans="1:41" s="391" customFormat="1" ht="13.5" customHeight="1">
      <c r="A35" s="432"/>
      <c r="B35" s="431"/>
      <c r="C35" s="431"/>
      <c r="D35" s="431"/>
      <c r="E35" s="431"/>
      <c r="F35" s="431"/>
      <c r="G35" s="430"/>
      <c r="H35" s="430"/>
      <c r="I35" s="430"/>
      <c r="J35" s="430"/>
      <c r="K35" s="429"/>
      <c r="L35" s="2399"/>
      <c r="M35" s="2400"/>
      <c r="N35" s="2400"/>
      <c r="O35" s="2400"/>
      <c r="P35" s="2400"/>
      <c r="Q35" s="2400"/>
      <c r="R35" s="2400"/>
      <c r="S35" s="2400"/>
      <c r="T35" s="2401"/>
      <c r="U35" s="1612"/>
      <c r="V35" s="1612"/>
      <c r="W35" s="1612"/>
      <c r="X35" s="1612"/>
      <c r="Y35" s="1612"/>
      <c r="Z35" s="1612"/>
      <c r="AA35" s="1612"/>
      <c r="AB35" s="2300"/>
      <c r="AC35" s="2399"/>
      <c r="AD35" s="2400"/>
      <c r="AE35" s="2400"/>
      <c r="AF35" s="2400"/>
      <c r="AG35" s="2400"/>
      <c r="AH35" s="2400"/>
      <c r="AI35" s="2400"/>
      <c r="AJ35" s="2400"/>
      <c r="AK35" s="2403"/>
    </row>
    <row r="36" spans="1:41" s="391" customFormat="1">
      <c r="A36" s="403" t="s">
        <v>1099</v>
      </c>
      <c r="B36" s="402"/>
      <c r="C36" s="402"/>
      <c r="D36" s="402"/>
      <c r="E36" s="402"/>
      <c r="F36" s="402"/>
      <c r="G36" s="428"/>
      <c r="H36" s="428"/>
      <c r="I36" s="428"/>
      <c r="J36" s="428"/>
      <c r="K36" s="427"/>
      <c r="L36" s="426"/>
      <c r="M36" s="426"/>
      <c r="N36" s="426"/>
      <c r="O36" s="426"/>
      <c r="P36" s="426"/>
      <c r="Q36" s="426"/>
      <c r="R36" s="426"/>
      <c r="S36" s="402"/>
      <c r="T36" s="424"/>
      <c r="U36" s="425"/>
      <c r="V36" s="425"/>
      <c r="W36" s="425"/>
      <c r="X36" s="425"/>
      <c r="Y36" s="425"/>
      <c r="Z36" s="399"/>
      <c r="AA36" s="425"/>
      <c r="AB36" s="424"/>
      <c r="AC36" s="423"/>
      <c r="AD36" s="422"/>
      <c r="AE36" s="422"/>
      <c r="AF36" s="422"/>
      <c r="AG36" s="422"/>
      <c r="AH36" s="422"/>
      <c r="AI36" s="422"/>
      <c r="AJ36" s="422"/>
      <c r="AK36" s="421"/>
    </row>
    <row r="37" spans="1:41" s="391" customFormat="1" ht="19.5" customHeight="1">
      <c r="A37" s="420" t="str">
        <f>IF('Input data'!$F$36="","",LEFT(TEXT('Input data'!$F$36,"dd.mm.yyyy"),1))</f>
        <v/>
      </c>
      <c r="B37" s="419" t="str">
        <f>IF('Input data'!$F$36="","",MID(TEXT('Input data'!$F$36,"dd.mm.yyyy"),2,1))</f>
        <v/>
      </c>
      <c r="C37" s="418" t="s">
        <v>1063</v>
      </c>
      <c r="D37" s="419" t="str">
        <f>IF('Input data'!$F$36="","",MID(TEXT('Input data'!$F$36,"dd.mm.yyyy"),4,1))</f>
        <v/>
      </c>
      <c r="E37" s="419" t="str">
        <f>IF('Input data'!$F$36="","",MID(TEXT('Input data'!$F$36,"dd.mm.yyyy"),5,1))</f>
        <v/>
      </c>
      <c r="F37" s="418" t="s">
        <v>1063</v>
      </c>
      <c r="G37" s="417" t="str">
        <f>IF('Input data'!$F$36="","",MID(TEXT('Input data'!$F$36,"dd.mm.yyyy"),7,1))</f>
        <v/>
      </c>
      <c r="H37" s="417" t="str">
        <f>IF('Input data'!$F$36="","",MID(TEXT('Input data'!$F$36,"dd.mm.yyyy"),8,1))</f>
        <v/>
      </c>
      <c r="I37" s="417" t="str">
        <f>IF('Input data'!$F$36="","",MID(TEXT('Input data'!$F$36,"dd.mm.yyyy"),9,1))</f>
        <v/>
      </c>
      <c r="J37" s="417" t="str">
        <f>IF('Input data'!$F$36="","",MID(TEXT('Input data'!$F$36,"dd.mm.yyyy"),10,1))</f>
        <v/>
      </c>
      <c r="K37" s="416"/>
      <c r="L37" s="402"/>
      <c r="M37" s="402"/>
      <c r="N37" s="402"/>
      <c r="O37" s="402"/>
      <c r="P37" s="402"/>
      <c r="Q37" s="402"/>
      <c r="R37" s="402"/>
      <c r="S37" s="402"/>
      <c r="T37" s="528"/>
      <c r="U37" s="402"/>
      <c r="V37" s="399"/>
      <c r="W37" s="399"/>
      <c r="X37" s="399"/>
      <c r="Y37" s="399"/>
      <c r="Z37" s="399"/>
      <c r="AA37" s="399"/>
      <c r="AB37" s="527"/>
      <c r="AC37" s="399"/>
      <c r="AD37" s="399"/>
      <c r="AE37" s="399"/>
      <c r="AF37" s="399"/>
      <c r="AG37" s="399"/>
      <c r="AH37" s="399"/>
      <c r="AI37" s="399"/>
      <c r="AJ37" s="399"/>
      <c r="AK37" s="398"/>
    </row>
    <row r="38" spans="1:41" s="397" customFormat="1" thickBot="1">
      <c r="A38" s="412"/>
      <c r="B38" s="411"/>
      <c r="C38" s="411"/>
      <c r="D38" s="411"/>
      <c r="E38" s="411"/>
      <c r="F38" s="411"/>
      <c r="G38" s="411"/>
      <c r="H38" s="411"/>
      <c r="I38" s="411"/>
      <c r="J38" s="411"/>
      <c r="K38" s="410"/>
      <c r="L38" s="2301">
        <f>'Input data'!F40</f>
        <v>0</v>
      </c>
      <c r="M38" s="2302"/>
      <c r="N38" s="2302"/>
      <c r="O38" s="2302"/>
      <c r="P38" s="2302"/>
      <c r="Q38" s="2302"/>
      <c r="R38" s="2302"/>
      <c r="S38" s="2302"/>
      <c r="T38" s="2303"/>
      <c r="U38" s="2301" t="e">
        <f>'Input data'!#REF!</f>
        <v>#REF!</v>
      </c>
      <c r="V38" s="2302"/>
      <c r="W38" s="2302"/>
      <c r="X38" s="2302"/>
      <c r="Y38" s="2302"/>
      <c r="Z38" s="2302"/>
      <c r="AA38" s="2302"/>
      <c r="AB38" s="2303"/>
      <c r="AC38" s="2304" t="e">
        <f>'Input data'!#REF!</f>
        <v>#REF!</v>
      </c>
      <c r="AD38" s="2302"/>
      <c r="AE38" s="2302"/>
      <c r="AF38" s="2302"/>
      <c r="AG38" s="2302"/>
      <c r="AH38" s="2302"/>
      <c r="AI38" s="2302"/>
      <c r="AJ38" s="2302"/>
      <c r="AK38" s="2305"/>
    </row>
    <row r="39" spans="1:41" s="397" customFormat="1">
      <c r="W39" s="392"/>
      <c r="X39" s="392"/>
      <c r="Y39" s="392"/>
      <c r="Z39" s="392"/>
      <c r="AA39" s="392"/>
      <c r="AB39" s="392"/>
      <c r="AC39" s="392"/>
      <c r="AD39" s="392"/>
      <c r="AE39" s="392"/>
      <c r="AF39" s="392"/>
      <c r="AG39" s="392"/>
      <c r="AH39" s="392"/>
      <c r="AI39" s="392"/>
      <c r="AJ39" s="392"/>
      <c r="AK39" s="392"/>
    </row>
    <row r="40" spans="1:41" s="397" customFormat="1">
      <c r="W40" s="392"/>
      <c r="X40" s="392"/>
      <c r="Y40" s="392"/>
      <c r="Z40" s="392"/>
      <c r="AA40" s="392"/>
      <c r="AB40" s="392"/>
      <c r="AC40" s="392"/>
      <c r="AD40" s="392"/>
      <c r="AE40" s="392"/>
      <c r="AF40" s="392"/>
      <c r="AG40" s="392"/>
      <c r="AH40" s="392"/>
      <c r="AI40" s="392"/>
      <c r="AJ40" s="392"/>
      <c r="AK40" s="392"/>
    </row>
    <row r="41" spans="1:41" s="397" customFormat="1">
      <c r="W41" s="392"/>
      <c r="X41" s="392"/>
      <c r="Y41" s="392"/>
      <c r="Z41" s="392"/>
      <c r="AA41" s="392"/>
      <c r="AB41" s="392"/>
      <c r="AC41" s="392"/>
      <c r="AD41" s="392"/>
      <c r="AE41" s="392"/>
      <c r="AF41" s="392"/>
      <c r="AG41" s="392"/>
      <c r="AH41" s="392"/>
      <c r="AI41" s="392"/>
      <c r="AJ41" s="392"/>
      <c r="AK41" s="392"/>
    </row>
    <row r="42" spans="1:41" ht="13.5" thickBot="1">
      <c r="W42" s="392"/>
      <c r="X42" s="392"/>
      <c r="Y42" s="392"/>
      <c r="Z42" s="392"/>
      <c r="AA42" s="392"/>
      <c r="AB42" s="392"/>
      <c r="AC42" s="392"/>
      <c r="AD42" s="392"/>
      <c r="AE42" s="392"/>
      <c r="AF42" s="392"/>
      <c r="AG42" s="392"/>
      <c r="AH42" s="392"/>
      <c r="AI42" s="392"/>
      <c r="AJ42" s="392"/>
      <c r="AK42" s="392"/>
    </row>
    <row r="43" spans="1:41" s="397" customFormat="1">
      <c r="B43" s="409" t="s">
        <v>1100</v>
      </c>
      <c r="C43" s="408"/>
      <c r="D43" s="408"/>
      <c r="E43" s="408"/>
      <c r="F43" s="408"/>
      <c r="G43" s="408"/>
      <c r="H43" s="408"/>
      <c r="I43" s="408"/>
      <c r="J43" s="408"/>
      <c r="K43" s="408"/>
      <c r="L43" s="408"/>
      <c r="M43" s="408"/>
      <c r="N43" s="408"/>
      <c r="O43" s="408"/>
      <c r="P43" s="408"/>
      <c r="Q43" s="408"/>
      <c r="R43" s="408"/>
      <c r="S43" s="408"/>
      <c r="T43" s="408"/>
      <c r="U43" s="408"/>
      <c r="V43" s="408"/>
      <c r="W43" s="407"/>
      <c r="X43" s="407"/>
      <c r="Y43" s="407"/>
      <c r="Z43" s="407"/>
      <c r="AA43" s="407"/>
      <c r="AB43" s="407"/>
      <c r="AC43" s="407"/>
      <c r="AD43" s="407"/>
      <c r="AE43" s="407"/>
      <c r="AF43" s="407"/>
      <c r="AG43" s="407"/>
      <c r="AH43" s="407"/>
      <c r="AI43" s="407"/>
      <c r="AJ43" s="406"/>
      <c r="AK43" s="392"/>
    </row>
    <row r="44" spans="1:41" s="397" customFormat="1">
      <c r="B44" s="401"/>
      <c r="C44" s="400"/>
      <c r="D44" s="400"/>
      <c r="E44" s="400"/>
      <c r="F44" s="400"/>
      <c r="G44" s="400"/>
      <c r="H44" s="400"/>
      <c r="I44" s="400"/>
      <c r="J44" s="400"/>
      <c r="K44" s="400"/>
      <c r="L44" s="400"/>
      <c r="M44" s="400"/>
      <c r="N44" s="400"/>
      <c r="O44" s="400"/>
      <c r="P44" s="400"/>
      <c r="Q44" s="400"/>
      <c r="R44" s="400"/>
      <c r="S44" s="400"/>
      <c r="T44" s="400"/>
      <c r="U44" s="400"/>
      <c r="V44" s="400"/>
      <c r="W44" s="399"/>
      <c r="X44" s="399"/>
      <c r="Y44" s="399"/>
      <c r="Z44" s="399"/>
      <c r="AA44" s="399"/>
      <c r="AB44" s="399"/>
      <c r="AC44" s="399"/>
      <c r="AD44" s="399"/>
      <c r="AE44" s="399"/>
      <c r="AF44" s="399"/>
      <c r="AG44" s="399"/>
      <c r="AH44" s="399"/>
      <c r="AI44" s="399"/>
      <c r="AJ44" s="398"/>
      <c r="AK44" s="392"/>
    </row>
    <row r="45" spans="1:41">
      <c r="B45" s="405"/>
      <c r="C45" s="404"/>
      <c r="D45" s="404"/>
      <c r="E45" s="404"/>
      <c r="F45" s="404"/>
      <c r="G45" s="404"/>
      <c r="H45" s="404"/>
      <c r="I45" s="404"/>
      <c r="J45" s="404"/>
      <c r="K45" s="404"/>
      <c r="L45" s="404"/>
      <c r="M45" s="404"/>
      <c r="N45" s="404"/>
      <c r="O45" s="404"/>
      <c r="P45" s="404"/>
      <c r="Q45" s="404"/>
      <c r="R45" s="404"/>
      <c r="S45" s="404"/>
      <c r="T45" s="404"/>
      <c r="U45" s="404"/>
      <c r="V45" s="404"/>
      <c r="W45" s="399"/>
      <c r="X45" s="399"/>
      <c r="Y45" s="399"/>
      <c r="Z45" s="399"/>
      <c r="AA45" s="399"/>
      <c r="AB45" s="399"/>
      <c r="AC45" s="399"/>
      <c r="AD45" s="399"/>
      <c r="AE45" s="399"/>
      <c r="AF45" s="399"/>
      <c r="AG45" s="399"/>
      <c r="AH45" s="399"/>
      <c r="AI45" s="399"/>
      <c r="AJ45" s="398"/>
      <c r="AK45" s="392"/>
    </row>
    <row r="46" spans="1:41" s="397" customFormat="1">
      <c r="B46" s="401"/>
      <c r="C46" s="400"/>
      <c r="D46" s="400"/>
      <c r="E46" s="400"/>
      <c r="F46" s="400"/>
      <c r="G46" s="400"/>
      <c r="H46" s="400"/>
      <c r="I46" s="400"/>
      <c r="J46" s="400"/>
      <c r="K46" s="400"/>
      <c r="L46" s="400"/>
      <c r="M46" s="400"/>
      <c r="N46" s="400"/>
      <c r="O46" s="400"/>
      <c r="P46" s="400"/>
      <c r="Q46" s="400"/>
      <c r="R46" s="400"/>
      <c r="S46" s="400"/>
      <c r="T46" s="400"/>
      <c r="U46" s="400"/>
      <c r="V46" s="400"/>
      <c r="W46" s="399"/>
      <c r="X46" s="399"/>
      <c r="Y46" s="399"/>
      <c r="Z46" s="399"/>
      <c r="AA46" s="399"/>
      <c r="AB46" s="399"/>
      <c r="AC46" s="399"/>
      <c r="AD46" s="399"/>
      <c r="AE46" s="399"/>
      <c r="AF46" s="399"/>
      <c r="AG46" s="399"/>
      <c r="AH46" s="399"/>
      <c r="AI46" s="399"/>
      <c r="AJ46" s="398"/>
      <c r="AK46" s="392"/>
    </row>
    <row r="47" spans="1:41" s="391" customFormat="1">
      <c r="B47" s="403"/>
      <c r="C47" s="402"/>
      <c r="D47" s="402"/>
      <c r="E47" s="402"/>
      <c r="F47" s="402"/>
      <c r="G47" s="402"/>
      <c r="H47" s="402"/>
      <c r="I47" s="402"/>
      <c r="J47" s="402"/>
      <c r="K47" s="402"/>
      <c r="L47" s="402"/>
      <c r="M47" s="402"/>
      <c r="N47" s="402"/>
      <c r="O47" s="402"/>
      <c r="P47" s="402"/>
      <c r="Q47" s="402"/>
      <c r="R47" s="402"/>
      <c r="S47" s="402"/>
      <c r="T47" s="402"/>
      <c r="U47" s="402"/>
      <c r="V47" s="402"/>
      <c r="W47" s="399"/>
      <c r="X47" s="399"/>
      <c r="Y47" s="399"/>
      <c r="Z47" s="399"/>
      <c r="AA47" s="399"/>
      <c r="AB47" s="399"/>
      <c r="AC47" s="399"/>
      <c r="AD47" s="399"/>
      <c r="AE47" s="399"/>
      <c r="AF47" s="399"/>
      <c r="AG47" s="399"/>
      <c r="AH47" s="399"/>
      <c r="AI47" s="399"/>
      <c r="AJ47" s="398"/>
      <c r="AK47" s="392"/>
    </row>
    <row r="48" spans="1:41" s="391" customFormat="1">
      <c r="B48" s="403"/>
      <c r="C48" s="402"/>
      <c r="D48" s="402"/>
      <c r="E48" s="402"/>
      <c r="F48" s="402"/>
      <c r="G48" s="402"/>
      <c r="H48" s="402"/>
      <c r="I48" s="402"/>
      <c r="J48" s="402"/>
      <c r="K48" s="402"/>
      <c r="L48" s="402"/>
      <c r="M48" s="402"/>
      <c r="N48" s="402"/>
      <c r="O48" s="402"/>
      <c r="P48" s="402"/>
      <c r="Q48" s="402"/>
      <c r="R48" s="402"/>
      <c r="S48" s="402"/>
      <c r="T48" s="402"/>
      <c r="U48" s="402"/>
      <c r="V48" s="402"/>
      <c r="W48" s="399"/>
      <c r="X48" s="399"/>
      <c r="Y48" s="399"/>
      <c r="Z48" s="399"/>
      <c r="AA48" s="399"/>
      <c r="AB48" s="399"/>
      <c r="AC48" s="399"/>
      <c r="AD48" s="399"/>
      <c r="AE48" s="399"/>
      <c r="AF48" s="399"/>
      <c r="AG48" s="399"/>
      <c r="AH48" s="399"/>
      <c r="AI48" s="399"/>
      <c r="AJ48" s="398"/>
      <c r="AK48" s="392"/>
    </row>
    <row r="49" spans="1:39" s="397" customFormat="1">
      <c r="B49" s="401"/>
      <c r="C49" s="400"/>
      <c r="D49" s="400"/>
      <c r="E49" s="400"/>
      <c r="F49" s="400"/>
      <c r="G49" s="400"/>
      <c r="H49" s="400"/>
      <c r="I49" s="400"/>
      <c r="J49" s="400"/>
      <c r="K49" s="400"/>
      <c r="L49" s="400"/>
      <c r="M49" s="400"/>
      <c r="N49" s="400"/>
      <c r="O49" s="400"/>
      <c r="P49" s="400"/>
      <c r="Q49" s="400"/>
      <c r="R49" s="400"/>
      <c r="S49" s="400"/>
      <c r="T49" s="400"/>
      <c r="U49" s="400"/>
      <c r="V49" s="400"/>
      <c r="W49" s="399"/>
      <c r="X49" s="399"/>
      <c r="Y49" s="399"/>
      <c r="Z49" s="399"/>
      <c r="AA49" s="399"/>
      <c r="AB49" s="399"/>
      <c r="AC49" s="399"/>
      <c r="AD49" s="399"/>
      <c r="AE49" s="399"/>
      <c r="AF49" s="399"/>
      <c r="AG49" s="399"/>
      <c r="AH49" s="399"/>
      <c r="AI49" s="399"/>
      <c r="AJ49" s="398"/>
      <c r="AK49" s="392"/>
    </row>
    <row r="50" spans="1:39" s="397" customFormat="1">
      <c r="B50" s="401"/>
      <c r="C50" s="400"/>
      <c r="D50" s="400"/>
      <c r="E50" s="400"/>
      <c r="F50" s="400"/>
      <c r="G50" s="400"/>
      <c r="H50" s="400"/>
      <c r="I50" s="400"/>
      <c r="J50" s="400"/>
      <c r="K50" s="400"/>
      <c r="L50" s="400"/>
      <c r="M50" s="400"/>
      <c r="N50" s="400"/>
      <c r="O50" s="400"/>
      <c r="P50" s="400"/>
      <c r="Q50" s="400"/>
      <c r="R50" s="400"/>
      <c r="S50" s="400"/>
      <c r="T50" s="400"/>
      <c r="U50" s="400"/>
      <c r="V50" s="400"/>
      <c r="W50" s="399"/>
      <c r="X50" s="399"/>
      <c r="Y50" s="399"/>
      <c r="Z50" s="399"/>
      <c r="AA50" s="399"/>
      <c r="AB50" s="399"/>
      <c r="AC50" s="399"/>
      <c r="AD50" s="399"/>
      <c r="AE50" s="399"/>
      <c r="AF50" s="399"/>
      <c r="AG50" s="399"/>
      <c r="AH50" s="399"/>
      <c r="AI50" s="399"/>
      <c r="AJ50" s="398"/>
      <c r="AK50" s="392"/>
    </row>
    <row r="51" spans="1:39" s="397" customFormat="1">
      <c r="B51" s="401"/>
      <c r="C51" s="400"/>
      <c r="D51" s="400"/>
      <c r="E51" s="400"/>
      <c r="F51" s="400"/>
      <c r="G51" s="400"/>
      <c r="H51" s="400"/>
      <c r="I51" s="400"/>
      <c r="J51" s="400"/>
      <c r="K51" s="400"/>
      <c r="L51" s="400"/>
      <c r="M51" s="400"/>
      <c r="N51" s="400"/>
      <c r="O51" s="400"/>
      <c r="P51" s="400"/>
      <c r="Q51" s="400"/>
      <c r="R51" s="400"/>
      <c r="S51" s="400"/>
      <c r="T51" s="400"/>
      <c r="U51" s="400"/>
      <c r="V51" s="400"/>
      <c r="W51" s="399"/>
      <c r="X51" s="399"/>
      <c r="Y51" s="399"/>
      <c r="Z51" s="399"/>
      <c r="AA51" s="399"/>
      <c r="AB51" s="399"/>
      <c r="AC51" s="399"/>
      <c r="AD51" s="399"/>
      <c r="AE51" s="399"/>
      <c r="AF51" s="399"/>
      <c r="AG51" s="399"/>
      <c r="AH51" s="399"/>
      <c r="AI51" s="399"/>
      <c r="AJ51" s="398"/>
      <c r="AK51" s="392"/>
    </row>
    <row r="52" spans="1:39" s="397" customFormat="1">
      <c r="B52" s="401"/>
      <c r="C52" s="400"/>
      <c r="D52" s="400"/>
      <c r="E52" s="400"/>
      <c r="F52" s="400"/>
      <c r="G52" s="400"/>
      <c r="H52" s="400"/>
      <c r="I52" s="400"/>
      <c r="J52" s="400"/>
      <c r="K52" s="400"/>
      <c r="L52" s="400"/>
      <c r="M52" s="400"/>
      <c r="N52" s="400"/>
      <c r="O52" s="400"/>
      <c r="P52" s="400"/>
      <c r="Q52" s="400"/>
      <c r="R52" s="400"/>
      <c r="S52" s="400"/>
      <c r="T52" s="400"/>
      <c r="U52" s="400"/>
      <c r="V52" s="400"/>
      <c r="W52" s="399"/>
      <c r="X52" s="399"/>
      <c r="Y52" s="399"/>
      <c r="Z52" s="399"/>
      <c r="AA52" s="399"/>
      <c r="AB52" s="399"/>
      <c r="AC52" s="399"/>
      <c r="AD52" s="399"/>
      <c r="AE52" s="399"/>
      <c r="AF52" s="399"/>
      <c r="AG52" s="399"/>
      <c r="AH52" s="399"/>
      <c r="AI52" s="399"/>
      <c r="AJ52" s="398"/>
      <c r="AK52" s="392"/>
    </row>
    <row r="53" spans="1:39" s="391" customFormat="1" ht="13.5" thickBot="1">
      <c r="B53" s="396"/>
      <c r="C53" s="395"/>
      <c r="D53" s="395"/>
      <c r="E53" s="395"/>
      <c r="F53" s="395"/>
      <c r="G53" s="395" t="s">
        <v>1101</v>
      </c>
      <c r="H53" s="395"/>
      <c r="I53" s="395"/>
      <c r="J53" s="395"/>
      <c r="K53" s="395"/>
      <c r="L53" s="395"/>
      <c r="M53" s="395"/>
      <c r="N53" s="395"/>
      <c r="O53" s="395"/>
      <c r="P53" s="395"/>
      <c r="Q53" s="395"/>
      <c r="R53" s="395"/>
      <c r="S53" s="395"/>
      <c r="T53" s="395"/>
      <c r="U53" s="395" t="s">
        <v>1102</v>
      </c>
      <c r="V53" s="395"/>
      <c r="W53" s="394"/>
      <c r="X53" s="394"/>
      <c r="Y53" s="394"/>
      <c r="Z53" s="394"/>
      <c r="AA53" s="394"/>
      <c r="AB53" s="394"/>
      <c r="AC53" s="394"/>
      <c r="AD53" s="394"/>
      <c r="AE53" s="394"/>
      <c r="AF53" s="394"/>
      <c r="AG53" s="394"/>
      <c r="AH53" s="394"/>
      <c r="AI53" s="394"/>
      <c r="AJ53" s="393"/>
      <c r="AK53" s="392"/>
    </row>
    <row r="55" spans="1:39">
      <c r="A55" s="500"/>
      <c r="B55" s="500"/>
      <c r="C55" s="501"/>
      <c r="D55" s="500"/>
      <c r="E55" s="500"/>
      <c r="F55" s="500"/>
      <c r="G55" s="500"/>
      <c r="H55" s="500"/>
      <c r="I55" s="500"/>
      <c r="J55" s="500"/>
      <c r="K55" s="500"/>
      <c r="L55" s="500"/>
      <c r="M55" s="500"/>
      <c r="N55" s="500"/>
      <c r="O55" s="500"/>
      <c r="P55" s="500"/>
      <c r="Q55" s="500"/>
      <c r="R55" s="500"/>
      <c r="S55" s="500"/>
      <c r="T55" s="500"/>
      <c r="U55" s="500"/>
      <c r="V55" s="500"/>
      <c r="W55" s="500"/>
      <c r="X55" s="500"/>
      <c r="Y55" s="500"/>
      <c r="Z55" s="500"/>
      <c r="AA55" s="500"/>
      <c r="AB55" s="500"/>
      <c r="AC55" s="500"/>
      <c r="AD55" s="500"/>
      <c r="AE55" s="500"/>
      <c r="AF55" s="500"/>
      <c r="AG55" s="500"/>
      <c r="AH55" s="500"/>
      <c r="AI55" s="500"/>
      <c r="AJ55" s="500"/>
      <c r="AK55" s="500"/>
      <c r="AL55" s="500"/>
      <c r="AM55" s="500"/>
    </row>
  </sheetData>
  <mergeCells count="7">
    <mergeCell ref="L38:T38"/>
    <mergeCell ref="U38:AB38"/>
    <mergeCell ref="AC38:AK38"/>
    <mergeCell ref="U33:AB35"/>
    <mergeCell ref="N1:W3"/>
    <mergeCell ref="L33:T35"/>
    <mergeCell ref="AC33:AK35"/>
  </mergeCells>
  <pageMargins left="0.39370078740157483" right="0.39370078740157483" top="0.35433070866141736" bottom="0.35433070866141736" header="0.23622047244094491" footer="0.23622047244094491"/>
  <pageSetup scale="98" orientation="portrait" r:id="rId1"/>
  <headerFooter alignWithMargins="0">
    <oddFooter>&amp;LMF SR č. 24219/3/2008/1&amp;RStrana 1</odd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92D050"/>
  </sheetPr>
  <dimension ref="B2:G208"/>
  <sheetViews>
    <sheetView showGridLines="0" zoomScale="55" zoomScaleNormal="55" workbookViewId="0">
      <selection activeCell="D52" sqref="D52"/>
    </sheetView>
  </sheetViews>
  <sheetFormatPr defaultColWidth="10.28515625" defaultRowHeight="18"/>
  <cols>
    <col min="1" max="1" width="5" style="297" customWidth="1"/>
    <col min="2" max="2" width="10.42578125" style="291" customWidth="1"/>
    <col min="3" max="3" width="140.42578125" style="293" customWidth="1"/>
    <col min="4" max="4" width="21.7109375" style="294" customWidth="1"/>
    <col min="5" max="5" width="22.85546875" style="294" customWidth="1"/>
    <col min="6" max="6" width="19.7109375" style="291" customWidth="1"/>
    <col min="7" max="7" width="11.5703125" style="295" bestFit="1" customWidth="1"/>
    <col min="8" max="16384" width="10.28515625" style="297"/>
  </cols>
  <sheetData>
    <row r="2" spans="2:7" ht="33.75">
      <c r="C2" s="292" t="s">
        <v>981</v>
      </c>
    </row>
    <row r="3" spans="2:7" ht="24" customHeight="1">
      <c r="C3" s="298" t="s">
        <v>2885</v>
      </c>
      <c r="D3" s="299"/>
      <c r="F3" s="300"/>
    </row>
    <row r="4" spans="2:7" ht="24" customHeight="1">
      <c r="C4" s="301" t="s">
        <v>982</v>
      </c>
      <c r="D4" s="299"/>
      <c r="F4" s="300"/>
      <c r="G4" s="296"/>
    </row>
    <row r="5" spans="2:7" ht="24" customHeight="1">
      <c r="C5" s="301"/>
      <c r="D5" s="299"/>
      <c r="F5" s="300"/>
      <c r="G5" s="296"/>
    </row>
    <row r="6" spans="2:7" ht="20.100000000000001" customHeight="1">
      <c r="B6" s="302"/>
      <c r="C6" s="303"/>
      <c r="F6" s="304"/>
    </row>
    <row r="7" spans="2:7" s="305" customFormat="1" ht="20.25" customHeight="1">
      <c r="B7" s="2405" t="s">
        <v>2211</v>
      </c>
      <c r="C7" s="2405" t="s">
        <v>1</v>
      </c>
      <c r="D7" s="2408" t="s">
        <v>2212</v>
      </c>
      <c r="E7" s="2409"/>
      <c r="F7" s="306"/>
      <c r="G7" s="295"/>
    </row>
    <row r="8" spans="2:7" s="305" customFormat="1" ht="20.25" customHeight="1">
      <c r="B8" s="2406"/>
      <c r="C8" s="2406"/>
      <c r="D8" s="1009" t="s">
        <v>2213</v>
      </c>
      <c r="E8" s="1009" t="s">
        <v>2214</v>
      </c>
      <c r="F8" s="306"/>
      <c r="G8" s="295"/>
    </row>
    <row r="9" spans="2:7" s="305" customFormat="1" ht="20.25" customHeight="1">
      <c r="B9" s="2407"/>
      <c r="C9" s="2407"/>
      <c r="D9" s="1010" t="s">
        <v>1083</v>
      </c>
      <c r="E9" s="1010" t="s">
        <v>1083</v>
      </c>
      <c r="F9" s="306"/>
      <c r="G9" s="295"/>
    </row>
    <row r="10" spans="2:7" s="305" customFormat="1" ht="20.25" customHeight="1">
      <c r="B10" s="1011" t="s">
        <v>2215</v>
      </c>
      <c r="C10" s="1012"/>
      <c r="D10" s="1013"/>
      <c r="E10" s="1014"/>
      <c r="F10" s="306"/>
      <c r="G10" s="295"/>
    </row>
    <row r="11" spans="2:7" s="305" customFormat="1">
      <c r="B11" s="1015" t="s">
        <v>984</v>
      </c>
      <c r="C11" s="1016" t="s">
        <v>2030</v>
      </c>
      <c r="D11" s="1017">
        <f>'P&amp;L'!D64</f>
        <v>212837</v>
      </c>
      <c r="E11" s="1017">
        <f>'P&amp;L'!E64</f>
        <v>338656</v>
      </c>
      <c r="F11" s="306"/>
      <c r="G11" s="295"/>
    </row>
    <row r="12" spans="2:7" s="305" customFormat="1" ht="21.95" customHeight="1">
      <c r="B12" s="309"/>
      <c r="C12" s="310"/>
      <c r="D12" s="1008"/>
      <c r="E12" s="1008"/>
      <c r="F12" s="306"/>
      <c r="G12" s="295"/>
    </row>
    <row r="13" spans="2:7" s="305" customFormat="1" ht="39.75" customHeight="1">
      <c r="B13" s="312" t="s">
        <v>985</v>
      </c>
      <c r="C13" s="960" t="s">
        <v>2031</v>
      </c>
      <c r="D13" s="1007">
        <f>SUM(D14:D26)</f>
        <v>471804</v>
      </c>
      <c r="E13" s="1007">
        <f>SUM(E14:E26)</f>
        <v>396069</v>
      </c>
      <c r="F13" s="315"/>
      <c r="G13" s="295"/>
    </row>
    <row r="14" spans="2:7" s="305" customFormat="1" ht="21.95" customHeight="1">
      <c r="B14" s="312" t="s">
        <v>986</v>
      </c>
      <c r="C14" s="313" t="s">
        <v>2032</v>
      </c>
      <c r="D14" s="311">
        <v>406478</v>
      </c>
      <c r="E14" s="316">
        <v>403395</v>
      </c>
      <c r="F14" s="315"/>
      <c r="G14" s="295"/>
    </row>
    <row r="15" spans="2:7" s="305" customFormat="1" ht="39.75" customHeight="1">
      <c r="B15" s="312" t="s">
        <v>987</v>
      </c>
      <c r="C15" s="961" t="s">
        <v>2033</v>
      </c>
      <c r="D15" s="311">
        <v>0</v>
      </c>
      <c r="E15" s="316">
        <v>0</v>
      </c>
      <c r="F15" s="315"/>
      <c r="G15" s="295"/>
    </row>
    <row r="16" spans="2:7" s="305" customFormat="1" ht="21.95" customHeight="1">
      <c r="B16" s="312" t="s">
        <v>988</v>
      </c>
      <c r="C16" s="313" t="s">
        <v>2034</v>
      </c>
      <c r="D16" s="311">
        <v>0</v>
      </c>
      <c r="E16" s="316">
        <v>0</v>
      </c>
      <c r="F16" s="315"/>
      <c r="G16" s="295"/>
    </row>
    <row r="17" spans="2:7" s="305" customFormat="1" ht="21.95" customHeight="1">
      <c r="B17" s="312" t="s">
        <v>989</v>
      </c>
      <c r="C17" s="313" t="s">
        <v>2035</v>
      </c>
      <c r="D17" s="311">
        <v>0</v>
      </c>
      <c r="E17" s="316">
        <v>0</v>
      </c>
      <c r="F17" s="315"/>
      <c r="G17" s="295"/>
    </row>
    <row r="18" spans="2:7" s="305" customFormat="1" ht="21.95" customHeight="1">
      <c r="B18" s="312" t="s">
        <v>990</v>
      </c>
      <c r="C18" s="313" t="s">
        <v>2036</v>
      </c>
      <c r="D18" s="311">
        <v>11121</v>
      </c>
      <c r="E18" s="316">
        <v>-2658</v>
      </c>
      <c r="F18" s="315"/>
      <c r="G18" s="295"/>
    </row>
    <row r="19" spans="2:7" s="305" customFormat="1" ht="21.95" customHeight="1">
      <c r="B19" s="312" t="s">
        <v>991</v>
      </c>
      <c r="C19" s="313" t="s">
        <v>2037</v>
      </c>
      <c r="D19" s="311">
        <v>-1421</v>
      </c>
      <c r="E19" s="316">
        <v>-4637</v>
      </c>
      <c r="F19" s="315"/>
      <c r="G19" s="295"/>
    </row>
    <row r="20" spans="2:7" s="305" customFormat="1" ht="21.95" customHeight="1">
      <c r="B20" s="312" t="s">
        <v>992</v>
      </c>
      <c r="C20" s="313" t="s">
        <v>2038</v>
      </c>
      <c r="D20" s="311">
        <v>0</v>
      </c>
      <c r="E20" s="316">
        <v>0</v>
      </c>
      <c r="F20" s="315"/>
      <c r="G20" s="295"/>
    </row>
    <row r="21" spans="2:7" s="305" customFormat="1" ht="21.95" customHeight="1">
      <c r="B21" s="312" t="s">
        <v>993</v>
      </c>
      <c r="C21" s="961" t="s">
        <v>2039</v>
      </c>
      <c r="D21" s="311">
        <v>0</v>
      </c>
      <c r="E21" s="316">
        <v>0</v>
      </c>
      <c r="F21" s="315"/>
      <c r="G21" s="295"/>
    </row>
    <row r="22" spans="2:7" s="305" customFormat="1" ht="21.95" customHeight="1">
      <c r="B22" s="312" t="s">
        <v>994</v>
      </c>
      <c r="C22" s="961" t="s">
        <v>2040</v>
      </c>
      <c r="D22" s="311">
        <v>0</v>
      </c>
      <c r="E22" s="316">
        <v>-31</v>
      </c>
      <c r="F22" s="315"/>
      <c r="G22" s="295"/>
    </row>
    <row r="23" spans="2:7" s="305" customFormat="1" ht="39.75" customHeight="1">
      <c r="B23" s="312" t="s">
        <v>995</v>
      </c>
      <c r="C23" s="960" t="s">
        <v>2041</v>
      </c>
      <c r="D23" s="311">
        <v>0</v>
      </c>
      <c r="E23" s="316">
        <v>0</v>
      </c>
      <c r="F23" s="315"/>
      <c r="G23" s="295"/>
    </row>
    <row r="24" spans="2:7" s="305" customFormat="1" ht="41.25" customHeight="1">
      <c r="B24" s="312" t="s">
        <v>996</v>
      </c>
      <c r="C24" s="960" t="s">
        <v>2042</v>
      </c>
      <c r="D24" s="311">
        <v>0</v>
      </c>
      <c r="E24" s="316">
        <v>0</v>
      </c>
      <c r="F24" s="315"/>
      <c r="G24" s="295"/>
    </row>
    <row r="25" spans="2:7" s="305" customFormat="1" ht="21.95" customHeight="1">
      <c r="B25" s="312" t="s">
        <v>997</v>
      </c>
      <c r="C25" s="313" t="s">
        <v>2043</v>
      </c>
      <c r="D25" s="311">
        <v>-9584</v>
      </c>
      <c r="E25" s="316">
        <v>0</v>
      </c>
      <c r="F25" s="315"/>
      <c r="G25" s="295"/>
    </row>
    <row r="26" spans="2:7" s="305" customFormat="1" ht="42.75" customHeight="1">
      <c r="B26" s="312" t="s">
        <v>998</v>
      </c>
      <c r="C26" s="960" t="s">
        <v>2044</v>
      </c>
      <c r="D26" s="311">
        <v>65210</v>
      </c>
      <c r="E26" s="311"/>
      <c r="F26" s="315"/>
      <c r="G26" s="295"/>
    </row>
    <row r="27" spans="2:7" s="305" customFormat="1" ht="59.25" customHeight="1">
      <c r="B27" s="312" t="s">
        <v>999</v>
      </c>
      <c r="C27" s="960" t="s">
        <v>2045</v>
      </c>
      <c r="D27" s="1007">
        <f>SUM(D28:D30)</f>
        <v>-356274</v>
      </c>
      <c r="E27" s="1007">
        <f>SUM(E28:E30)</f>
        <v>-24821</v>
      </c>
      <c r="F27" s="306"/>
      <c r="G27" s="317"/>
    </row>
    <row r="28" spans="2:7" s="305" customFormat="1" ht="21.95" customHeight="1">
      <c r="B28" s="312" t="s">
        <v>1000</v>
      </c>
      <c r="C28" s="313" t="s">
        <v>2046</v>
      </c>
      <c r="D28" s="311">
        <v>-419578</v>
      </c>
      <c r="E28" s="316">
        <v>-17285</v>
      </c>
      <c r="F28" s="306"/>
      <c r="G28" s="317"/>
    </row>
    <row r="29" spans="2:7" s="305" customFormat="1" ht="21.95" customHeight="1">
      <c r="B29" s="312" t="s">
        <v>1001</v>
      </c>
      <c r="C29" s="961" t="s">
        <v>2047</v>
      </c>
      <c r="D29" s="311">
        <v>336963</v>
      </c>
      <c r="E29" s="316">
        <v>-59287</v>
      </c>
      <c r="F29" s="306"/>
      <c r="G29" s="317"/>
    </row>
    <row r="30" spans="2:7" s="305" customFormat="1" ht="21.95" customHeight="1">
      <c r="B30" s="312" t="s">
        <v>1002</v>
      </c>
      <c r="C30" s="961" t="s">
        <v>2048</v>
      </c>
      <c r="D30" s="311">
        <v>-273659</v>
      </c>
      <c r="E30" s="316">
        <v>51751</v>
      </c>
      <c r="F30" s="306"/>
      <c r="G30" s="317"/>
    </row>
    <row r="31" spans="2:7" s="305" customFormat="1" ht="38.25" customHeight="1">
      <c r="B31" s="312" t="s">
        <v>1003</v>
      </c>
      <c r="C31" s="961" t="s">
        <v>2049</v>
      </c>
      <c r="D31" s="316"/>
      <c r="E31" s="316"/>
      <c r="F31" s="306"/>
      <c r="G31" s="317"/>
    </row>
    <row r="32" spans="2:7" s="305" customFormat="1" ht="38.25" customHeight="1">
      <c r="B32" s="312"/>
      <c r="C32" s="962" t="s">
        <v>2050</v>
      </c>
      <c r="D32" s="1463">
        <f>D11+D13+D27</f>
        <v>328367</v>
      </c>
      <c r="E32" s="1496">
        <f>E11+E13+E27</f>
        <v>709904</v>
      </c>
      <c r="F32" s="306"/>
      <c r="G32" s="317"/>
    </row>
    <row r="33" spans="2:7" s="305" customFormat="1" ht="21.95" customHeight="1">
      <c r="B33" s="963" t="s">
        <v>1004</v>
      </c>
      <c r="C33" s="964" t="s">
        <v>2051</v>
      </c>
      <c r="D33" s="316"/>
      <c r="E33" s="316">
        <v>31</v>
      </c>
      <c r="F33" s="306"/>
      <c r="G33" s="317"/>
    </row>
    <row r="34" spans="2:7" s="305" customFormat="1" ht="21.95" customHeight="1">
      <c r="B34" s="963" t="s">
        <v>1005</v>
      </c>
      <c r="C34" s="964" t="s">
        <v>2052</v>
      </c>
      <c r="D34" s="311">
        <v>0</v>
      </c>
      <c r="E34" s="316">
        <v>0</v>
      </c>
      <c r="F34" s="306"/>
      <c r="G34" s="317"/>
    </row>
    <row r="35" spans="2:7" s="305" customFormat="1">
      <c r="B35" s="963" t="s">
        <v>1006</v>
      </c>
      <c r="C35" s="964" t="s">
        <v>2053</v>
      </c>
      <c r="D35" s="311">
        <v>0</v>
      </c>
      <c r="E35" s="316">
        <v>0</v>
      </c>
      <c r="F35" s="306"/>
      <c r="G35" s="317"/>
    </row>
    <row r="36" spans="2:7" s="305" customFormat="1" ht="36">
      <c r="B36" s="963" t="s">
        <v>1007</v>
      </c>
      <c r="C36" s="964" t="s">
        <v>2054</v>
      </c>
      <c r="D36" s="311">
        <v>-114636</v>
      </c>
      <c r="E36" s="316">
        <v>-395724</v>
      </c>
      <c r="F36" s="306"/>
      <c r="G36" s="317"/>
    </row>
    <row r="37" spans="2:7" s="305" customFormat="1" ht="21.95" customHeight="1">
      <c r="B37" s="963"/>
      <c r="C37" s="965" t="s">
        <v>2055</v>
      </c>
      <c r="D37" s="1538">
        <f>SUM(D32:D36)</f>
        <v>213731</v>
      </c>
      <c r="E37" s="1539">
        <f>SUM(E32:E36)</f>
        <v>314211</v>
      </c>
      <c r="F37" s="306"/>
      <c r="G37" s="317"/>
    </row>
    <row r="38" spans="2:7" s="305" customFormat="1" ht="36">
      <c r="B38" s="963" t="s">
        <v>1008</v>
      </c>
      <c r="C38" s="964" t="s">
        <v>2056</v>
      </c>
      <c r="D38" s="311">
        <v>-286811</v>
      </c>
      <c r="E38" s="316">
        <v>-36357</v>
      </c>
      <c r="F38" s="306"/>
      <c r="G38" s="317"/>
    </row>
    <row r="39" spans="2:7" s="305" customFormat="1" ht="21.95" customHeight="1">
      <c r="B39" s="963" t="s">
        <v>1009</v>
      </c>
      <c r="C39" s="964" t="s">
        <v>2057</v>
      </c>
      <c r="D39" s="316">
        <v>0</v>
      </c>
      <c r="E39" s="316">
        <v>0</v>
      </c>
      <c r="F39" s="306"/>
      <c r="G39" s="317"/>
    </row>
    <row r="40" spans="2:7" s="305" customFormat="1" ht="21.95" customHeight="1">
      <c r="B40" s="963" t="s">
        <v>1010</v>
      </c>
      <c r="C40" s="964" t="s">
        <v>2058</v>
      </c>
      <c r="D40" s="316">
        <v>0</v>
      </c>
      <c r="E40" s="316"/>
      <c r="F40" s="306"/>
      <c r="G40" s="317"/>
    </row>
    <row r="41" spans="2:7" s="320" customFormat="1">
      <c r="B41" s="307" t="s">
        <v>523</v>
      </c>
      <c r="C41" s="962" t="s">
        <v>2059</v>
      </c>
      <c r="D41" s="308">
        <f>SUM(D37:D40)</f>
        <v>-73080</v>
      </c>
      <c r="E41" s="308">
        <f>SUM(E37:E40)</f>
        <v>277854</v>
      </c>
      <c r="F41" s="318"/>
      <c r="G41" s="319"/>
    </row>
    <row r="42" spans="2:7" s="320" customFormat="1" ht="27.95" customHeight="1">
      <c r="B42" s="967"/>
      <c r="C42" s="969"/>
      <c r="D42" s="966"/>
      <c r="E42" s="966"/>
      <c r="F42" s="318"/>
      <c r="G42" s="319"/>
    </row>
    <row r="43" spans="2:7" s="320" customFormat="1" ht="27.95" customHeight="1">
      <c r="B43" s="967"/>
      <c r="C43" s="970" t="s">
        <v>2061</v>
      </c>
      <c r="D43" s="966"/>
      <c r="E43" s="966"/>
      <c r="F43" s="318"/>
      <c r="G43" s="319"/>
    </row>
    <row r="44" spans="2:7" s="305" customFormat="1">
      <c r="B44" s="968" t="s">
        <v>833</v>
      </c>
      <c r="C44" s="971" t="s">
        <v>2062</v>
      </c>
      <c r="D44" s="311">
        <v>0</v>
      </c>
      <c r="E44" s="311"/>
      <c r="F44" s="306"/>
      <c r="G44" s="317"/>
    </row>
    <row r="45" spans="2:7" s="305" customFormat="1" ht="21.95" customHeight="1">
      <c r="B45" s="968" t="s">
        <v>1011</v>
      </c>
      <c r="C45" s="971" t="s">
        <v>2063</v>
      </c>
      <c r="D45" s="311">
        <v>-406211</v>
      </c>
      <c r="E45" s="311">
        <v>-73020</v>
      </c>
      <c r="F45" s="306"/>
      <c r="G45" s="317"/>
    </row>
    <row r="46" spans="2:7" s="305" customFormat="1" ht="54">
      <c r="B46" s="968" t="s">
        <v>1012</v>
      </c>
      <c r="C46" s="971" t="s">
        <v>2064</v>
      </c>
      <c r="D46" s="311">
        <v>0</v>
      </c>
      <c r="E46" s="311">
        <v>0</v>
      </c>
      <c r="F46" s="306"/>
      <c r="G46" s="317"/>
    </row>
    <row r="47" spans="2:7" s="305" customFormat="1" ht="21.95" customHeight="1">
      <c r="B47" s="968" t="s">
        <v>1013</v>
      </c>
      <c r="C47" s="971" t="s">
        <v>2065</v>
      </c>
      <c r="D47" s="311">
        <v>0</v>
      </c>
      <c r="E47" s="311">
        <v>0</v>
      </c>
      <c r="F47" s="306"/>
      <c r="G47" s="317"/>
    </row>
    <row r="48" spans="2:7" s="305" customFormat="1" ht="21.95" customHeight="1">
      <c r="B48" s="968" t="s">
        <v>1014</v>
      </c>
      <c r="C48" s="971" t="s">
        <v>2066</v>
      </c>
      <c r="D48" s="311">
        <v>9584</v>
      </c>
      <c r="E48" s="311"/>
      <c r="F48" s="306"/>
      <c r="G48" s="317"/>
    </row>
    <row r="49" spans="2:7" s="305" customFormat="1" ht="54">
      <c r="B49" s="968" t="s">
        <v>1015</v>
      </c>
      <c r="C49" s="971" t="s">
        <v>2067</v>
      </c>
      <c r="D49" s="311">
        <v>0</v>
      </c>
      <c r="E49" s="311"/>
      <c r="F49" s="306"/>
      <c r="G49" s="317"/>
    </row>
    <row r="50" spans="2:7" s="305" customFormat="1" ht="36">
      <c r="B50" s="968" t="s">
        <v>1016</v>
      </c>
      <c r="C50" s="971" t="s">
        <v>2068</v>
      </c>
      <c r="D50" s="311">
        <v>0</v>
      </c>
      <c r="E50" s="311"/>
      <c r="F50" s="306"/>
      <c r="G50" s="317"/>
    </row>
    <row r="51" spans="2:7" s="305" customFormat="1" ht="36">
      <c r="B51" s="968" t="s">
        <v>1017</v>
      </c>
      <c r="C51" s="971" t="s">
        <v>2069</v>
      </c>
      <c r="D51" s="311">
        <v>0</v>
      </c>
      <c r="E51" s="311"/>
      <c r="F51" s="306"/>
      <c r="G51" s="317"/>
    </row>
    <row r="52" spans="2:7" s="305" customFormat="1" ht="36">
      <c r="B52" s="968" t="s">
        <v>1018</v>
      </c>
      <c r="C52" s="971" t="s">
        <v>2070</v>
      </c>
      <c r="D52" s="311">
        <v>0</v>
      </c>
      <c r="E52" s="311"/>
      <c r="F52" s="306"/>
      <c r="G52" s="317"/>
    </row>
    <row r="53" spans="2:7" s="305" customFormat="1" ht="36">
      <c r="B53" s="968" t="s">
        <v>1019</v>
      </c>
      <c r="C53" s="971" t="s">
        <v>2071</v>
      </c>
      <c r="D53" s="311">
        <v>0</v>
      </c>
      <c r="E53" s="311"/>
      <c r="F53" s="306"/>
      <c r="G53" s="317"/>
    </row>
    <row r="54" spans="2:7" s="305" customFormat="1" ht="21.95" customHeight="1">
      <c r="B54" s="968" t="s">
        <v>1020</v>
      </c>
      <c r="C54" s="971" t="s">
        <v>2072</v>
      </c>
      <c r="D54" s="311">
        <v>0</v>
      </c>
      <c r="E54" s="311"/>
      <c r="F54" s="306"/>
      <c r="G54" s="317"/>
    </row>
    <row r="55" spans="2:7" s="305" customFormat="1" ht="21.95" customHeight="1">
      <c r="B55" s="968" t="s">
        <v>1021</v>
      </c>
      <c r="C55" s="971" t="s">
        <v>2073</v>
      </c>
      <c r="D55" s="311">
        <v>0</v>
      </c>
      <c r="E55" s="311"/>
      <c r="F55" s="306"/>
      <c r="G55" s="317"/>
    </row>
    <row r="56" spans="2:7" s="305" customFormat="1">
      <c r="B56" s="968" t="s">
        <v>1022</v>
      </c>
      <c r="C56" s="971" t="s">
        <v>2074</v>
      </c>
      <c r="D56" s="311">
        <v>0</v>
      </c>
      <c r="E56" s="311"/>
      <c r="F56" s="306"/>
      <c r="G56" s="317"/>
    </row>
    <row r="57" spans="2:7" s="305" customFormat="1" ht="36">
      <c r="B57" s="968" t="s">
        <v>1023</v>
      </c>
      <c r="C57" s="971" t="s">
        <v>2075</v>
      </c>
      <c r="D57" s="311">
        <v>0</v>
      </c>
      <c r="E57" s="311"/>
      <c r="F57" s="306"/>
      <c r="G57" s="317"/>
    </row>
    <row r="58" spans="2:7" s="305" customFormat="1" ht="36">
      <c r="B58" s="968" t="s">
        <v>1024</v>
      </c>
      <c r="C58" s="971" t="s">
        <v>2076</v>
      </c>
      <c r="D58" s="311">
        <v>0</v>
      </c>
      <c r="E58" s="311"/>
      <c r="F58" s="306"/>
      <c r="G58" s="317"/>
    </row>
    <row r="59" spans="2:7" s="305" customFormat="1" ht="21.95" customHeight="1">
      <c r="B59" s="968" t="s">
        <v>1025</v>
      </c>
      <c r="C59" s="971" t="s">
        <v>2077</v>
      </c>
      <c r="D59" s="311">
        <v>0</v>
      </c>
      <c r="E59" s="311"/>
      <c r="F59" s="306"/>
      <c r="G59" s="317"/>
    </row>
    <row r="60" spans="2:7" s="305" customFormat="1" ht="21.95" customHeight="1">
      <c r="B60" s="968" t="s">
        <v>1026</v>
      </c>
      <c r="C60" s="971" t="s">
        <v>2078</v>
      </c>
      <c r="D60" s="311">
        <v>0</v>
      </c>
      <c r="E60" s="311"/>
      <c r="F60" s="306"/>
      <c r="G60" s="317"/>
    </row>
    <row r="61" spans="2:7" s="305" customFormat="1" ht="21.95" customHeight="1">
      <c r="B61" s="968" t="s">
        <v>1027</v>
      </c>
      <c r="C61" s="971" t="s">
        <v>2079</v>
      </c>
      <c r="D61" s="311">
        <v>0</v>
      </c>
      <c r="E61" s="311"/>
      <c r="F61" s="306"/>
      <c r="G61" s="317"/>
    </row>
    <row r="62" spans="2:7" s="305" customFormat="1" ht="21.95" customHeight="1">
      <c r="B62" s="968" t="s">
        <v>1028</v>
      </c>
      <c r="C62" s="971" t="s">
        <v>2080</v>
      </c>
      <c r="D62" s="311">
        <v>0</v>
      </c>
      <c r="E62" s="311"/>
      <c r="F62" s="306"/>
      <c r="G62" s="317"/>
    </row>
    <row r="63" spans="2:7" s="305" customFormat="1" ht="21.95" customHeight="1">
      <c r="B63" s="968" t="s">
        <v>2060</v>
      </c>
      <c r="C63" s="971" t="s">
        <v>2081</v>
      </c>
      <c r="D63" s="311">
        <v>0</v>
      </c>
      <c r="E63" s="311"/>
      <c r="F63" s="306"/>
      <c r="G63" s="317"/>
    </row>
    <row r="64" spans="2:7" s="320" customFormat="1" ht="27.95" customHeight="1">
      <c r="B64" s="972" t="s">
        <v>594</v>
      </c>
      <c r="C64" s="962" t="s">
        <v>2082</v>
      </c>
      <c r="D64" s="308">
        <f>SUM(D44:D63)</f>
        <v>-396627</v>
      </c>
      <c r="E64" s="308">
        <f>SUM(E44:E62)</f>
        <v>-73020</v>
      </c>
      <c r="F64" s="318"/>
      <c r="G64" s="319"/>
    </row>
    <row r="65" spans="2:7" s="320" customFormat="1" ht="27.95" customHeight="1">
      <c r="B65" s="973"/>
      <c r="C65" s="974"/>
      <c r="D65" s="966"/>
      <c r="E65" s="966"/>
      <c r="F65" s="318"/>
      <c r="G65" s="319"/>
    </row>
    <row r="66" spans="2:7" s="320" customFormat="1" ht="27.95" customHeight="1">
      <c r="B66" s="973"/>
      <c r="C66" s="975" t="s">
        <v>2084</v>
      </c>
      <c r="D66" s="966"/>
      <c r="E66" s="966"/>
      <c r="F66" s="318"/>
      <c r="G66" s="319"/>
    </row>
    <row r="67" spans="2:7" s="320" customFormat="1">
      <c r="B67" s="971" t="s">
        <v>666</v>
      </c>
      <c r="C67" s="971" t="s">
        <v>2085</v>
      </c>
      <c r="D67" s="314">
        <v>0</v>
      </c>
      <c r="E67" s="314">
        <f>SUM(E68:E75)</f>
        <v>0</v>
      </c>
      <c r="F67" s="318"/>
      <c r="G67" s="319"/>
    </row>
    <row r="68" spans="2:7" s="320" customFormat="1">
      <c r="B68" s="968" t="s">
        <v>1029</v>
      </c>
      <c r="C68" s="971" t="s">
        <v>2086</v>
      </c>
      <c r="D68" s="321">
        <v>0</v>
      </c>
      <c r="E68" s="321"/>
      <c r="F68" s="318"/>
      <c r="G68" s="319"/>
    </row>
    <row r="69" spans="2:7" s="320" customFormat="1">
      <c r="B69" s="968" t="s">
        <v>1030</v>
      </c>
      <c r="C69" s="971" t="s">
        <v>2087</v>
      </c>
      <c r="D69" s="321">
        <v>0</v>
      </c>
      <c r="E69" s="321"/>
      <c r="F69" s="318"/>
      <c r="G69" s="319"/>
    </row>
    <row r="70" spans="2:7" s="320" customFormat="1">
      <c r="B70" s="968" t="s">
        <v>1031</v>
      </c>
      <c r="C70" s="971" t="s">
        <v>2088</v>
      </c>
      <c r="D70" s="321">
        <v>0</v>
      </c>
      <c r="E70" s="321"/>
      <c r="F70" s="318"/>
      <c r="G70" s="319"/>
    </row>
    <row r="71" spans="2:7" s="320" customFormat="1">
      <c r="B71" s="968" t="s">
        <v>1032</v>
      </c>
      <c r="C71" s="971" t="s">
        <v>2089</v>
      </c>
      <c r="D71" s="321">
        <v>0</v>
      </c>
      <c r="E71" s="321"/>
      <c r="F71" s="318"/>
      <c r="G71" s="319"/>
    </row>
    <row r="72" spans="2:7" s="320" customFormat="1">
      <c r="B72" s="968" t="s">
        <v>1033</v>
      </c>
      <c r="C72" s="971" t="s">
        <v>2090</v>
      </c>
      <c r="D72" s="321">
        <v>0</v>
      </c>
      <c r="E72" s="321"/>
      <c r="F72" s="318"/>
      <c r="G72" s="319"/>
    </row>
    <row r="73" spans="2:7" s="320" customFormat="1">
      <c r="B73" s="968" t="s">
        <v>1034</v>
      </c>
      <c r="C73" s="971" t="s">
        <v>2091</v>
      </c>
      <c r="D73" s="321">
        <v>0</v>
      </c>
      <c r="E73" s="321"/>
      <c r="F73" s="318"/>
      <c r="G73" s="319"/>
    </row>
    <row r="74" spans="2:7" s="320" customFormat="1" ht="36">
      <c r="B74" s="968" t="s">
        <v>1035</v>
      </c>
      <c r="C74" s="971" t="s">
        <v>2092</v>
      </c>
      <c r="D74" s="321">
        <v>0</v>
      </c>
      <c r="E74" s="321"/>
      <c r="F74" s="318"/>
      <c r="G74" s="319"/>
    </row>
    <row r="75" spans="2:7" s="320" customFormat="1">
      <c r="B75" s="968" t="s">
        <v>1036</v>
      </c>
      <c r="C75" s="971" t="s">
        <v>2093</v>
      </c>
      <c r="D75" s="321">
        <v>0</v>
      </c>
      <c r="E75" s="321"/>
      <c r="F75" s="318"/>
      <c r="G75" s="319"/>
    </row>
    <row r="76" spans="2:7" s="320" customFormat="1">
      <c r="B76" s="968" t="s">
        <v>1037</v>
      </c>
      <c r="C76" s="971" t="s">
        <v>2094</v>
      </c>
      <c r="D76" s="1007">
        <f>D81</f>
        <v>1310</v>
      </c>
      <c r="E76" s="1007">
        <f>E81</f>
        <v>1517</v>
      </c>
      <c r="F76" s="318"/>
      <c r="G76" s="319"/>
    </row>
    <row r="77" spans="2:7" s="320" customFormat="1">
      <c r="B77" s="968" t="s">
        <v>1038</v>
      </c>
      <c r="C77" s="971" t="s">
        <v>2095</v>
      </c>
      <c r="D77" s="321">
        <v>0</v>
      </c>
      <c r="E77" s="321">
        <v>0</v>
      </c>
      <c r="F77" s="318"/>
      <c r="G77" s="319"/>
    </row>
    <row r="78" spans="2:7" s="320" customFormat="1">
      <c r="B78" s="968" t="s">
        <v>1039</v>
      </c>
      <c r="C78" s="971" t="s">
        <v>2096</v>
      </c>
      <c r="D78" s="321">
        <v>0</v>
      </c>
      <c r="E78" s="321">
        <v>0</v>
      </c>
      <c r="F78" s="318"/>
      <c r="G78" s="319"/>
    </row>
    <row r="79" spans="2:7" s="320" customFormat="1" ht="36">
      <c r="B79" s="968" t="s">
        <v>1040</v>
      </c>
      <c r="C79" s="971" t="s">
        <v>2097</v>
      </c>
      <c r="D79" s="321">
        <v>0</v>
      </c>
      <c r="E79" s="321">
        <v>0</v>
      </c>
      <c r="F79" s="318"/>
      <c r="G79" s="319"/>
    </row>
    <row r="80" spans="2:7" s="320" customFormat="1" ht="36">
      <c r="B80" s="968" t="s">
        <v>1041</v>
      </c>
      <c r="C80" s="971" t="s">
        <v>2098</v>
      </c>
      <c r="D80" s="321">
        <v>0</v>
      </c>
      <c r="E80" s="321">
        <v>0</v>
      </c>
      <c r="F80" s="318"/>
      <c r="G80" s="319"/>
    </row>
    <row r="81" spans="2:7" s="320" customFormat="1">
      <c r="B81" s="968" t="s">
        <v>1042</v>
      </c>
      <c r="C81" s="971" t="s">
        <v>2099</v>
      </c>
      <c r="D81" s="314">
        <v>1310</v>
      </c>
      <c r="E81" s="321">
        <v>1517</v>
      </c>
      <c r="F81" s="318"/>
      <c r="G81" s="319"/>
    </row>
    <row r="82" spans="2:7" s="320" customFormat="1">
      <c r="B82" s="968" t="s">
        <v>1043</v>
      </c>
      <c r="C82" s="971" t="s">
        <v>2100</v>
      </c>
      <c r="D82" s="321"/>
      <c r="E82" s="321"/>
      <c r="F82" s="318"/>
      <c r="G82" s="319"/>
    </row>
    <row r="83" spans="2:7" s="320" customFormat="1">
      <c r="B83" s="968" t="s">
        <v>1044</v>
      </c>
      <c r="C83" s="971" t="s">
        <v>2101</v>
      </c>
      <c r="D83" s="321">
        <v>0</v>
      </c>
      <c r="E83" s="321"/>
      <c r="F83" s="318"/>
      <c r="G83" s="319"/>
    </row>
    <row r="84" spans="2:7" s="320" customFormat="1" ht="36">
      <c r="B84" s="968" t="s">
        <v>1045</v>
      </c>
      <c r="C84" s="971" t="s">
        <v>2102</v>
      </c>
      <c r="D84" s="321">
        <v>0</v>
      </c>
      <c r="E84" s="321"/>
      <c r="F84" s="318"/>
      <c r="G84" s="319"/>
    </row>
    <row r="85" spans="2:7" s="320" customFormat="1" ht="36">
      <c r="B85" s="968" t="s">
        <v>1046</v>
      </c>
      <c r="C85" s="971" t="s">
        <v>2103</v>
      </c>
      <c r="D85" s="321">
        <v>0</v>
      </c>
      <c r="E85" s="321"/>
      <c r="F85" s="318"/>
      <c r="G85" s="319"/>
    </row>
    <row r="86" spans="2:7" s="320" customFormat="1" ht="36">
      <c r="B86" s="968" t="s">
        <v>2083</v>
      </c>
      <c r="C86" s="971" t="s">
        <v>2104</v>
      </c>
      <c r="D86" s="321">
        <v>0</v>
      </c>
      <c r="E86" s="321"/>
      <c r="F86" s="318"/>
      <c r="G86" s="319"/>
    </row>
    <row r="87" spans="2:7" s="320" customFormat="1">
      <c r="B87" s="968" t="s">
        <v>1047</v>
      </c>
      <c r="C87" s="971" t="s">
        <v>2105</v>
      </c>
      <c r="D87" s="321">
        <v>0</v>
      </c>
      <c r="E87" s="321"/>
      <c r="F87" s="318"/>
      <c r="G87" s="319"/>
    </row>
    <row r="88" spans="2:7" s="320" customFormat="1" ht="36">
      <c r="B88" s="968" t="s">
        <v>1048</v>
      </c>
      <c r="C88" s="971" t="s">
        <v>2106</v>
      </c>
      <c r="D88" s="321">
        <v>0</v>
      </c>
      <c r="E88" s="321"/>
      <c r="F88" s="318"/>
      <c r="G88" s="319"/>
    </row>
    <row r="89" spans="2:7" s="320" customFormat="1" ht="36">
      <c r="B89" s="968" t="s">
        <v>1049</v>
      </c>
      <c r="C89" s="971" t="s">
        <v>2107</v>
      </c>
      <c r="D89" s="321">
        <v>0</v>
      </c>
      <c r="E89" s="321"/>
      <c r="F89" s="318"/>
      <c r="G89" s="319"/>
    </row>
    <row r="90" spans="2:7" s="320" customFormat="1" ht="36">
      <c r="B90" s="968" t="s">
        <v>1050</v>
      </c>
      <c r="C90" s="971" t="s">
        <v>2108</v>
      </c>
      <c r="D90" s="321">
        <v>0</v>
      </c>
      <c r="E90" s="321"/>
      <c r="F90" s="318"/>
      <c r="G90" s="319"/>
    </row>
    <row r="91" spans="2:7" s="320" customFormat="1">
      <c r="B91" s="968" t="s">
        <v>1051</v>
      </c>
      <c r="C91" s="971" t="s">
        <v>2109</v>
      </c>
      <c r="D91" s="321">
        <v>0</v>
      </c>
      <c r="E91" s="321"/>
      <c r="F91" s="318"/>
      <c r="G91" s="319"/>
    </row>
    <row r="92" spans="2:7" s="320" customFormat="1">
      <c r="B92" s="968" t="s">
        <v>1052</v>
      </c>
      <c r="C92" s="971" t="s">
        <v>2110</v>
      </c>
      <c r="D92" s="321">
        <v>0</v>
      </c>
      <c r="E92" s="321"/>
      <c r="F92" s="318"/>
      <c r="G92" s="319"/>
    </row>
    <row r="93" spans="2:7" s="320" customFormat="1">
      <c r="B93" s="968" t="s">
        <v>1053</v>
      </c>
      <c r="C93" s="971" t="s">
        <v>2111</v>
      </c>
      <c r="D93" s="321">
        <v>0</v>
      </c>
      <c r="E93" s="321"/>
      <c r="F93" s="318"/>
      <c r="G93" s="319"/>
    </row>
    <row r="94" spans="2:7" s="320" customFormat="1">
      <c r="B94" s="972" t="s">
        <v>663</v>
      </c>
      <c r="C94" s="976" t="s">
        <v>1054</v>
      </c>
      <c r="D94" s="308">
        <f>D67+D76+SUM(D87:D93)</f>
        <v>1310</v>
      </c>
      <c r="E94" s="308">
        <f>E67+E76+SUM(E87:E93)</f>
        <v>1517</v>
      </c>
      <c r="F94" s="318"/>
      <c r="G94" s="319"/>
    </row>
    <row r="95" spans="2:7" s="320" customFormat="1">
      <c r="B95" s="967"/>
      <c r="C95" s="973"/>
      <c r="D95" s="966"/>
      <c r="E95" s="966"/>
      <c r="F95" s="318"/>
      <c r="G95" s="319"/>
    </row>
    <row r="96" spans="2:7" s="305" customFormat="1" ht="36">
      <c r="B96" s="972" t="s">
        <v>853</v>
      </c>
      <c r="C96" s="976" t="s">
        <v>2112</v>
      </c>
      <c r="D96" s="308">
        <f>D41+D64+D94</f>
        <v>-468397</v>
      </c>
      <c r="E96" s="308">
        <f>E41+E64+E94</f>
        <v>206351</v>
      </c>
      <c r="F96" s="306"/>
      <c r="G96" s="317"/>
    </row>
    <row r="97" spans="2:7" s="320" customFormat="1">
      <c r="B97" s="972" t="s">
        <v>856</v>
      </c>
      <c r="C97" s="976" t="s">
        <v>2113</v>
      </c>
      <c r="D97" s="308">
        <f>BS!G80</f>
        <v>768310</v>
      </c>
      <c r="E97" s="308">
        <v>561959</v>
      </c>
      <c r="F97" s="318"/>
      <c r="G97" s="319"/>
    </row>
    <row r="98" spans="2:7" s="320" customFormat="1" ht="36">
      <c r="B98" s="972" t="s">
        <v>862</v>
      </c>
      <c r="C98" s="976" t="s">
        <v>2114</v>
      </c>
      <c r="D98" s="308">
        <f>BS!F80</f>
        <v>299913</v>
      </c>
      <c r="E98" s="308">
        <f>BS!G80</f>
        <v>768310</v>
      </c>
      <c r="F98" s="318"/>
      <c r="G98" s="319"/>
    </row>
    <row r="99" spans="2:7" s="305" customFormat="1" ht="36">
      <c r="B99" s="972" t="s">
        <v>865</v>
      </c>
      <c r="C99" s="978" t="s">
        <v>2115</v>
      </c>
      <c r="D99" s="1018"/>
      <c r="E99" s="1018"/>
      <c r="F99" s="306"/>
      <c r="G99" s="317"/>
    </row>
    <row r="100" spans="2:7" s="320" customFormat="1" ht="36.75" thickBot="1">
      <c r="B100" s="977" t="s">
        <v>871</v>
      </c>
      <c r="C100" s="979" t="s">
        <v>2116</v>
      </c>
      <c r="D100" s="1509">
        <f>D96+D97+D99</f>
        <v>299913</v>
      </c>
      <c r="E100" s="1509">
        <f>E96+E97+E99</f>
        <v>768310</v>
      </c>
      <c r="F100" s="318"/>
      <c r="G100" s="319"/>
    </row>
    <row r="101" spans="2:7" s="305" customFormat="1" ht="21.75" customHeight="1">
      <c r="B101" s="306"/>
      <c r="C101" s="322"/>
      <c r="D101" s="323"/>
      <c r="E101" s="324"/>
      <c r="F101" s="306"/>
      <c r="G101" s="317"/>
    </row>
    <row r="102" spans="2:7" s="305" customFormat="1" ht="14.1" customHeight="1">
      <c r="B102" s="306"/>
      <c r="C102" s="306"/>
      <c r="D102" s="323"/>
      <c r="E102" s="324"/>
      <c r="F102" s="306"/>
      <c r="G102" s="317"/>
    </row>
    <row r="103" spans="2:7" s="305" customFormat="1" ht="14.1" customHeight="1">
      <c r="B103" s="325"/>
      <c r="C103" s="326"/>
      <c r="D103" s="327"/>
      <c r="E103" s="328"/>
      <c r="F103" s="306"/>
      <c r="G103" s="317"/>
    </row>
    <row r="104" spans="2:7" s="305" customFormat="1" ht="14.1" hidden="1" customHeight="1">
      <c r="B104" s="325"/>
      <c r="C104" s="326"/>
      <c r="D104" s="327"/>
      <c r="E104" s="328"/>
      <c r="F104" s="306"/>
      <c r="G104" s="317"/>
    </row>
    <row r="105" spans="2:7" s="305" customFormat="1" ht="14.1" hidden="1" customHeight="1">
      <c r="B105" s="325"/>
      <c r="C105" s="326"/>
      <c r="D105" s="327"/>
      <c r="E105" s="328"/>
      <c r="F105" s="306"/>
      <c r="G105" s="317"/>
    </row>
    <row r="106" spans="2:7" s="305" customFormat="1" ht="20.25" hidden="1" customHeight="1">
      <c r="B106" s="325"/>
      <c r="C106" s="329" t="s">
        <v>1055</v>
      </c>
      <c r="D106" s="330">
        <f>D98-D100</f>
        <v>0</v>
      </c>
      <c r="E106" s="330">
        <f>E98-E100</f>
        <v>0</v>
      </c>
      <c r="F106" s="306"/>
      <c r="G106" s="317"/>
    </row>
    <row r="107" spans="2:7" s="305" customFormat="1" ht="14.1" hidden="1" customHeight="1">
      <c r="B107" s="325"/>
      <c r="C107" s="326"/>
      <c r="D107" s="327"/>
      <c r="E107" s="328"/>
      <c r="F107" s="306"/>
      <c r="G107" s="317"/>
    </row>
    <row r="108" spans="2:7" s="305" customFormat="1" ht="14.1" hidden="1" customHeight="1">
      <c r="B108" s="325"/>
      <c r="C108" s="326"/>
      <c r="D108" s="327"/>
      <c r="E108" s="328"/>
      <c r="F108" s="306"/>
      <c r="G108" s="317"/>
    </row>
    <row r="109" spans="2:7" s="305" customFormat="1" ht="14.1" customHeight="1">
      <c r="B109" s="325"/>
      <c r="C109" s="326"/>
      <c r="D109" s="327"/>
      <c r="E109" s="328"/>
      <c r="F109" s="306"/>
      <c r="G109" s="317"/>
    </row>
    <row r="110" spans="2:7" s="305" customFormat="1" ht="14.1" customHeight="1">
      <c r="B110" s="325"/>
      <c r="C110" s="326"/>
      <c r="D110" s="327"/>
      <c r="E110" s="328"/>
      <c r="F110" s="306"/>
      <c r="G110" s="317"/>
    </row>
    <row r="111" spans="2:7" s="305" customFormat="1" ht="14.1" customHeight="1">
      <c r="B111" s="325"/>
      <c r="C111" s="326"/>
      <c r="D111" s="327"/>
      <c r="E111" s="328"/>
      <c r="F111" s="306"/>
      <c r="G111" s="317"/>
    </row>
    <row r="112" spans="2:7" s="305" customFormat="1" ht="14.1" customHeight="1">
      <c r="B112" s="325"/>
      <c r="C112" s="326"/>
      <c r="D112" s="327"/>
      <c r="E112" s="328"/>
      <c r="F112" s="306"/>
      <c r="G112" s="317"/>
    </row>
    <row r="113" spans="2:7" s="305" customFormat="1" ht="14.1" customHeight="1">
      <c r="B113" s="325"/>
      <c r="C113" s="326"/>
      <c r="D113" s="327"/>
      <c r="E113" s="328"/>
      <c r="F113" s="306"/>
      <c r="G113" s="317"/>
    </row>
    <row r="114" spans="2:7" s="305" customFormat="1" ht="14.1" customHeight="1">
      <c r="B114" s="325"/>
      <c r="C114" s="326"/>
      <c r="D114" s="327"/>
      <c r="E114" s="328"/>
      <c r="F114" s="306"/>
      <c r="G114" s="317"/>
    </row>
    <row r="115" spans="2:7" s="305" customFormat="1" ht="14.1" customHeight="1">
      <c r="B115" s="325"/>
      <c r="C115" s="326"/>
      <c r="D115" s="327"/>
      <c r="E115" s="328"/>
      <c r="F115" s="306"/>
      <c r="G115" s="317"/>
    </row>
    <row r="116" spans="2:7" s="305" customFormat="1" ht="14.1" customHeight="1">
      <c r="B116" s="325"/>
      <c r="C116" s="326"/>
      <c r="D116" s="327"/>
      <c r="E116" s="328"/>
      <c r="F116" s="306"/>
      <c r="G116" s="317"/>
    </row>
    <row r="117" spans="2:7" s="305" customFormat="1" ht="14.1" customHeight="1">
      <c r="B117" s="325"/>
      <c r="C117" s="326"/>
      <c r="D117" s="327"/>
      <c r="E117" s="328"/>
      <c r="F117" s="306"/>
      <c r="G117" s="317"/>
    </row>
    <row r="118" spans="2:7" s="305" customFormat="1" ht="14.1" customHeight="1">
      <c r="B118" s="325"/>
      <c r="C118" s="326"/>
      <c r="D118" s="327"/>
      <c r="E118" s="328"/>
      <c r="F118" s="306"/>
      <c r="G118" s="317"/>
    </row>
    <row r="119" spans="2:7" s="305" customFormat="1" ht="14.1" customHeight="1">
      <c r="B119" s="325"/>
      <c r="C119" s="326"/>
      <c r="D119" s="327"/>
      <c r="E119" s="328"/>
      <c r="F119" s="306"/>
      <c r="G119" s="317"/>
    </row>
    <row r="120" spans="2:7" s="305" customFormat="1" ht="14.1" customHeight="1">
      <c r="B120" s="325"/>
      <c r="C120" s="326"/>
      <c r="D120" s="327"/>
      <c r="E120" s="328"/>
      <c r="F120" s="306"/>
      <c r="G120" s="317"/>
    </row>
    <row r="121" spans="2:7" s="305" customFormat="1" ht="14.1" customHeight="1">
      <c r="B121" s="325"/>
      <c r="C121" s="326"/>
      <c r="D121" s="327"/>
      <c r="E121" s="328"/>
      <c r="F121" s="306"/>
      <c r="G121" s="317"/>
    </row>
    <row r="122" spans="2:7" s="305" customFormat="1" ht="14.1" customHeight="1">
      <c r="B122" s="325"/>
      <c r="C122" s="326"/>
      <c r="D122" s="327"/>
      <c r="E122" s="328"/>
      <c r="F122" s="306"/>
      <c r="G122" s="317"/>
    </row>
    <row r="123" spans="2:7" s="305" customFormat="1" ht="14.1" customHeight="1">
      <c r="B123" s="2404"/>
      <c r="C123" s="2404"/>
      <c r="D123" s="2404"/>
      <c r="E123" s="2404"/>
      <c r="F123" s="306"/>
      <c r="G123" s="317"/>
    </row>
    <row r="124" spans="2:7">
      <c r="B124" s="331"/>
      <c r="C124" s="332"/>
      <c r="D124" s="328"/>
      <c r="E124" s="328"/>
      <c r="F124" s="333"/>
      <c r="G124" s="317"/>
    </row>
    <row r="125" spans="2:7">
      <c r="B125" s="331"/>
      <c r="C125" s="332"/>
      <c r="D125" s="328"/>
      <c r="E125" s="328"/>
      <c r="F125" s="333"/>
      <c r="G125" s="317"/>
    </row>
    <row r="126" spans="2:7">
      <c r="B126" s="331"/>
      <c r="C126" s="332"/>
      <c r="D126" s="328"/>
      <c r="E126" s="328"/>
      <c r="F126" s="333"/>
      <c r="G126" s="317"/>
    </row>
    <row r="127" spans="2:7">
      <c r="B127" s="331"/>
      <c r="C127" s="332"/>
      <c r="D127" s="328"/>
      <c r="E127" s="328"/>
      <c r="F127" s="333"/>
      <c r="G127" s="317"/>
    </row>
    <row r="128" spans="2:7">
      <c r="B128" s="331"/>
      <c r="C128" s="332"/>
      <c r="D128" s="328"/>
      <c r="E128" s="328"/>
      <c r="F128" s="333"/>
      <c r="G128" s="317"/>
    </row>
    <row r="129" spans="2:7">
      <c r="B129" s="331"/>
      <c r="C129" s="332"/>
      <c r="D129" s="328"/>
      <c r="E129" s="328"/>
      <c r="F129" s="333"/>
      <c r="G129" s="317"/>
    </row>
    <row r="130" spans="2:7">
      <c r="B130" s="331"/>
      <c r="C130" s="332"/>
      <c r="D130" s="328"/>
      <c r="E130" s="328"/>
      <c r="F130" s="333"/>
      <c r="G130" s="317"/>
    </row>
    <row r="131" spans="2:7">
      <c r="B131" s="331"/>
      <c r="C131" s="332"/>
      <c r="D131" s="328"/>
      <c r="E131" s="328"/>
      <c r="F131" s="333"/>
      <c r="G131" s="317"/>
    </row>
    <row r="132" spans="2:7">
      <c r="B132" s="331"/>
      <c r="C132" s="332"/>
      <c r="D132" s="328"/>
      <c r="E132" s="328"/>
      <c r="F132" s="333"/>
      <c r="G132" s="317"/>
    </row>
    <row r="133" spans="2:7">
      <c r="B133" s="331"/>
      <c r="C133" s="332"/>
      <c r="D133" s="328"/>
      <c r="E133" s="328"/>
      <c r="F133" s="331"/>
      <c r="G133" s="317"/>
    </row>
    <row r="134" spans="2:7">
      <c r="B134" s="331"/>
      <c r="C134" s="332"/>
      <c r="D134" s="328"/>
      <c r="E134" s="328"/>
      <c r="F134" s="331"/>
      <c r="G134" s="317"/>
    </row>
    <row r="135" spans="2:7">
      <c r="B135" s="331"/>
      <c r="C135" s="332"/>
      <c r="D135" s="328"/>
      <c r="E135" s="328"/>
      <c r="F135" s="331"/>
      <c r="G135" s="317"/>
    </row>
    <row r="136" spans="2:7">
      <c r="B136" s="331"/>
      <c r="C136" s="332"/>
      <c r="D136" s="328"/>
      <c r="E136" s="328"/>
      <c r="F136" s="331"/>
      <c r="G136" s="317"/>
    </row>
    <row r="137" spans="2:7">
      <c r="B137" s="331"/>
      <c r="C137" s="332"/>
      <c r="D137" s="328"/>
      <c r="E137" s="328"/>
      <c r="F137" s="331"/>
      <c r="G137" s="317"/>
    </row>
    <row r="138" spans="2:7">
      <c r="B138" s="331"/>
      <c r="C138" s="332"/>
      <c r="D138" s="328"/>
      <c r="E138" s="328"/>
      <c r="F138" s="331"/>
      <c r="G138" s="317"/>
    </row>
    <row r="139" spans="2:7">
      <c r="B139" s="331"/>
      <c r="C139" s="332"/>
      <c r="D139" s="328"/>
      <c r="E139" s="328"/>
      <c r="F139" s="331"/>
      <c r="G139" s="317"/>
    </row>
    <row r="140" spans="2:7">
      <c r="B140" s="331"/>
      <c r="C140" s="332"/>
      <c r="D140" s="328"/>
      <c r="E140" s="328"/>
      <c r="F140" s="331"/>
      <c r="G140" s="317"/>
    </row>
    <row r="141" spans="2:7">
      <c r="B141" s="331"/>
      <c r="C141" s="332"/>
      <c r="D141" s="328"/>
      <c r="E141" s="328"/>
      <c r="F141" s="331"/>
      <c r="G141" s="317"/>
    </row>
    <row r="142" spans="2:7">
      <c r="B142" s="331"/>
      <c r="C142" s="332"/>
      <c r="D142" s="328"/>
      <c r="E142" s="328"/>
      <c r="F142" s="331"/>
      <c r="G142" s="317"/>
    </row>
    <row r="143" spans="2:7">
      <c r="B143" s="331"/>
      <c r="C143" s="332"/>
      <c r="D143" s="328"/>
      <c r="E143" s="328"/>
      <c r="F143" s="331"/>
      <c r="G143" s="317"/>
    </row>
    <row r="144" spans="2:7">
      <c r="B144" s="331"/>
      <c r="C144" s="332"/>
      <c r="D144" s="328"/>
      <c r="E144" s="328"/>
      <c r="F144" s="331"/>
      <c r="G144" s="317"/>
    </row>
    <row r="145" spans="2:7">
      <c r="B145" s="331"/>
      <c r="C145" s="332"/>
      <c r="D145" s="328"/>
      <c r="E145" s="328"/>
      <c r="F145" s="331"/>
      <c r="G145" s="317"/>
    </row>
    <row r="146" spans="2:7">
      <c r="B146" s="331"/>
      <c r="C146" s="332"/>
      <c r="D146" s="328"/>
      <c r="E146" s="328"/>
      <c r="F146" s="331"/>
      <c r="G146" s="317"/>
    </row>
    <row r="147" spans="2:7">
      <c r="B147" s="331"/>
      <c r="C147" s="332"/>
      <c r="D147" s="328"/>
      <c r="E147" s="328"/>
      <c r="F147" s="331"/>
      <c r="G147" s="317"/>
    </row>
    <row r="148" spans="2:7">
      <c r="B148" s="331"/>
      <c r="C148" s="332"/>
      <c r="D148" s="328"/>
      <c r="E148" s="328"/>
      <c r="F148" s="331"/>
      <c r="G148" s="317"/>
    </row>
    <row r="149" spans="2:7">
      <c r="B149" s="331"/>
      <c r="C149" s="332"/>
      <c r="D149" s="328"/>
      <c r="E149" s="328"/>
      <c r="F149" s="331"/>
      <c r="G149" s="317"/>
    </row>
    <row r="150" spans="2:7">
      <c r="B150" s="331"/>
      <c r="C150" s="332"/>
      <c r="D150" s="328"/>
      <c r="E150" s="328"/>
      <c r="F150" s="331"/>
      <c r="G150" s="317"/>
    </row>
    <row r="151" spans="2:7">
      <c r="B151" s="331"/>
      <c r="C151" s="332"/>
      <c r="D151" s="328"/>
      <c r="E151" s="328"/>
      <c r="F151" s="331"/>
      <c r="G151" s="317"/>
    </row>
    <row r="152" spans="2:7">
      <c r="B152" s="331"/>
      <c r="C152" s="332"/>
      <c r="D152" s="328"/>
      <c r="E152" s="328"/>
      <c r="F152" s="331"/>
      <c r="G152" s="317"/>
    </row>
    <row r="153" spans="2:7">
      <c r="B153" s="331"/>
      <c r="C153" s="332"/>
      <c r="D153" s="328"/>
      <c r="E153" s="328"/>
      <c r="F153" s="331"/>
      <c r="G153" s="317"/>
    </row>
    <row r="154" spans="2:7">
      <c r="B154" s="331"/>
      <c r="C154" s="332"/>
      <c r="D154" s="328"/>
      <c r="E154" s="328"/>
      <c r="F154" s="331"/>
      <c r="G154" s="317"/>
    </row>
    <row r="155" spans="2:7">
      <c r="B155" s="331"/>
      <c r="C155" s="332"/>
      <c r="D155" s="328"/>
      <c r="E155" s="328"/>
      <c r="F155" s="331"/>
      <c r="G155" s="317"/>
    </row>
    <row r="156" spans="2:7">
      <c r="B156" s="331"/>
      <c r="C156" s="332"/>
      <c r="D156" s="328"/>
      <c r="E156" s="328"/>
      <c r="F156" s="331"/>
      <c r="G156" s="317"/>
    </row>
    <row r="157" spans="2:7">
      <c r="B157" s="331"/>
      <c r="C157" s="332"/>
      <c r="D157" s="328"/>
      <c r="E157" s="328"/>
      <c r="F157" s="331"/>
      <c r="G157" s="317"/>
    </row>
    <row r="158" spans="2:7">
      <c r="B158" s="331"/>
      <c r="C158" s="332"/>
      <c r="D158" s="328"/>
      <c r="E158" s="328"/>
      <c r="F158" s="331"/>
      <c r="G158" s="317"/>
    </row>
    <row r="159" spans="2:7">
      <c r="B159" s="331"/>
      <c r="C159" s="332"/>
      <c r="D159" s="328"/>
      <c r="E159" s="328"/>
      <c r="F159" s="331"/>
      <c r="G159" s="317"/>
    </row>
    <row r="160" spans="2:7">
      <c r="B160" s="331"/>
      <c r="C160" s="332"/>
      <c r="D160" s="328"/>
      <c r="E160" s="328"/>
      <c r="F160" s="331"/>
      <c r="G160" s="317"/>
    </row>
    <row r="161" spans="2:7">
      <c r="B161" s="331"/>
      <c r="C161" s="332"/>
      <c r="D161" s="328"/>
      <c r="E161" s="328"/>
      <c r="F161" s="331"/>
      <c r="G161" s="317"/>
    </row>
    <row r="162" spans="2:7">
      <c r="B162" s="331"/>
      <c r="C162" s="332"/>
      <c r="D162" s="328"/>
      <c r="E162" s="328"/>
      <c r="F162" s="331"/>
      <c r="G162" s="317"/>
    </row>
    <row r="163" spans="2:7">
      <c r="B163" s="331"/>
      <c r="C163" s="332"/>
      <c r="D163" s="328"/>
      <c r="E163" s="328"/>
      <c r="F163" s="331"/>
      <c r="G163" s="317"/>
    </row>
    <row r="164" spans="2:7">
      <c r="B164" s="331"/>
      <c r="C164" s="332"/>
      <c r="D164" s="328"/>
      <c r="E164" s="328"/>
      <c r="F164" s="331"/>
      <c r="G164" s="317"/>
    </row>
    <row r="165" spans="2:7">
      <c r="B165" s="331"/>
      <c r="C165" s="332"/>
      <c r="D165" s="328"/>
      <c r="E165" s="328"/>
      <c r="F165" s="331"/>
      <c r="G165" s="317"/>
    </row>
    <row r="166" spans="2:7">
      <c r="B166" s="331"/>
      <c r="C166" s="332"/>
      <c r="D166" s="328"/>
      <c r="E166" s="328"/>
      <c r="F166" s="331"/>
      <c r="G166" s="317"/>
    </row>
    <row r="167" spans="2:7">
      <c r="B167" s="331"/>
      <c r="C167" s="332"/>
      <c r="D167" s="328"/>
      <c r="E167" s="328"/>
      <c r="F167" s="331"/>
      <c r="G167" s="317"/>
    </row>
    <row r="168" spans="2:7">
      <c r="B168" s="331"/>
      <c r="C168" s="332"/>
      <c r="D168" s="328"/>
      <c r="E168" s="328"/>
      <c r="F168" s="331"/>
      <c r="G168" s="317"/>
    </row>
    <row r="169" spans="2:7">
      <c r="B169" s="331"/>
      <c r="C169" s="332"/>
      <c r="D169" s="328"/>
      <c r="E169" s="328"/>
      <c r="F169" s="331"/>
      <c r="G169" s="317"/>
    </row>
    <row r="170" spans="2:7">
      <c r="B170" s="331"/>
      <c r="C170" s="332"/>
      <c r="D170" s="328"/>
      <c r="E170" s="328"/>
      <c r="F170" s="331"/>
      <c r="G170" s="317"/>
    </row>
    <row r="171" spans="2:7">
      <c r="B171" s="331"/>
      <c r="C171" s="332"/>
      <c r="D171" s="328"/>
      <c r="E171" s="328"/>
      <c r="F171" s="331"/>
      <c r="G171" s="317"/>
    </row>
    <row r="172" spans="2:7">
      <c r="B172" s="331"/>
      <c r="C172" s="332"/>
      <c r="D172" s="328"/>
      <c r="E172" s="328"/>
      <c r="F172" s="331"/>
      <c r="G172" s="317"/>
    </row>
    <row r="173" spans="2:7">
      <c r="B173" s="331"/>
      <c r="C173" s="332"/>
      <c r="D173" s="328"/>
      <c r="E173" s="328"/>
      <c r="F173" s="331"/>
      <c r="G173" s="317"/>
    </row>
    <row r="174" spans="2:7">
      <c r="B174" s="331"/>
      <c r="C174" s="332"/>
      <c r="D174" s="328"/>
      <c r="E174" s="328"/>
      <c r="F174" s="331"/>
      <c r="G174" s="317"/>
    </row>
    <row r="175" spans="2:7">
      <c r="B175" s="331"/>
      <c r="C175" s="332"/>
      <c r="D175" s="328"/>
      <c r="E175" s="328"/>
      <c r="F175" s="331"/>
      <c r="G175" s="317"/>
    </row>
    <row r="176" spans="2:7">
      <c r="B176" s="331"/>
      <c r="C176" s="332"/>
      <c r="D176" s="328"/>
      <c r="E176" s="328"/>
      <c r="F176" s="331"/>
      <c r="G176" s="317"/>
    </row>
    <row r="177" spans="2:7">
      <c r="B177" s="331"/>
      <c r="C177" s="332"/>
      <c r="D177" s="328"/>
      <c r="E177" s="328"/>
      <c r="F177" s="331"/>
      <c r="G177" s="317"/>
    </row>
    <row r="178" spans="2:7">
      <c r="B178" s="331"/>
      <c r="C178" s="332"/>
      <c r="D178" s="328"/>
      <c r="E178" s="328"/>
      <c r="F178" s="331"/>
      <c r="G178" s="317"/>
    </row>
    <row r="179" spans="2:7">
      <c r="B179" s="331"/>
      <c r="C179" s="332"/>
      <c r="D179" s="328"/>
      <c r="E179" s="328"/>
      <c r="F179" s="331"/>
      <c r="G179" s="317"/>
    </row>
    <row r="180" spans="2:7">
      <c r="B180" s="331"/>
      <c r="C180" s="332"/>
      <c r="D180" s="328"/>
      <c r="E180" s="328"/>
      <c r="F180" s="331"/>
      <c r="G180" s="317"/>
    </row>
    <row r="181" spans="2:7">
      <c r="B181" s="331"/>
      <c r="C181" s="332"/>
      <c r="D181" s="328"/>
      <c r="E181" s="328"/>
      <c r="F181" s="331"/>
      <c r="G181" s="317"/>
    </row>
    <row r="182" spans="2:7">
      <c r="B182" s="331"/>
      <c r="C182" s="332"/>
      <c r="D182" s="328"/>
      <c r="E182" s="328"/>
      <c r="F182" s="331"/>
      <c r="G182" s="317"/>
    </row>
    <row r="183" spans="2:7">
      <c r="B183" s="331"/>
      <c r="C183" s="332"/>
      <c r="D183" s="328"/>
      <c r="E183" s="328"/>
      <c r="F183" s="331"/>
      <c r="G183" s="317"/>
    </row>
    <row r="184" spans="2:7">
      <c r="B184" s="331"/>
      <c r="C184" s="332"/>
      <c r="D184" s="328"/>
      <c r="E184" s="328"/>
      <c r="F184" s="331"/>
      <c r="G184" s="317"/>
    </row>
    <row r="185" spans="2:7">
      <c r="B185" s="331"/>
      <c r="C185" s="332"/>
      <c r="D185" s="328"/>
      <c r="E185" s="328"/>
      <c r="F185" s="331"/>
      <c r="G185" s="317"/>
    </row>
    <row r="186" spans="2:7">
      <c r="B186" s="331"/>
      <c r="C186" s="332"/>
      <c r="D186" s="328"/>
      <c r="E186" s="328"/>
      <c r="F186" s="331"/>
      <c r="G186" s="317"/>
    </row>
    <row r="187" spans="2:7">
      <c r="B187" s="331"/>
      <c r="C187" s="332"/>
      <c r="D187" s="328"/>
      <c r="E187" s="328"/>
      <c r="F187" s="331"/>
      <c r="G187" s="317"/>
    </row>
    <row r="188" spans="2:7">
      <c r="B188" s="331"/>
      <c r="C188" s="332"/>
      <c r="D188" s="328"/>
      <c r="E188" s="328"/>
      <c r="F188" s="331"/>
      <c r="G188" s="317"/>
    </row>
    <row r="189" spans="2:7">
      <c r="B189" s="331"/>
      <c r="C189" s="332"/>
      <c r="D189" s="328"/>
      <c r="E189" s="328"/>
      <c r="F189" s="331"/>
      <c r="G189" s="317"/>
    </row>
    <row r="190" spans="2:7">
      <c r="B190" s="331"/>
      <c r="C190" s="332"/>
      <c r="D190" s="328"/>
      <c r="E190" s="328"/>
      <c r="F190" s="331"/>
      <c r="G190" s="317"/>
    </row>
    <row r="191" spans="2:7">
      <c r="B191" s="331"/>
      <c r="C191" s="332"/>
      <c r="D191" s="328"/>
      <c r="E191" s="328"/>
      <c r="F191" s="331"/>
      <c r="G191" s="317"/>
    </row>
    <row r="192" spans="2:7">
      <c r="B192" s="331"/>
      <c r="C192" s="332"/>
      <c r="D192" s="328"/>
      <c r="E192" s="328"/>
      <c r="F192" s="331"/>
      <c r="G192" s="317"/>
    </row>
    <row r="193" spans="2:7">
      <c r="B193" s="331"/>
      <c r="C193" s="332"/>
      <c r="D193" s="328"/>
      <c r="E193" s="328"/>
      <c r="F193" s="331"/>
      <c r="G193" s="317"/>
    </row>
    <row r="194" spans="2:7">
      <c r="B194" s="331"/>
      <c r="C194" s="332"/>
      <c r="D194" s="328"/>
      <c r="E194" s="328"/>
      <c r="F194" s="331"/>
      <c r="G194" s="317"/>
    </row>
    <row r="195" spans="2:7">
      <c r="B195" s="331"/>
      <c r="C195" s="332"/>
      <c r="D195" s="328"/>
      <c r="E195" s="328"/>
      <c r="F195" s="331"/>
      <c r="G195" s="317"/>
    </row>
    <row r="196" spans="2:7">
      <c r="B196" s="331"/>
      <c r="C196" s="332"/>
      <c r="D196" s="328"/>
      <c r="E196" s="328"/>
      <c r="F196" s="331"/>
      <c r="G196" s="317"/>
    </row>
    <row r="197" spans="2:7">
      <c r="B197" s="331"/>
      <c r="C197" s="332"/>
      <c r="D197" s="328"/>
      <c r="E197" s="328"/>
      <c r="F197" s="331"/>
      <c r="G197" s="317"/>
    </row>
    <row r="198" spans="2:7">
      <c r="B198" s="331"/>
      <c r="C198" s="332"/>
      <c r="D198" s="328"/>
      <c r="E198" s="328"/>
      <c r="F198" s="331"/>
      <c r="G198" s="317"/>
    </row>
    <row r="199" spans="2:7">
      <c r="B199" s="331"/>
      <c r="C199" s="332"/>
      <c r="D199" s="328"/>
      <c r="E199" s="328"/>
      <c r="F199" s="331"/>
      <c r="G199" s="317"/>
    </row>
    <row r="200" spans="2:7">
      <c r="B200" s="331"/>
      <c r="C200" s="332"/>
      <c r="D200" s="328"/>
      <c r="E200" s="328"/>
      <c r="F200" s="331"/>
      <c r="G200" s="317"/>
    </row>
    <row r="201" spans="2:7">
      <c r="B201" s="331"/>
      <c r="C201" s="332"/>
      <c r="D201" s="328"/>
      <c r="E201" s="328"/>
      <c r="F201" s="331"/>
      <c r="G201" s="317"/>
    </row>
    <row r="202" spans="2:7">
      <c r="B202" s="331"/>
      <c r="C202" s="332"/>
      <c r="D202" s="328"/>
      <c r="E202" s="328"/>
      <c r="F202" s="331"/>
      <c r="G202" s="317"/>
    </row>
    <row r="203" spans="2:7">
      <c r="B203" s="331"/>
      <c r="C203" s="332"/>
      <c r="D203" s="328"/>
      <c r="E203" s="328"/>
      <c r="F203" s="331"/>
      <c r="G203" s="317"/>
    </row>
    <row r="204" spans="2:7">
      <c r="B204" s="331"/>
      <c r="C204" s="332"/>
      <c r="D204" s="328"/>
      <c r="E204" s="328"/>
      <c r="F204" s="331"/>
      <c r="G204" s="317"/>
    </row>
    <row r="205" spans="2:7">
      <c r="B205" s="331"/>
      <c r="C205" s="332"/>
      <c r="D205" s="328"/>
      <c r="E205" s="328"/>
      <c r="F205" s="331"/>
      <c r="G205" s="317"/>
    </row>
    <row r="206" spans="2:7">
      <c r="B206" s="331"/>
      <c r="C206" s="332"/>
      <c r="D206" s="328"/>
      <c r="E206" s="328"/>
      <c r="F206" s="331"/>
      <c r="G206" s="317"/>
    </row>
    <row r="207" spans="2:7">
      <c r="B207" s="331"/>
      <c r="C207" s="332"/>
      <c r="D207" s="328"/>
      <c r="E207" s="328"/>
      <c r="F207" s="331"/>
      <c r="G207" s="317"/>
    </row>
    <row r="208" spans="2:7">
      <c r="B208" s="331"/>
      <c r="C208" s="332"/>
      <c r="D208" s="328"/>
      <c r="E208" s="328"/>
      <c r="F208" s="331"/>
      <c r="G208" s="317"/>
    </row>
  </sheetData>
  <mergeCells count="4">
    <mergeCell ref="B123:E123"/>
    <mergeCell ref="B7:B9"/>
    <mergeCell ref="C7:C9"/>
    <mergeCell ref="D7:E7"/>
  </mergeCells>
  <pageMargins left="0.39370078740157483" right="0.27559055118110237" top="0.74803149606299213" bottom="0.47244094488188981" header="0.11811023622047245" footer="0.51181102362204722"/>
  <pageSetup paperSize="9" scale="44" fitToHeight="2" orientation="portrait" r:id="rId1"/>
  <headerFooter alignWithMargins="0"/>
  <rowBreaks count="1" manualBreakCount="1">
    <brk id="64" max="6" man="1"/>
  </rowBreaks>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outlinePr summaryBelow="0" summaryRight="0"/>
  </sheetPr>
  <dimension ref="A1:AK54"/>
  <sheetViews>
    <sheetView showGridLines="0" view="pageBreakPreview" topLeftCell="A26" zoomScaleNormal="100" zoomScaleSheetLayoutView="100" workbookViewId="0">
      <selection activeCell="W41" sqref="W41:AK42"/>
    </sheetView>
  </sheetViews>
  <sheetFormatPr defaultColWidth="9.140625" defaultRowHeight="12.75"/>
  <cols>
    <col min="1" max="37" width="2.5703125" style="1274" customWidth="1"/>
    <col min="38" max="38" width="1.85546875" style="1274" customWidth="1"/>
    <col min="39" max="45" width="2.5703125" style="1274" customWidth="1"/>
    <col min="46" max="46" width="7.7109375" style="1274" customWidth="1"/>
    <col min="47" max="61" width="2.5703125" style="1274" customWidth="1"/>
    <col min="62" max="16384" width="9.140625" style="1274"/>
  </cols>
  <sheetData>
    <row r="1" spans="1:37" s="500" customFormat="1" ht="9.75">
      <c r="C1" s="501" t="s">
        <v>2225</v>
      </c>
    </row>
    <row r="2" spans="1:37" s="397" customFormat="1" ht="21" customHeight="1">
      <c r="C2" s="499" t="s">
        <v>2226</v>
      </c>
      <c r="D2" s="498"/>
      <c r="E2" s="498"/>
      <c r="F2" s="498"/>
      <c r="G2" s="498"/>
      <c r="H2" s="498"/>
      <c r="I2" s="498"/>
      <c r="J2" s="497"/>
      <c r="M2" s="496" t="s">
        <v>2637</v>
      </c>
    </row>
    <row r="3" spans="1:37" ht="13.5" thickBot="1">
      <c r="M3" s="1291" t="s">
        <v>2638</v>
      </c>
      <c r="O3" s="1275"/>
      <c r="P3" s="1275"/>
    </row>
    <row r="4" spans="1:37" ht="28.5" customHeight="1" thickBot="1">
      <c r="M4" s="1276" t="s">
        <v>1414</v>
      </c>
      <c r="N4" s="1277"/>
      <c r="O4" s="1277"/>
      <c r="P4" s="1277"/>
      <c r="Q4" s="494" t="str">
        <f>+MID('Input data'!$B$11,1,1)</f>
        <v>3</v>
      </c>
      <c r="R4" s="494" t="str">
        <f>+MID('Input data'!$B$11,2,1)</f>
        <v>1</v>
      </c>
      <c r="S4" s="494" t="s">
        <v>1063</v>
      </c>
      <c r="T4" s="494" t="str">
        <f>LEFT('Input data'!B13,1)</f>
        <v>0</v>
      </c>
      <c r="U4" s="494" t="str">
        <f>RIGHT('Input data'!B13,1)</f>
        <v>3</v>
      </c>
      <c r="V4" s="494" t="s">
        <v>1063</v>
      </c>
      <c r="W4" s="494" t="str">
        <f>+LEFT('Input data'!$B$14,1)</f>
        <v>2</v>
      </c>
      <c r="X4" s="494" t="str">
        <f>+MID('Input data'!$B$14,2,1)</f>
        <v>0</v>
      </c>
      <c r="Y4" s="494" t="str">
        <f>+MID('Input data'!$B$14,3,1)</f>
        <v>1</v>
      </c>
      <c r="Z4" s="1035" t="str">
        <f>+MID('Input data'!$B$14,4,1)</f>
        <v>8</v>
      </c>
    </row>
    <row r="5" spans="1:37" ht="6" customHeight="1" thickBot="1"/>
    <row r="6" spans="1:37" s="487" customFormat="1" ht="14.25" customHeight="1">
      <c r="A6" s="490" t="s">
        <v>2224</v>
      </c>
      <c r="B6" s="489"/>
      <c r="C6" s="489"/>
      <c r="D6" s="489"/>
      <c r="E6" s="489"/>
      <c r="F6" s="489"/>
      <c r="G6" s="489"/>
      <c r="H6" s="489"/>
      <c r="I6" s="489"/>
      <c r="J6" s="489"/>
      <c r="K6" s="489"/>
      <c r="L6" s="489"/>
      <c r="M6" s="489"/>
      <c r="N6" s="489"/>
      <c r="O6" s="489"/>
      <c r="P6" s="489"/>
      <c r="Q6" s="489"/>
      <c r="R6" s="489"/>
      <c r="S6" s="488"/>
      <c r="T6" s="489"/>
      <c r="U6" s="489"/>
      <c r="V6" s="489"/>
      <c r="W6" s="489"/>
      <c r="X6" s="489"/>
      <c r="Y6" s="489"/>
      <c r="Z6" s="489"/>
      <c r="AA6" s="489"/>
      <c r="AB6" s="489"/>
      <c r="AC6" s="489"/>
      <c r="AD6" s="489"/>
      <c r="AE6" s="489"/>
      <c r="AF6" s="489"/>
      <c r="AG6" s="489"/>
      <c r="AH6" s="489"/>
      <c r="AI6" s="489"/>
      <c r="AJ6" s="489"/>
      <c r="AK6" s="488"/>
    </row>
    <row r="7" spans="1:37" s="391" customFormat="1" ht="15" customHeight="1">
      <c r="A7" s="403" t="s">
        <v>1525</v>
      </c>
      <c r="B7" s="402"/>
      <c r="C7" s="402"/>
      <c r="D7" s="402"/>
      <c r="E7" s="402"/>
      <c r="F7" s="402"/>
      <c r="G7" s="402"/>
      <c r="H7" s="402"/>
      <c r="I7" s="402"/>
      <c r="J7" s="402"/>
      <c r="K7" s="402"/>
      <c r="L7" s="402"/>
      <c r="M7" s="402"/>
      <c r="N7" s="402"/>
      <c r="O7" s="402"/>
      <c r="P7" s="402"/>
      <c r="Q7" s="402"/>
      <c r="R7" s="402"/>
      <c r="S7" s="486"/>
      <c r="T7" s="402"/>
      <c r="U7" s="402"/>
      <c r="V7" s="402"/>
      <c r="W7" s="402"/>
      <c r="X7" s="402"/>
      <c r="Y7" s="402"/>
      <c r="Z7" s="402"/>
      <c r="AA7" s="402"/>
      <c r="AB7" s="402"/>
      <c r="AC7" s="402"/>
      <c r="AD7" s="402"/>
      <c r="AE7" s="402"/>
      <c r="AF7" s="402"/>
      <c r="AG7" s="402"/>
      <c r="AH7" s="402"/>
      <c r="AI7" s="402"/>
      <c r="AJ7" s="402"/>
      <c r="AK7" s="486"/>
    </row>
    <row r="8" spans="1:37" s="482" customFormat="1" ht="18" customHeight="1" thickBot="1">
      <c r="A8" s="485" t="s">
        <v>1067</v>
      </c>
      <c r="B8" s="484"/>
      <c r="C8" s="484"/>
      <c r="D8" s="484"/>
      <c r="E8" s="485"/>
      <c r="F8" s="484"/>
      <c r="G8" s="484"/>
      <c r="H8" s="484"/>
      <c r="I8" s="484"/>
      <c r="J8" s="484"/>
      <c r="K8" s="484"/>
      <c r="L8" s="484"/>
      <c r="M8" s="484"/>
      <c r="N8" s="484"/>
      <c r="O8" s="484"/>
      <c r="P8" s="484"/>
      <c r="Q8" s="484"/>
      <c r="R8" s="484"/>
      <c r="S8" s="483"/>
      <c r="T8" s="484"/>
      <c r="U8" s="484"/>
      <c r="V8" s="484"/>
      <c r="W8" s="484"/>
      <c r="X8" s="484"/>
      <c r="Y8" s="484"/>
      <c r="Z8" s="484"/>
      <c r="AA8" s="484"/>
      <c r="AB8" s="484"/>
      <c r="AC8" s="484"/>
      <c r="AD8" s="484"/>
      <c r="AE8" s="484"/>
      <c r="AF8" s="484"/>
      <c r="AG8" s="484"/>
      <c r="AH8" s="484"/>
      <c r="AI8" s="484"/>
      <c r="AJ8" s="484"/>
      <c r="AK8" s="483"/>
    </row>
    <row r="9" spans="1:37" s="462" customFormat="1" ht="3.75" customHeight="1" thickBot="1"/>
    <row r="10" spans="1:37" s="462" customFormat="1" ht="14.25" customHeight="1">
      <c r="A10" s="464" t="s">
        <v>1417</v>
      </c>
      <c r="B10" s="463"/>
      <c r="C10" s="463"/>
      <c r="D10" s="463"/>
      <c r="E10" s="463"/>
      <c r="F10" s="463"/>
      <c r="G10" s="463"/>
      <c r="H10" s="463"/>
      <c r="I10" s="407"/>
      <c r="J10" s="406"/>
      <c r="K10" s="480" t="s">
        <v>1418</v>
      </c>
      <c r="L10" s="463"/>
      <c r="M10" s="481"/>
      <c r="N10" s="481"/>
      <c r="O10" s="481"/>
      <c r="P10" s="463"/>
      <c r="Q10" s="480" t="s">
        <v>2575</v>
      </c>
      <c r="R10" s="463"/>
      <c r="S10" s="407"/>
      <c r="T10" s="463"/>
      <c r="U10" s="463"/>
      <c r="V10" s="479"/>
      <c r="W10" s="1292"/>
      <c r="X10" s="463"/>
      <c r="Y10" s="463"/>
      <c r="Z10" s="463"/>
      <c r="AA10" s="463"/>
      <c r="AB10" s="463"/>
      <c r="AC10" s="463"/>
      <c r="AD10" s="480" t="s">
        <v>1419</v>
      </c>
      <c r="AE10" s="480"/>
      <c r="AF10" s="480"/>
      <c r="AG10" s="480" t="s">
        <v>1420</v>
      </c>
      <c r="AH10" s="463"/>
      <c r="AI10" s="463"/>
      <c r="AJ10" s="463"/>
      <c r="AK10" s="479"/>
    </row>
    <row r="11" spans="1:37" s="462" customFormat="1" ht="19.5" customHeight="1">
      <c r="A11" s="476" t="str">
        <f>LEFT('Input data'!C24,1)</f>
        <v>2</v>
      </c>
      <c r="B11" s="441" t="str">
        <f>MID('Input data'!$C$24,2,1)</f>
        <v>0</v>
      </c>
      <c r="C11" s="441" t="str">
        <f>MID('Input data'!$C$24,3,1)</f>
        <v>2</v>
      </c>
      <c r="D11" s="441" t="str">
        <f>MID('Input data'!$C$24,4,1)</f>
        <v>0</v>
      </c>
      <c r="E11" s="441" t="str">
        <f>MID('Input data'!$C$24,5,1)</f>
        <v>3</v>
      </c>
      <c r="F11" s="441" t="str">
        <f>MID('Input data'!$C$24,6,1)</f>
        <v>1</v>
      </c>
      <c r="G11" s="441" t="str">
        <f>MID('Input data'!$C$24,7,1)</f>
        <v>9</v>
      </c>
      <c r="H11" s="441" t="str">
        <f>MID('Input data'!$C$24,8,1)</f>
        <v>8</v>
      </c>
      <c r="I11" s="441" t="str">
        <f>MID('Input data'!$C$24,9,1)</f>
        <v>2</v>
      </c>
      <c r="J11" s="448" t="str">
        <f>MID('Input data'!$C$24,10,1)</f>
        <v>9</v>
      </c>
      <c r="K11" s="399"/>
      <c r="L11" s="465"/>
      <c r="M11" s="465"/>
      <c r="N11" s="465"/>
      <c r="O11" s="465"/>
      <c r="P11" s="465"/>
      <c r="Q11" s="465"/>
      <c r="R11" s="465"/>
      <c r="S11" s="465"/>
      <c r="T11" s="465"/>
      <c r="U11" s="465"/>
      <c r="V11" s="471"/>
      <c r="W11" s="1293" t="s">
        <v>1421</v>
      </c>
      <c r="X11" s="465"/>
      <c r="Y11" s="465"/>
      <c r="Z11" s="465"/>
      <c r="AA11" s="465"/>
      <c r="AB11" s="470" t="s">
        <v>1422</v>
      </c>
      <c r="AC11" s="465"/>
      <c r="AD11" s="441" t="str">
        <f>MID('Input data'!$B$8,1,1)</f>
        <v>0</v>
      </c>
      <c r="AE11" s="441" t="str">
        <f>MID('Input data'!$B$8,2,1)</f>
        <v>4</v>
      </c>
      <c r="AF11" s="441"/>
      <c r="AG11" s="441" t="str">
        <f>MID('Input data'!$B$9,1,1)</f>
        <v>2</v>
      </c>
      <c r="AH11" s="441" t="str">
        <f>MID('Input data'!$B$9,2,1)</f>
        <v>0</v>
      </c>
      <c r="AI11" s="441" t="str">
        <f>MID('Input data'!$B$9,3,1)</f>
        <v>1</v>
      </c>
      <c r="AJ11" s="441" t="str">
        <f>MID('Input data'!$B$9,4,1)</f>
        <v>7</v>
      </c>
      <c r="AK11" s="471"/>
    </row>
    <row r="12" spans="1:37" s="462" customFormat="1" ht="19.5" customHeight="1" thickBot="1">
      <c r="A12" s="403" t="s">
        <v>1423</v>
      </c>
      <c r="B12" s="465"/>
      <c r="C12" s="465"/>
      <c r="D12" s="465"/>
      <c r="E12" s="465"/>
      <c r="F12" s="465"/>
      <c r="G12" s="465"/>
      <c r="H12" s="399"/>
      <c r="I12" s="399"/>
      <c r="J12" s="398"/>
      <c r="K12" s="399"/>
      <c r="L12" s="478" t="str">
        <f>IF('Input data'!D7="x","x"," ")</f>
        <v>x</v>
      </c>
      <c r="M12" s="470" t="s">
        <v>1424</v>
      </c>
      <c r="N12" s="472"/>
      <c r="O12" s="472"/>
      <c r="P12" s="472"/>
      <c r="Q12" s="472"/>
      <c r="R12" s="478"/>
      <c r="S12" s="470" t="s">
        <v>2240</v>
      </c>
      <c r="T12" s="465"/>
      <c r="U12" s="465"/>
      <c r="V12" s="471"/>
      <c r="W12" s="477"/>
      <c r="X12" s="467"/>
      <c r="Y12" s="467"/>
      <c r="Z12" s="467"/>
      <c r="AA12" s="467"/>
      <c r="AB12" s="466" t="s">
        <v>1426</v>
      </c>
      <c r="AC12" s="467"/>
      <c r="AD12" s="439" t="str">
        <f>MID('Input data'!$B$13,1,1)</f>
        <v>0</v>
      </c>
      <c r="AE12" s="439" t="str">
        <f>MID('Input data'!$B$13,2,1)</f>
        <v>3</v>
      </c>
      <c r="AF12" s="439"/>
      <c r="AG12" s="439" t="str">
        <f>MID('Input data'!$B$14,1,1)</f>
        <v>2</v>
      </c>
      <c r="AH12" s="439" t="str">
        <f>MID('Input data'!$B$14,2,1)</f>
        <v>0</v>
      </c>
      <c r="AI12" s="439" t="str">
        <f>MID('Input data'!$B$14,3,1)</f>
        <v>1</v>
      </c>
      <c r="AJ12" s="439" t="str">
        <f>MID('Input data'!$B$14,4,1)</f>
        <v>8</v>
      </c>
      <c r="AK12" s="468"/>
    </row>
    <row r="13" spans="1:37" s="462" customFormat="1" ht="19.5" customHeight="1">
      <c r="A13" s="476" t="str">
        <f>LEFT('Input data'!C26,1)</f>
        <v>3</v>
      </c>
      <c r="B13" s="441" t="str">
        <f>MID('Input data'!$C$26,2,1)</f>
        <v>1</v>
      </c>
      <c r="C13" s="441" t="str">
        <f>MID('Input data'!$C$26,3,1)</f>
        <v>3</v>
      </c>
      <c r="D13" s="441" t="str">
        <f>MID('Input data'!$C$26,4,1)</f>
        <v>6</v>
      </c>
      <c r="E13" s="441" t="str">
        <f>MID('Input data'!$C$26,5,1)</f>
        <v>5</v>
      </c>
      <c r="F13" s="441" t="str">
        <f>MID('Input data'!$C$26,6,1)</f>
        <v>5</v>
      </c>
      <c r="G13" s="441" t="str">
        <f>MID('Input data'!$C$26,7,1)</f>
        <v>0</v>
      </c>
      <c r="H13" s="441" t="str">
        <f>MID('Input data'!$C$26,8,1)</f>
        <v>7</v>
      </c>
      <c r="I13" s="399"/>
      <c r="J13" s="398"/>
      <c r="K13" s="399"/>
      <c r="L13" s="474" t="str">
        <f>IF('Input data'!D8="x","x", "")</f>
        <v/>
      </c>
      <c r="M13" s="470" t="s">
        <v>1427</v>
      </c>
      <c r="N13" s="472"/>
      <c r="O13" s="472"/>
      <c r="P13" s="472"/>
      <c r="Q13" s="472"/>
      <c r="R13" s="475" t="s">
        <v>18</v>
      </c>
      <c r="S13" s="470" t="s">
        <v>2239</v>
      </c>
      <c r="T13" s="465"/>
      <c r="U13" s="465"/>
      <c r="V13" s="471"/>
      <c r="W13" s="2410" t="s">
        <v>1429</v>
      </c>
      <c r="X13" s="2411"/>
      <c r="Y13" s="2411"/>
      <c r="Z13" s="2411"/>
      <c r="AA13" s="2411"/>
      <c r="AB13" s="472"/>
      <c r="AC13" s="399"/>
      <c r="AD13" s="474"/>
      <c r="AE13" s="474"/>
      <c r="AF13" s="474"/>
      <c r="AG13" s="474"/>
      <c r="AH13" s="474"/>
      <c r="AI13" s="474"/>
      <c r="AJ13" s="474"/>
      <c r="AK13" s="398"/>
    </row>
    <row r="14" spans="1:37" s="462" customFormat="1" ht="19.5" customHeight="1">
      <c r="A14" s="403" t="s">
        <v>1081</v>
      </c>
      <c r="B14" s="465"/>
      <c r="C14" s="465"/>
      <c r="D14" s="465"/>
      <c r="E14" s="465"/>
      <c r="F14" s="465"/>
      <c r="G14" s="465"/>
      <c r="H14" s="465"/>
      <c r="I14" s="399"/>
      <c r="J14" s="398"/>
      <c r="K14" s="399"/>
      <c r="L14" s="478" t="str">
        <f>IF('Input data'!D9="x","x"," ")</f>
        <v xml:space="preserve"> </v>
      </c>
      <c r="M14" s="470" t="s">
        <v>2576</v>
      </c>
      <c r="N14" s="472"/>
      <c r="O14" s="472"/>
      <c r="P14" s="472"/>
      <c r="Q14" s="472"/>
      <c r="R14" s="473" t="s">
        <v>1430</v>
      </c>
      <c r="S14" s="472"/>
      <c r="T14" s="465"/>
      <c r="U14" s="465"/>
      <c r="V14" s="471"/>
      <c r="W14" s="2412"/>
      <c r="X14" s="2413"/>
      <c r="Y14" s="2413"/>
      <c r="Z14" s="2413"/>
      <c r="AA14" s="2413"/>
      <c r="AB14" s="470" t="s">
        <v>1422</v>
      </c>
      <c r="AC14" s="399"/>
      <c r="AD14" s="441" t="str">
        <f>MID('Input data'!$B$18,1,1)</f>
        <v>0</v>
      </c>
      <c r="AE14" s="441" t="str">
        <f>MID('Input data'!$B$18,2,1)</f>
        <v>4</v>
      </c>
      <c r="AF14" s="441"/>
      <c r="AG14" s="441" t="str">
        <f>MID('Input data'!$B$19,1,1)</f>
        <v>2</v>
      </c>
      <c r="AH14" s="441" t="str">
        <f>MID('Input data'!$B$19,2,1)</f>
        <v>0</v>
      </c>
      <c r="AI14" s="441" t="str">
        <f>MID('Input data'!$B$19,3,1)</f>
        <v>1</v>
      </c>
      <c r="AJ14" s="441" t="str">
        <f>MID('Input data'!$B$19,4,1)</f>
        <v>6</v>
      </c>
      <c r="AK14" s="398"/>
    </row>
    <row r="15" spans="1:37" s="462" customFormat="1" ht="19.5" customHeight="1" thickBot="1">
      <c r="A15" s="469" t="str">
        <f>LEFT('Input data'!$F$7,1)</f>
        <v>2</v>
      </c>
      <c r="B15" s="394" t="str">
        <f>MID('Input data'!$F$7,2,1)</f>
        <v>7</v>
      </c>
      <c r="C15" s="467" t="s">
        <v>1063</v>
      </c>
      <c r="D15" s="394" t="str">
        <f>MID('Input data'!$F$7,3,1)</f>
        <v>3</v>
      </c>
      <c r="E15" s="394" t="str">
        <f>MID('Input data'!$F$7,4,1)</f>
        <v>1</v>
      </c>
      <c r="F15" s="846" t="s">
        <v>1063</v>
      </c>
      <c r="G15" s="394" t="str">
        <f>MID('Input data'!$F$7,5,1)</f>
        <v>0</v>
      </c>
      <c r="H15" s="394"/>
      <c r="I15" s="394"/>
      <c r="J15" s="393"/>
      <c r="K15" s="394"/>
      <c r="L15" s="1036" t="str">
        <f>IF('Input data'!D10="x","x", "")</f>
        <v/>
      </c>
      <c r="M15" s="466"/>
      <c r="N15" s="1037"/>
      <c r="O15" s="1037"/>
      <c r="P15" s="394"/>
      <c r="Q15" s="394"/>
      <c r="R15" s="394"/>
      <c r="S15" s="394"/>
      <c r="T15" s="467"/>
      <c r="U15" s="467"/>
      <c r="V15" s="468"/>
      <c r="W15" s="2414"/>
      <c r="X15" s="2415"/>
      <c r="Y15" s="2415"/>
      <c r="Z15" s="2415"/>
      <c r="AA15" s="2415"/>
      <c r="AB15" s="466" t="s">
        <v>1426</v>
      </c>
      <c r="AC15" s="394"/>
      <c r="AD15" s="439" t="str">
        <f>MID('Input data'!$B$21,1,1)</f>
        <v>0</v>
      </c>
      <c r="AE15" s="439" t="str">
        <f>MID('Input data'!$B$21,2,1)</f>
        <v>3</v>
      </c>
      <c r="AF15" s="439"/>
      <c r="AG15" s="439" t="str">
        <f>MID('Input data'!$B$22,1,1)</f>
        <v>2</v>
      </c>
      <c r="AH15" s="439" t="str">
        <f>MID('Input data'!$B$22,2,1)</f>
        <v>0</v>
      </c>
      <c r="AI15" s="439" t="str">
        <f>MID('Input data'!$B$22,3,1)</f>
        <v>1</v>
      </c>
      <c r="AJ15" s="439" t="str">
        <f>MID('Input data'!$B$22,4,1)</f>
        <v>7</v>
      </c>
      <c r="AK15" s="393"/>
    </row>
    <row r="16" spans="1:37" s="462" customFormat="1" ht="3.75" customHeight="1" thickBot="1">
      <c r="A16" s="465"/>
      <c r="B16" s="465"/>
      <c r="C16" s="465"/>
      <c r="D16" s="465"/>
      <c r="E16" s="465"/>
      <c r="F16" s="463"/>
      <c r="G16" s="465"/>
      <c r="H16" s="399"/>
      <c r="I16" s="399"/>
      <c r="J16" s="399"/>
      <c r="K16" s="399"/>
      <c r="L16" s="399"/>
      <c r="M16" s="399"/>
      <c r="N16" s="399"/>
      <c r="O16" s="399"/>
      <c r="P16" s="399"/>
      <c r="Q16" s="399"/>
      <c r="R16" s="399"/>
      <c r="S16" s="399"/>
      <c r="T16" s="465"/>
      <c r="U16" s="465"/>
      <c r="V16" s="399"/>
      <c r="W16" s="399"/>
      <c r="X16" s="399"/>
      <c r="Y16" s="399"/>
      <c r="Z16" s="399"/>
      <c r="AA16" s="399"/>
      <c r="AB16" s="399"/>
      <c r="AC16" s="399"/>
      <c r="AD16" s="399"/>
      <c r="AE16" s="399"/>
      <c r="AF16" s="399"/>
      <c r="AG16" s="399"/>
      <c r="AH16" s="399"/>
      <c r="AI16" s="399"/>
      <c r="AJ16" s="399"/>
      <c r="AK16" s="399"/>
    </row>
    <row r="17" spans="1:37" s="462" customFormat="1" ht="17.100000000000001" customHeight="1">
      <c r="A17" s="464" t="s">
        <v>2584</v>
      </c>
      <c r="B17" s="463"/>
      <c r="C17" s="463"/>
      <c r="D17" s="463"/>
      <c r="E17" s="463"/>
      <c r="F17" s="463"/>
      <c r="G17" s="463"/>
      <c r="H17" s="407"/>
      <c r="I17" s="407"/>
      <c r="J17" s="407"/>
      <c r="K17" s="407"/>
      <c r="L17" s="407"/>
      <c r="M17" s="407"/>
      <c r="N17" s="407"/>
      <c r="O17" s="407"/>
      <c r="P17" s="407"/>
      <c r="Q17" s="407"/>
      <c r="R17" s="407"/>
      <c r="S17" s="407"/>
      <c r="T17" s="463"/>
      <c r="U17" s="463"/>
      <c r="V17" s="463"/>
      <c r="W17" s="407"/>
      <c r="X17" s="407"/>
      <c r="Y17" s="407"/>
      <c r="Z17" s="407"/>
      <c r="AA17" s="407"/>
      <c r="AB17" s="407"/>
      <c r="AC17" s="407"/>
      <c r="AD17" s="407"/>
      <c r="AE17" s="407"/>
      <c r="AF17" s="407"/>
      <c r="AG17" s="407"/>
      <c r="AH17" s="407"/>
      <c r="AI17" s="407"/>
      <c r="AJ17" s="407"/>
      <c r="AK17" s="406"/>
    </row>
    <row r="18" spans="1:37" s="462" customFormat="1" ht="17.100000000000001" customHeight="1">
      <c r="A18" s="1040"/>
      <c r="B18" s="478" t="str">
        <f>IF('Input data'!D12="x","x"," ")</f>
        <v>x</v>
      </c>
      <c r="C18" s="470" t="s">
        <v>2581</v>
      </c>
      <c r="D18" s="472"/>
      <c r="E18" s="465"/>
      <c r="F18" s="465"/>
      <c r="G18" s="465"/>
      <c r="H18" s="399"/>
      <c r="I18" s="399"/>
      <c r="J18" s="399"/>
      <c r="K18" s="465"/>
      <c r="L18" s="465"/>
      <c r="M18" s="465"/>
      <c r="N18" s="478" t="str">
        <f>IF('Input data'!D13="x","x"," ")</f>
        <v>x</v>
      </c>
      <c r="O18" s="470" t="s">
        <v>2577</v>
      </c>
      <c r="P18" s="399"/>
      <c r="Q18" s="399"/>
      <c r="R18" s="399"/>
      <c r="S18" s="399"/>
      <c r="T18" s="399"/>
      <c r="U18" s="399"/>
      <c r="V18" s="399"/>
      <c r="W18" s="465"/>
      <c r="X18" s="465"/>
      <c r="Y18" s="465"/>
      <c r="Z18" s="478" t="str">
        <f>IF('Input data'!D14="x","x"," ")</f>
        <v>x</v>
      </c>
      <c r="AA18" s="470" t="s">
        <v>2578</v>
      </c>
      <c r="AB18" s="470"/>
      <c r="AC18" s="399"/>
      <c r="AD18" s="399"/>
      <c r="AE18" s="399"/>
      <c r="AF18" s="399"/>
      <c r="AG18" s="399"/>
      <c r="AH18" s="399"/>
      <c r="AI18" s="399"/>
      <c r="AJ18" s="399"/>
      <c r="AK18" s="398"/>
    </row>
    <row r="19" spans="1:37" s="462" customFormat="1" ht="17.100000000000001" customHeight="1" thickBot="1">
      <c r="A19" s="1041"/>
      <c r="B19" s="467"/>
      <c r="C19" s="1042" t="s">
        <v>2579</v>
      </c>
      <c r="D19" s="467"/>
      <c r="E19" s="467"/>
      <c r="F19" s="467"/>
      <c r="G19" s="467"/>
      <c r="H19" s="394"/>
      <c r="I19" s="394"/>
      <c r="J19" s="394"/>
      <c r="K19" s="467"/>
      <c r="L19" s="467"/>
      <c r="M19" s="467"/>
      <c r="N19" s="394"/>
      <c r="O19" s="1042" t="s">
        <v>2579</v>
      </c>
      <c r="P19" s="394"/>
      <c r="Q19" s="394"/>
      <c r="R19" s="394"/>
      <c r="S19" s="394"/>
      <c r="T19" s="394"/>
      <c r="U19" s="394"/>
      <c r="V19" s="394"/>
      <c r="W19" s="467"/>
      <c r="X19" s="467"/>
      <c r="Y19" s="467"/>
      <c r="Z19" s="394"/>
      <c r="AA19" s="1042" t="s">
        <v>2580</v>
      </c>
      <c r="AB19" s="1042"/>
      <c r="AC19" s="394"/>
      <c r="AD19" s="394"/>
      <c r="AE19" s="394"/>
      <c r="AF19" s="394"/>
      <c r="AG19" s="394"/>
      <c r="AH19" s="394"/>
      <c r="AI19" s="394"/>
      <c r="AJ19" s="394"/>
      <c r="AK19" s="393"/>
    </row>
    <row r="20" spans="1:37" s="462" customFormat="1" ht="3.75" customHeight="1" thickBot="1">
      <c r="H20" s="392"/>
      <c r="I20" s="392"/>
      <c r="J20" s="392"/>
      <c r="K20" s="392"/>
      <c r="L20" s="392"/>
      <c r="M20" s="392"/>
      <c r="N20" s="392"/>
      <c r="O20" s="392"/>
      <c r="P20" s="392"/>
      <c r="Q20" s="392"/>
      <c r="R20" s="392"/>
      <c r="S20" s="392"/>
      <c r="W20" s="392"/>
      <c r="X20" s="392"/>
      <c r="Y20" s="392"/>
      <c r="Z20" s="392"/>
      <c r="AA20" s="392"/>
      <c r="AB20" s="392"/>
      <c r="AC20" s="392"/>
      <c r="AD20" s="392"/>
      <c r="AE20" s="392"/>
      <c r="AF20" s="392"/>
      <c r="AG20" s="392"/>
      <c r="AH20" s="392"/>
      <c r="AI20" s="392"/>
      <c r="AJ20" s="392"/>
      <c r="AK20" s="392"/>
    </row>
    <row r="21" spans="1:37" s="462" customFormat="1" ht="16.5">
      <c r="A21" s="464" t="s">
        <v>1431</v>
      </c>
      <c r="B21" s="463"/>
      <c r="C21" s="463"/>
      <c r="D21" s="463"/>
      <c r="E21" s="463"/>
      <c r="F21" s="463"/>
      <c r="G21" s="463"/>
      <c r="H21" s="407"/>
      <c r="I21" s="407"/>
      <c r="J21" s="407"/>
      <c r="K21" s="407"/>
      <c r="L21" s="407"/>
      <c r="M21" s="407"/>
      <c r="N21" s="407"/>
      <c r="O21" s="407"/>
      <c r="P21" s="407"/>
      <c r="Q21" s="407"/>
      <c r="R21" s="407"/>
      <c r="S21" s="407"/>
      <c r="T21" s="463"/>
      <c r="U21" s="463"/>
      <c r="V21" s="463"/>
      <c r="W21" s="407"/>
      <c r="X21" s="407"/>
      <c r="Y21" s="407"/>
      <c r="Z21" s="407"/>
      <c r="AA21" s="407"/>
      <c r="AB21" s="407"/>
      <c r="AC21" s="407"/>
      <c r="AD21" s="407"/>
      <c r="AE21" s="407"/>
      <c r="AF21" s="407"/>
      <c r="AG21" s="407"/>
      <c r="AH21" s="407"/>
      <c r="AI21" s="407"/>
      <c r="AJ21" s="407"/>
      <c r="AK21" s="406"/>
    </row>
    <row r="22" spans="1:37" s="462" customFormat="1" ht="19.5" customHeight="1">
      <c r="A22" s="449" t="str">
        <f>+LEFT('Input data'!$F$3,1)</f>
        <v>F</v>
      </c>
      <c r="B22" s="441" t="str">
        <f>+MID('Input data'!$F$3,2,1)</f>
        <v>o</v>
      </c>
      <c r="C22" s="441" t="str">
        <f>+MID('Input data'!$F$3,3,1)</f>
        <v>s</v>
      </c>
      <c r="D22" s="441" t="str">
        <f>+MID('Input data'!$F$3,4,1)</f>
        <v>s</v>
      </c>
      <c r="E22" s="441" t="str">
        <f>+MID('Input data'!$F$3,5,1)</f>
        <v xml:space="preserve"> </v>
      </c>
      <c r="F22" s="441" t="str">
        <f>+MID('Input data'!$F$3,6,1)</f>
        <v>F</v>
      </c>
      <c r="G22" s="441" t="str">
        <f>+MID('Input data'!$F$3,7,1)</f>
        <v>i</v>
      </c>
      <c r="H22" s="441" t="str">
        <f>+MID('Input data'!$F$3,8,1)</f>
        <v>b</v>
      </c>
      <c r="I22" s="441" t="str">
        <f>+MID('Input data'!$F$3,9,1)</f>
        <v>r</v>
      </c>
      <c r="J22" s="441" t="str">
        <f>+MID('Input data'!$F$3,10,1)</f>
        <v>e</v>
      </c>
      <c r="K22" s="441" t="str">
        <f>+MID('Input data'!$F$3,11,1)</f>
        <v xml:space="preserve"> </v>
      </c>
      <c r="L22" s="441" t="str">
        <f>+MID('Input data'!$F$3,12,1)</f>
        <v>O</v>
      </c>
      <c r="M22" s="441" t="str">
        <f>+MID('Input data'!$F$3,13,1)</f>
        <v>p</v>
      </c>
      <c r="N22" s="441" t="str">
        <f>+MID('Input data'!$F$3,14,1)</f>
        <v>t</v>
      </c>
      <c r="O22" s="441" t="str">
        <f>+MID('Input data'!$F$3,15,1)</f>
        <v>i</v>
      </c>
      <c r="P22" s="441" t="str">
        <f>+MID('Input data'!$F$3,16,1)</f>
        <v>c</v>
      </c>
      <c r="Q22" s="441" t="str">
        <f>+MID('Input data'!$F$3,17,1)</f>
        <v>s</v>
      </c>
      <c r="R22" s="441" t="str">
        <f>+MID('Input data'!$F$3,18,1)</f>
        <v>,</v>
      </c>
      <c r="S22" s="441" t="str">
        <f>+MID('Input data'!$F$3,19,1)</f>
        <v xml:space="preserve"> </v>
      </c>
      <c r="T22" s="441" t="str">
        <f>+MID('Input data'!$F$3,20,1)</f>
        <v>s</v>
      </c>
      <c r="U22" s="441" t="str">
        <f>+MID('Input data'!$F$3,21,1)</f>
        <v>.</v>
      </c>
      <c r="V22" s="441" t="str">
        <f>+MID('Input data'!$F$3,22,1)</f>
        <v>r</v>
      </c>
      <c r="W22" s="441" t="str">
        <f>+MID('Input data'!$F$3,23,1)</f>
        <v>.</v>
      </c>
      <c r="X22" s="441" t="str">
        <f>+MID('Input data'!$F$3,24,1)</f>
        <v>o</v>
      </c>
      <c r="Y22" s="441" t="str">
        <f>+MID('Input data'!$F$3,25,1)</f>
        <v>.</v>
      </c>
      <c r="Z22" s="441" t="str">
        <f>+MID('Input data'!$F$3,26,1)</f>
        <v xml:space="preserve"> </v>
      </c>
      <c r="AA22" s="441" t="str">
        <f>+MID('Input data'!$F$3,27,1)</f>
        <v xml:space="preserve">
</v>
      </c>
      <c r="AB22" s="441" t="str">
        <f>+MID('Input data'!$F$3,28,1)</f>
        <v/>
      </c>
      <c r="AC22" s="441" t="str">
        <f>+MID('Input data'!$F$3,29,1)</f>
        <v/>
      </c>
      <c r="AD22" s="441" t="str">
        <f>+MID('Input data'!$F$3,30,1)</f>
        <v/>
      </c>
      <c r="AE22" s="441" t="str">
        <f>+MID('Input data'!$F$3,31,1)</f>
        <v/>
      </c>
      <c r="AF22" s="441" t="str">
        <f>+MID('Input data'!$F$3,32,1)</f>
        <v/>
      </c>
      <c r="AG22" s="441" t="str">
        <f>+MID('Input data'!$F$3,33,1)</f>
        <v/>
      </c>
      <c r="AH22" s="441" t="str">
        <f>+MID('Input data'!$F$3,34,1)</f>
        <v/>
      </c>
      <c r="AI22" s="441" t="str">
        <f>+MID('Input data'!$F$3,35,1)</f>
        <v/>
      </c>
      <c r="AJ22" s="441" t="str">
        <f>+MID('Input data'!$F$3,36,1)</f>
        <v/>
      </c>
      <c r="AK22" s="448" t="str">
        <f>+MID('Input data'!$F$3,37,1)</f>
        <v/>
      </c>
    </row>
    <row r="23" spans="1:37" ht="19.5" customHeight="1">
      <c r="A23" s="449" t="str">
        <f>+MID('Input data'!$F$3,38,1)</f>
        <v/>
      </c>
      <c r="B23" s="441" t="str">
        <f>+MID('Input data'!$F$3,39,1)</f>
        <v/>
      </c>
      <c r="C23" s="441" t="str">
        <f>+MID('Input data'!$F$3,40,1)</f>
        <v/>
      </c>
      <c r="D23" s="441" t="str">
        <f>+MID('Input data'!$F$3,41,1)</f>
        <v/>
      </c>
      <c r="E23" s="441" t="str">
        <f>+MID('Input data'!$F$3,42,1)</f>
        <v/>
      </c>
      <c r="F23" s="441" t="str">
        <f>+MID('Input data'!$F$3,43,1)</f>
        <v/>
      </c>
      <c r="G23" s="441" t="str">
        <f>+MID('Input data'!$F$3,44,1)</f>
        <v/>
      </c>
      <c r="H23" s="441" t="str">
        <f>+MID('Input data'!$F$3,45,1)</f>
        <v/>
      </c>
      <c r="I23" s="441" t="str">
        <f>+MID('Input data'!$F$3,46,1)</f>
        <v/>
      </c>
      <c r="J23" s="441" t="str">
        <f>+MID('Input data'!$F$3,47,1)</f>
        <v/>
      </c>
      <c r="K23" s="441" t="str">
        <f>+MID('Input data'!$F$3,48,1)</f>
        <v/>
      </c>
      <c r="L23" s="441" t="str">
        <f>+MID('Input data'!$F$3,49,1)</f>
        <v/>
      </c>
      <c r="M23" s="441" t="str">
        <f>+MID('Input data'!$F$3,50,1)</f>
        <v/>
      </c>
      <c r="N23" s="441" t="str">
        <f>+MID('Input data'!$F$3,51,1)</f>
        <v/>
      </c>
      <c r="O23" s="441" t="str">
        <f>+MID('Input data'!$F$3,52,1)</f>
        <v/>
      </c>
      <c r="P23" s="441" t="str">
        <f>+MID('Input data'!$F$3,53,1)</f>
        <v/>
      </c>
      <c r="Q23" s="441" t="str">
        <f>+MID('Input data'!$F$3,54,1)</f>
        <v/>
      </c>
      <c r="R23" s="441" t="str">
        <f>+MID('Input data'!$F$3,55,1)</f>
        <v/>
      </c>
      <c r="S23" s="441" t="str">
        <f>+MID('Input data'!$F$3,56,1)</f>
        <v/>
      </c>
      <c r="T23" s="441" t="str">
        <f>+MID('Input data'!$F$3,57,1)</f>
        <v/>
      </c>
      <c r="U23" s="441" t="str">
        <f>+MID('Input data'!$F$3,58,1)</f>
        <v/>
      </c>
      <c r="V23" s="441" t="str">
        <f>+MID('Input data'!$F$3,59,1)</f>
        <v/>
      </c>
      <c r="W23" s="441" t="str">
        <f>+MID('Input data'!$F$3,60,1)</f>
        <v/>
      </c>
      <c r="X23" s="441" t="str">
        <f>+MID('Input data'!$F$3,61,1)</f>
        <v/>
      </c>
      <c r="Y23" s="441" t="str">
        <f>+MID('Input data'!$F$3,62,1)</f>
        <v/>
      </c>
      <c r="Z23" s="441" t="str">
        <f>+MID('Input data'!$F$3,63,1)</f>
        <v/>
      </c>
      <c r="AA23" s="441" t="str">
        <f>+MID('Input data'!$F$3,64,1)</f>
        <v/>
      </c>
      <c r="AB23" s="441" t="str">
        <f>+MID('Input data'!$F$3,65,1)</f>
        <v/>
      </c>
      <c r="AC23" s="441" t="str">
        <f>+MID('Input data'!$F$3,66,1)</f>
        <v/>
      </c>
      <c r="AD23" s="441" t="str">
        <f>+MID('Input data'!$F$3,67,1)</f>
        <v/>
      </c>
      <c r="AE23" s="441" t="str">
        <f>+MID('Input data'!$F$3,68,1)</f>
        <v/>
      </c>
      <c r="AF23" s="441" t="str">
        <f>+MID('Input data'!$F$3,69,1)</f>
        <v/>
      </c>
      <c r="AG23" s="441" t="str">
        <f>+MID('Input data'!$F$3,70,1)</f>
        <v/>
      </c>
      <c r="AH23" s="441" t="str">
        <f>+MID('Input data'!$F$3,71,1)</f>
        <v/>
      </c>
      <c r="AI23" s="441" t="str">
        <f>+MID('Input data'!$F$3,72,1)</f>
        <v/>
      </c>
      <c r="AJ23" s="441" t="str">
        <f>+MID('Input data'!$F$3,73,1)</f>
        <v/>
      </c>
      <c r="AK23" s="448" t="str">
        <f>+MID('Input data'!$F$3,74,1)</f>
        <v/>
      </c>
    </row>
    <row r="24" spans="1:37" ht="14.25" customHeight="1">
      <c r="A24" s="461"/>
      <c r="B24" s="460"/>
      <c r="C24" s="460"/>
      <c r="D24" s="460"/>
      <c r="E24" s="460"/>
      <c r="F24" s="460"/>
      <c r="G24" s="460"/>
      <c r="H24" s="460"/>
      <c r="I24" s="460"/>
      <c r="J24" s="460"/>
      <c r="K24" s="460"/>
      <c r="L24" s="460"/>
      <c r="M24" s="460"/>
      <c r="N24" s="460"/>
      <c r="O24" s="460"/>
      <c r="P24" s="460"/>
      <c r="Q24" s="460"/>
      <c r="R24" s="460"/>
      <c r="S24" s="460"/>
      <c r="T24" s="460"/>
      <c r="U24" s="460"/>
      <c r="V24" s="460"/>
      <c r="W24" s="459"/>
      <c r="X24" s="459"/>
      <c r="Y24" s="459"/>
      <c r="Z24" s="459"/>
      <c r="AA24" s="459"/>
      <c r="AB24" s="459"/>
      <c r="AC24" s="459"/>
      <c r="AD24" s="459"/>
      <c r="AE24" s="459"/>
      <c r="AF24" s="459"/>
      <c r="AG24" s="459"/>
      <c r="AH24" s="459"/>
      <c r="AI24" s="459"/>
      <c r="AJ24" s="459"/>
      <c r="AK24" s="458"/>
    </row>
    <row r="25" spans="1:37" ht="19.5" hidden="1" customHeight="1">
      <c r="A25" s="457"/>
      <c r="B25" s="456"/>
      <c r="C25" s="456"/>
      <c r="D25" s="456"/>
      <c r="E25" s="456"/>
      <c r="F25" s="456"/>
      <c r="G25" s="456" t="e">
        <f>+MID('Input data'!#REF!,7,1)</f>
        <v>#REF!</v>
      </c>
      <c r="H25" s="456" t="e">
        <f>+MID('Input data'!#REF!,8,1)</f>
        <v>#REF!</v>
      </c>
      <c r="I25" s="456" t="e">
        <f>+MID('Input data'!#REF!,9,1)</f>
        <v>#REF!</v>
      </c>
      <c r="J25" s="456" t="e">
        <f>+MID('Input data'!#REF!,10,1)</f>
        <v>#REF!</v>
      </c>
      <c r="K25" s="456" t="e">
        <f>+MID('Input data'!#REF!,11,1)</f>
        <v>#REF!</v>
      </c>
      <c r="L25" s="456" t="e">
        <f>+MID('Input data'!#REF!,12,1)</f>
        <v>#REF!</v>
      </c>
      <c r="M25" s="456" t="e">
        <f>+MID('Input data'!#REF!,13,1)</f>
        <v>#REF!</v>
      </c>
      <c r="N25" s="456" t="e">
        <f>+MID('Input data'!#REF!,14,1)</f>
        <v>#REF!</v>
      </c>
      <c r="O25" s="456" t="e">
        <f>+MID('Input data'!#REF!,15,1)</f>
        <v>#REF!</v>
      </c>
      <c r="P25" s="456" t="e">
        <f>+MID('Input data'!#REF!,16,1)</f>
        <v>#REF!</v>
      </c>
      <c r="Q25" s="456" t="e">
        <f>+MID('Input data'!#REF!,17,1)</f>
        <v>#REF!</v>
      </c>
      <c r="R25" s="456" t="e">
        <f>+MID('Input data'!#REF!,18,1)</f>
        <v>#REF!</v>
      </c>
      <c r="S25" s="456" t="e">
        <f>+MID('Input data'!#REF!,19,1)</f>
        <v>#REF!</v>
      </c>
      <c r="T25" s="456" t="e">
        <f>+MID('Input data'!#REF!,20,1)</f>
        <v>#REF!</v>
      </c>
      <c r="U25" s="456" t="e">
        <f>+MID('Input data'!#REF!,21,1)</f>
        <v>#REF!</v>
      </c>
      <c r="V25" s="456" t="e">
        <f>+MID('Input data'!#REF!,22,1)</f>
        <v>#REF!</v>
      </c>
      <c r="W25" s="456" t="e">
        <f>+MID('Input data'!#REF!,23,1)</f>
        <v>#REF!</v>
      </c>
      <c r="X25" s="456" t="e">
        <f>+MID('Input data'!#REF!,24,1)</f>
        <v>#REF!</v>
      </c>
      <c r="Y25" s="456" t="e">
        <f>+MID('Input data'!#REF!,25,1)</f>
        <v>#REF!</v>
      </c>
      <c r="Z25" s="456" t="e">
        <f>+MID('Input data'!#REF!,26,1)</f>
        <v>#REF!</v>
      </c>
      <c r="AA25" s="456" t="e">
        <f>+MID('Input data'!#REF!,27,1)</f>
        <v>#REF!</v>
      </c>
      <c r="AB25" s="456" t="e">
        <f>+MID('Input data'!#REF!,28,1)</f>
        <v>#REF!</v>
      </c>
      <c r="AC25" s="456" t="e">
        <f>+MID('Input data'!#REF!,29,1)</f>
        <v>#REF!</v>
      </c>
      <c r="AD25" s="456" t="e">
        <f>+MID('Input data'!#REF!,30,1)</f>
        <v>#REF!</v>
      </c>
      <c r="AE25" s="456" t="e">
        <f>+MID('Input data'!#REF!,31,1)</f>
        <v>#REF!</v>
      </c>
      <c r="AF25" s="456" t="e">
        <f>+MID('Input data'!#REF!,32,1)</f>
        <v>#REF!</v>
      </c>
      <c r="AG25" s="456" t="e">
        <f>+MID('Input data'!#REF!,33,1)</f>
        <v>#REF!</v>
      </c>
      <c r="AH25" s="456" t="e">
        <f>+MID('Input data'!#REF!,34,1)</f>
        <v>#REF!</v>
      </c>
      <c r="AI25" s="456" t="e">
        <f>+MID('Input data'!#REF!,35,1)</f>
        <v>#REF!</v>
      </c>
      <c r="AJ25" s="456" t="e">
        <f>+MID('Input data'!#REF!,36,1)</f>
        <v>#REF!</v>
      </c>
      <c r="AK25" s="455" t="e">
        <f>+MID('Input data'!#REF!,37,1)</f>
        <v>#REF!</v>
      </c>
    </row>
    <row r="26" spans="1:37" s="450" customFormat="1" ht="12" customHeight="1">
      <c r="A26" s="454" t="s">
        <v>1432</v>
      </c>
      <c r="B26" s="453"/>
      <c r="C26" s="453"/>
      <c r="D26" s="453"/>
      <c r="E26" s="453"/>
      <c r="F26" s="453"/>
      <c r="G26" s="453"/>
      <c r="H26" s="453"/>
      <c r="I26" s="453"/>
      <c r="J26" s="453"/>
      <c r="K26" s="453"/>
      <c r="L26" s="453"/>
      <c r="M26" s="453"/>
      <c r="N26" s="453"/>
      <c r="O26" s="453"/>
      <c r="P26" s="453"/>
      <c r="Q26" s="453"/>
      <c r="R26" s="453"/>
      <c r="S26" s="453"/>
      <c r="T26" s="453"/>
      <c r="U26" s="453"/>
      <c r="V26" s="453"/>
      <c r="W26" s="452"/>
      <c r="X26" s="452"/>
      <c r="Y26" s="452"/>
      <c r="Z26" s="452"/>
      <c r="AA26" s="452"/>
      <c r="AB26" s="452"/>
      <c r="AC26" s="452"/>
      <c r="AD26" s="452"/>
      <c r="AE26" s="452"/>
      <c r="AF26" s="452"/>
      <c r="AG26" s="452"/>
      <c r="AH26" s="452"/>
      <c r="AI26" s="452"/>
      <c r="AJ26" s="452"/>
      <c r="AK26" s="451"/>
    </row>
    <row r="27" spans="1:37">
      <c r="A27" s="446" t="s">
        <v>1433</v>
      </c>
      <c r="B27" s="1275"/>
      <c r="C27" s="1275"/>
      <c r="D27" s="1275"/>
      <c r="E27" s="1275"/>
      <c r="F27" s="1275"/>
      <c r="G27" s="1275"/>
      <c r="H27" s="1275"/>
      <c r="I27" s="1275"/>
      <c r="J27" s="1275"/>
      <c r="K27" s="1275"/>
      <c r="L27" s="1275"/>
      <c r="M27" s="1275"/>
      <c r="N27" s="1275"/>
      <c r="O27" s="1275"/>
      <c r="P27" s="1275"/>
      <c r="Q27" s="1275"/>
      <c r="R27" s="1275"/>
      <c r="S27" s="1275"/>
      <c r="T27" s="1275"/>
      <c r="U27" s="1275"/>
      <c r="V27" s="1275"/>
      <c r="W27" s="399"/>
      <c r="X27" s="399"/>
      <c r="Y27" s="399"/>
      <c r="Z27" s="399"/>
      <c r="AA27" s="399"/>
      <c r="AB27" s="1275"/>
      <c r="AC27" s="399"/>
      <c r="AD27" s="402" t="s">
        <v>1434</v>
      </c>
      <c r="AE27" s="399"/>
      <c r="AF27" s="399"/>
      <c r="AG27" s="399"/>
      <c r="AH27" s="399"/>
      <c r="AI27" s="399"/>
      <c r="AJ27" s="399"/>
      <c r="AK27" s="398"/>
    </row>
    <row r="28" spans="1:37" ht="19.5" customHeight="1">
      <c r="A28" s="449" t="str">
        <f>+LEFT('Input data'!$C$28,1)</f>
        <v>O</v>
      </c>
      <c r="B28" s="441" t="str">
        <f>+MID('Input data'!$C$28,2,1)</f>
        <v>d</v>
      </c>
      <c r="C28" s="441" t="str">
        <f>+MID('Input data'!$C$28,3,1)</f>
        <v>b</v>
      </c>
      <c r="D28" s="441" t="str">
        <f>+MID('Input data'!$C$28,4,1)</f>
        <v>o</v>
      </c>
      <c r="E28" s="441" t="str">
        <f>+MID('Input data'!$C$28,5,1)</f>
        <v>r</v>
      </c>
      <c r="F28" s="441" t="str">
        <f>+MID('Input data'!$C$28,6,1)</f>
        <v>á</v>
      </c>
      <c r="G28" s="441" t="str">
        <f>+MID('Input data'!$C$28,7,1)</f>
        <v>r</v>
      </c>
      <c r="H28" s="441" t="str">
        <f>+MID('Input data'!$C$28,8,1)</f>
        <v>s</v>
      </c>
      <c r="I28" s="441" t="str">
        <f>+MID('Input data'!$C$28,9,1)</f>
        <v>k</v>
      </c>
      <c r="J28" s="441" t="str">
        <f>+MID('Input data'!$C$28,10,1)</f>
        <v>a</v>
      </c>
      <c r="K28" s="441" t="str">
        <f>+MID('Input data'!$C$28,11,1)</f>
        <v/>
      </c>
      <c r="L28" s="441" t="str">
        <f>+MID('Input data'!$C$28,12,1)</f>
        <v/>
      </c>
      <c r="M28" s="441" t="str">
        <f>+MID('Input data'!$C$28,13,1)</f>
        <v/>
      </c>
      <c r="N28" s="441" t="str">
        <f>+MID('Input data'!$C$28,14,1)</f>
        <v/>
      </c>
      <c r="O28" s="441" t="str">
        <f>+MID('Input data'!$C$28,15,1)</f>
        <v/>
      </c>
      <c r="P28" s="441" t="str">
        <f>+MID('Input data'!$C$28,16,1)</f>
        <v/>
      </c>
      <c r="Q28" s="441" t="str">
        <f>+MID('Input data'!$C$28,17,1)</f>
        <v/>
      </c>
      <c r="R28" s="441" t="str">
        <f>+MID('Input data'!$C$28,18,1)</f>
        <v/>
      </c>
      <c r="S28" s="441" t="str">
        <f>+MID('Input data'!$C$28,19,1)</f>
        <v/>
      </c>
      <c r="T28" s="441" t="str">
        <f>+MID('Input data'!$C$28,20,1)</f>
        <v/>
      </c>
      <c r="U28" s="441" t="str">
        <f>+MID('Input data'!$C$28,21,1)</f>
        <v/>
      </c>
      <c r="V28" s="441" t="str">
        <f>+MID('Input data'!$C$28,22,1)</f>
        <v/>
      </c>
      <c r="W28" s="441" t="str">
        <f>+MID('Input data'!$C$28,23,1)</f>
        <v/>
      </c>
      <c r="X28" s="441" t="str">
        <f>+MID('Input data'!$C$28,24,1)</f>
        <v/>
      </c>
      <c r="Y28" s="441" t="str">
        <f>+MID('Input data'!$C$28,25,1)</f>
        <v/>
      </c>
      <c r="Z28" s="441" t="str">
        <f>+MID('Input data'!$C$28,26,1)</f>
        <v/>
      </c>
      <c r="AA28" s="441" t="str">
        <f>+MID('Input data'!$C$28,27,1)</f>
        <v/>
      </c>
      <c r="AB28" s="441" t="str">
        <f>+MID('Input data'!$C$28,28,1)</f>
        <v/>
      </c>
      <c r="AC28" s="443"/>
      <c r="AD28" s="441" t="str">
        <f>+LEFT('Input data'!$C$30,1)</f>
        <v>5</v>
      </c>
      <c r="AE28" s="441" t="str">
        <f>+MID('Input data'!$C$30,2,1)</f>
        <v>2</v>
      </c>
      <c r="AF28" s="441" t="str">
        <f>+MID('Input data'!$C$30,3,1)</f>
        <v/>
      </c>
      <c r="AG28" s="441" t="str">
        <f>+MID('Input data'!$C$30,4,1)</f>
        <v/>
      </c>
      <c r="AH28" s="441" t="str">
        <f>+MID('Input data'!$C$30,5,1)</f>
        <v/>
      </c>
      <c r="AI28" s="441" t="str">
        <f>+MID('Input data'!$C$30,6,1)</f>
        <v/>
      </c>
      <c r="AJ28" s="441" t="str">
        <f>+MID('Input data'!$C$30,7,1)</f>
        <v/>
      </c>
      <c r="AK28" s="448" t="str">
        <f>+MID('Input data'!$C$30,8,1)</f>
        <v/>
      </c>
    </row>
    <row r="29" spans="1:37">
      <c r="A29" s="446" t="s">
        <v>1435</v>
      </c>
      <c r="B29" s="1275"/>
      <c r="C29" s="1275"/>
      <c r="D29" s="1275"/>
      <c r="E29" s="1275"/>
      <c r="F29" s="1275"/>
      <c r="G29" s="445" t="s">
        <v>1436</v>
      </c>
      <c r="H29" s="445"/>
      <c r="I29" s="445"/>
      <c r="J29" s="445"/>
      <c r="K29" s="445"/>
      <c r="L29" s="445"/>
      <c r="M29" s="445"/>
      <c r="N29" s="445"/>
      <c r="O29" s="445"/>
      <c r="P29" s="445"/>
      <c r="Q29" s="445"/>
      <c r="R29" s="445"/>
      <c r="S29" s="445"/>
      <c r="T29" s="445"/>
      <c r="U29" s="445"/>
      <c r="V29" s="445"/>
      <c r="W29" s="445"/>
      <c r="X29" s="445"/>
      <c r="Y29" s="445"/>
      <c r="Z29" s="445"/>
      <c r="AA29" s="445"/>
      <c r="AB29" s="445"/>
      <c r="AC29" s="445"/>
      <c r="AD29" s="445"/>
      <c r="AE29" s="399"/>
      <c r="AF29" s="399"/>
      <c r="AG29" s="399"/>
      <c r="AH29" s="399"/>
      <c r="AI29" s="399"/>
      <c r="AJ29" s="399"/>
      <c r="AK29" s="398"/>
    </row>
    <row r="30" spans="1:37" s="447" customFormat="1" ht="19.5" customHeight="1">
      <c r="A30" s="449" t="str">
        <f>+LEFT('Input data'!$C$32,1)</f>
        <v>8</v>
      </c>
      <c r="B30" s="441" t="str">
        <f>+MID('Input data'!$C$32,2,1)</f>
        <v>3</v>
      </c>
      <c r="C30" s="441" t="str">
        <f>+MID('Input data'!$C$32,3,1)</f>
        <v>1</v>
      </c>
      <c r="D30" s="441" t="str">
        <f>+MID('Input data'!$C$32,4,1)</f>
        <v xml:space="preserve"> </v>
      </c>
      <c r="E30" s="441" t="str">
        <f>+MID('Input data'!$C$32,5,1)</f>
        <v>0</v>
      </c>
      <c r="F30" s="441"/>
      <c r="G30" s="441" t="str">
        <f>+LEFT('Input data'!$C$34,1)</f>
        <v>B</v>
      </c>
      <c r="H30" s="441" t="str">
        <f>+MID('Input data'!$C$34,2,1)</f>
        <v>r</v>
      </c>
      <c r="I30" s="441" t="str">
        <f>+MID('Input data'!$C$34,3,1)</f>
        <v>a</v>
      </c>
      <c r="J30" s="441" t="str">
        <f>+MID('Input data'!$C$34,4,1)</f>
        <v>t</v>
      </c>
      <c r="K30" s="441" t="str">
        <f>+MID('Input data'!$C$34,5,1)</f>
        <v>i</v>
      </c>
      <c r="L30" s="441" t="str">
        <f>+MID('Input data'!$C$34,6,1)</f>
        <v>s</v>
      </c>
      <c r="M30" s="441" t="str">
        <f>+MID('Input data'!$C$34,7,1)</f>
        <v>l</v>
      </c>
      <c r="N30" s="441" t="str">
        <f>+MID('Input data'!$C$34,8,1)</f>
        <v>a</v>
      </c>
      <c r="O30" s="441" t="str">
        <f>+MID('Input data'!$C$34,9,1)</f>
        <v>v</v>
      </c>
      <c r="P30" s="441" t="str">
        <f>+MID('Input data'!$C$34,10,1)</f>
        <v>a</v>
      </c>
      <c r="Q30" s="441" t="str">
        <f>+MID('Input data'!$C$34,11,1)</f>
        <v xml:space="preserve"> </v>
      </c>
      <c r="R30" s="441" t="str">
        <f>+MID('Input data'!$C$34,12,1)</f>
        <v/>
      </c>
      <c r="S30" s="441" t="str">
        <f>+MID('Input data'!$C$34,13,1)</f>
        <v/>
      </c>
      <c r="T30" s="441" t="str">
        <f>+MID('Input data'!$C$34,14,1)</f>
        <v/>
      </c>
      <c r="U30" s="441" t="str">
        <f>+MID('Input data'!$C$34,15,1)</f>
        <v/>
      </c>
      <c r="V30" s="441" t="str">
        <f>+MID('Input data'!$C$34,16,1)</f>
        <v/>
      </c>
      <c r="W30" s="441" t="str">
        <f>+MID('Input data'!$C$34,17,1)</f>
        <v/>
      </c>
      <c r="X30" s="441" t="str">
        <f>+MID('Input data'!$C$34,18,1)</f>
        <v/>
      </c>
      <c r="Y30" s="441" t="str">
        <f>+MID('Input data'!$C$34,19,1)</f>
        <v/>
      </c>
      <c r="Z30" s="441" t="str">
        <f>+MID('Input data'!$C$34,20,1)</f>
        <v/>
      </c>
      <c r="AA30" s="441" t="str">
        <f>+MID('Input data'!$C$34,21,1)</f>
        <v/>
      </c>
      <c r="AB30" s="441" t="str">
        <f>+MID('Input data'!$C$34,22,1)</f>
        <v/>
      </c>
      <c r="AC30" s="441" t="str">
        <f>+MID('Input data'!$C$34,23,1)</f>
        <v/>
      </c>
      <c r="AD30" s="441" t="str">
        <f>+MID('Input data'!$C$34,24,1)</f>
        <v/>
      </c>
      <c r="AE30" s="441" t="str">
        <f>+MID('Input data'!$C$34,25,1)</f>
        <v/>
      </c>
      <c r="AF30" s="441" t="str">
        <f>+MID('Input data'!$C$34,26,1)</f>
        <v/>
      </c>
      <c r="AG30" s="441" t="str">
        <f>+MID('Input data'!$C$34,27,1)</f>
        <v/>
      </c>
      <c r="AH30" s="441" t="str">
        <f>+MID('Input data'!$C$34,28,1)</f>
        <v/>
      </c>
      <c r="AI30" s="441" t="str">
        <f>+MID('Input data'!$C$34,29,1)</f>
        <v/>
      </c>
      <c r="AJ30" s="441" t="str">
        <f>+MID('Input data'!$C$34,30,1)</f>
        <v/>
      </c>
      <c r="AK30" s="448" t="str">
        <f>+MID('Input data'!$C$34,31,1)</f>
        <v/>
      </c>
    </row>
    <row r="31" spans="1:37" s="447" customFormat="1" ht="12.75" customHeight="1">
      <c r="A31" s="446" t="s">
        <v>2582</v>
      </c>
      <c r="B31" s="441"/>
      <c r="C31" s="441"/>
      <c r="D31" s="441"/>
      <c r="E31" s="441"/>
      <c r="F31" s="441"/>
      <c r="G31" s="441"/>
      <c r="H31" s="441"/>
      <c r="I31" s="441"/>
      <c r="J31" s="441"/>
      <c r="K31" s="441"/>
      <c r="L31" s="441"/>
      <c r="M31" s="441"/>
      <c r="N31" s="441"/>
      <c r="O31" s="441"/>
      <c r="P31" s="441"/>
      <c r="Q31" s="441"/>
      <c r="R31" s="441"/>
      <c r="S31" s="441"/>
      <c r="T31" s="441"/>
      <c r="U31" s="441"/>
      <c r="V31" s="441"/>
      <c r="W31" s="441"/>
      <c r="X31" s="441"/>
      <c r="Y31" s="441"/>
      <c r="Z31" s="441"/>
      <c r="AA31" s="441"/>
      <c r="AB31" s="441"/>
      <c r="AC31" s="441"/>
      <c r="AD31" s="441"/>
      <c r="AE31" s="441"/>
      <c r="AF31" s="441"/>
      <c r="AG31" s="441"/>
      <c r="AH31" s="441"/>
      <c r="AI31" s="441"/>
      <c r="AJ31" s="441"/>
      <c r="AK31" s="448"/>
    </row>
    <row r="32" spans="1:37" s="447" customFormat="1" ht="19.5" customHeight="1">
      <c r="A32" s="449" t="s">
        <v>2783</v>
      </c>
      <c r="B32" s="441" t="s">
        <v>2784</v>
      </c>
      <c r="C32" s="441" t="s">
        <v>2785</v>
      </c>
      <c r="D32" s="441" t="s">
        <v>2786</v>
      </c>
      <c r="E32" s="441" t="s">
        <v>2787</v>
      </c>
      <c r="F32" s="441" t="s">
        <v>2784</v>
      </c>
      <c r="G32" s="441" t="s">
        <v>520</v>
      </c>
      <c r="H32" s="441" t="s">
        <v>2786</v>
      </c>
      <c r="I32" s="441" t="s">
        <v>1093</v>
      </c>
      <c r="J32" s="441" t="s">
        <v>2797</v>
      </c>
      <c r="K32" s="441" t="s">
        <v>2788</v>
      </c>
      <c r="L32" s="441" t="s">
        <v>2789</v>
      </c>
      <c r="M32" s="441" t="s">
        <v>2787</v>
      </c>
      <c r="N32" s="441" t="s">
        <v>2786</v>
      </c>
      <c r="O32" s="441"/>
      <c r="P32" s="441" t="str">
        <f>+MID('Input data'!$F$22,13,1)</f>
        <v>B</v>
      </c>
      <c r="Q32" s="441" t="str">
        <f>+MID('Input data'!$F$22,14,1)</f>
        <v>r</v>
      </c>
      <c r="R32" s="441" t="str">
        <f>+MID('Input data'!$F$22,15,1)</f>
        <v>a</v>
      </c>
      <c r="S32" s="441" t="str">
        <f>+MID('Input data'!$F$22,16,1)</f>
        <v>t</v>
      </c>
      <c r="T32" s="441" t="str">
        <f>+MID('Input data'!$F$22,17,1)</f>
        <v>i</v>
      </c>
      <c r="U32" s="441" t="str">
        <f>+MID('Input data'!$F$22,18,1)</f>
        <v>s</v>
      </c>
      <c r="V32" s="441" t="str">
        <f>+MID('Input data'!$F$22,19,1)</f>
        <v>l</v>
      </c>
      <c r="W32" s="441" t="str">
        <f>+MID('Input data'!$F$22,20,1)</f>
        <v>a</v>
      </c>
      <c r="X32" s="441" t="str">
        <f>+MID('Input data'!$F$22,21,1)</f>
        <v>v</v>
      </c>
      <c r="Y32" s="441" t="str">
        <f>+MID('Input data'!$F$22,22,1)</f>
        <v>a</v>
      </c>
      <c r="Z32" s="441" t="str">
        <f>+MID('Input data'!$F$22,23,1)</f>
        <v xml:space="preserve"> </v>
      </c>
      <c r="AA32" s="441" t="str">
        <f>+MID('Input data'!$F$22,24,1)</f>
        <v>I</v>
      </c>
      <c r="AB32" s="441" t="s">
        <v>2793</v>
      </c>
      <c r="AD32" s="441" t="s">
        <v>2790</v>
      </c>
      <c r="AE32" s="441" t="s">
        <v>2791</v>
      </c>
      <c r="AF32" s="441" t="s">
        <v>520</v>
      </c>
      <c r="AG32" s="441" t="s">
        <v>2786</v>
      </c>
      <c r="AH32" s="441" t="s">
        <v>2784</v>
      </c>
      <c r="AI32" s="441" t="s">
        <v>2788</v>
      </c>
      <c r="AJ32" s="441" t="s">
        <v>2792</v>
      </c>
      <c r="AK32" s="448"/>
    </row>
    <row r="33" spans="1:37" s="447" customFormat="1" ht="19.5" customHeight="1">
      <c r="A33" s="449" t="s">
        <v>2790</v>
      </c>
      <c r="B33" s="441" t="s">
        <v>2787</v>
      </c>
      <c r="C33" s="441" t="s">
        <v>2788</v>
      </c>
      <c r="D33" s="441" t="s">
        <v>2793</v>
      </c>
      <c r="E33" s="441" t="s">
        <v>1093</v>
      </c>
      <c r="F33" s="441" t="s">
        <v>2794</v>
      </c>
      <c r="G33" s="441" t="s">
        <v>2784</v>
      </c>
      <c r="H33" s="441" t="s">
        <v>2795</v>
      </c>
      <c r="I33" s="441" t="s">
        <v>2791</v>
      </c>
      <c r="J33" s="441"/>
      <c r="K33" s="441" t="s">
        <v>2796</v>
      </c>
      <c r="L33" s="441" t="s">
        <v>2787</v>
      </c>
      <c r="M33" s="441" t="s">
        <v>1063</v>
      </c>
      <c r="N33" s="441" t="str">
        <f>+MID('Input data'!$F$22,49,1)</f>
        <v>6</v>
      </c>
      <c r="O33" s="441" t="str">
        <f>+MID('Input data'!$F$22,50,1)</f>
        <v>3</v>
      </c>
      <c r="P33" s="441" t="str">
        <f>+MID('Input data'!$F$22,51,1)</f>
        <v>7</v>
      </c>
      <c r="Q33" s="441" t="str">
        <f>+MID('Input data'!$F$22,52,1)</f>
        <v>4</v>
      </c>
      <c r="R33" s="441" t="str">
        <f>+MID('Input data'!$F$22,53,1)</f>
        <v>/</v>
      </c>
      <c r="S33" s="441" t="str">
        <f>+MID('Input data'!$F$22,54,1)</f>
        <v>B</v>
      </c>
      <c r="T33" s="441" t="str">
        <f>+MID('Input data'!$F$22,57,1)</f>
        <v/>
      </c>
      <c r="U33" s="441" t="str">
        <f>+MID('Input data'!$F$22,58,1)</f>
        <v/>
      </c>
      <c r="V33" s="441" t="str">
        <f>+MID('Input data'!$F$22,59,1)</f>
        <v/>
      </c>
      <c r="W33" s="441" t="str">
        <f>+MID('Input data'!$F$22,60,1)</f>
        <v/>
      </c>
      <c r="X33" s="441" t="str">
        <f>+MID('Input data'!$F$22,61,1)</f>
        <v/>
      </c>
      <c r="Y33" s="441" t="str">
        <f>+MID('Input data'!$F$22,62,1)</f>
        <v/>
      </c>
      <c r="Z33" s="441" t="str">
        <f>+MID('Input data'!$F$22,63,1)</f>
        <v/>
      </c>
      <c r="AA33" s="441" t="str">
        <f>+MID('Input data'!$F$22,64,1)</f>
        <v/>
      </c>
      <c r="AB33" s="441" t="str">
        <f>+MID('Input data'!$F$22,65,1)</f>
        <v/>
      </c>
      <c r="AC33" s="441" t="str">
        <f>+MID('Input data'!$F$22,66,1)</f>
        <v/>
      </c>
      <c r="AD33" s="441" t="str">
        <f>+MID('Input data'!$F$22,67,1)</f>
        <v/>
      </c>
      <c r="AE33" s="441" t="str">
        <f>+MID('Input data'!$F$22,68,1)</f>
        <v/>
      </c>
      <c r="AF33" s="441" t="str">
        <f>+MID('Input data'!$F$22,69,1)</f>
        <v/>
      </c>
      <c r="AG33" s="441" t="str">
        <f>+MID('Input data'!$F$22,70,1)</f>
        <v/>
      </c>
      <c r="AH33" s="441" t="str">
        <f>+MID('Input data'!$F$22,71,1)</f>
        <v/>
      </c>
      <c r="AI33" s="441" t="str">
        <f>+MID('Input data'!$F$22,72,1)</f>
        <v/>
      </c>
      <c r="AJ33" s="441" t="str">
        <f>+MID('Input data'!$F$22,73,1)</f>
        <v/>
      </c>
      <c r="AK33" s="448" t="str">
        <f>+MID('Input data'!$F$22,74,1)</f>
        <v/>
      </c>
    </row>
    <row r="34" spans="1:37">
      <c r="A34" s="446" t="s">
        <v>1437</v>
      </c>
      <c r="B34" s="1275"/>
      <c r="C34" s="1275"/>
      <c r="D34" s="1275"/>
      <c r="E34" s="1275"/>
      <c r="F34" s="1275"/>
      <c r="G34" s="445"/>
      <c r="H34" s="445"/>
      <c r="I34" s="445"/>
      <c r="J34" s="445"/>
      <c r="K34" s="445"/>
      <c r="L34" s="445"/>
      <c r="M34" s="445"/>
      <c r="N34" s="1275"/>
      <c r="O34" s="445" t="s">
        <v>1438</v>
      </c>
      <c r="P34" s="445"/>
      <c r="Q34" s="445"/>
      <c r="R34" s="445"/>
      <c r="S34" s="445"/>
      <c r="T34" s="445"/>
      <c r="U34" s="445"/>
      <c r="V34" s="445"/>
      <c r="W34" s="445"/>
      <c r="X34" s="445"/>
      <c r="Y34" s="445"/>
      <c r="Z34" s="445"/>
      <c r="AA34" s="445"/>
      <c r="AB34" s="445"/>
      <c r="AC34" s="445"/>
      <c r="AD34" s="445"/>
      <c r="AE34" s="399"/>
      <c r="AF34" s="399"/>
      <c r="AG34" s="399"/>
      <c r="AH34" s="399"/>
      <c r="AI34" s="399"/>
      <c r="AJ34" s="399"/>
      <c r="AK34" s="398"/>
    </row>
    <row r="35" spans="1:37" ht="19.5" customHeight="1">
      <c r="A35" s="444">
        <v>0</v>
      </c>
      <c r="B35" s="441" t="str">
        <f>+LEFT('Input data'!$C$36,1)</f>
        <v>2</v>
      </c>
      <c r="C35" s="441" t="str">
        <f>+MID('Input data'!$C$36,2,1)</f>
        <v/>
      </c>
      <c r="D35" s="441" t="str">
        <f>+MID('Input data'!$C$36,3,1)</f>
        <v/>
      </c>
      <c r="E35" s="441" t="s">
        <v>1092</v>
      </c>
      <c r="F35" s="441" t="str">
        <f>+LEFT('Input data'!$C$38,1)</f>
        <v>4</v>
      </c>
      <c r="G35" s="441" t="str">
        <f>+MID('Input data'!$C$38,2,1)</f>
        <v>8</v>
      </c>
      <c r="H35" s="441" t="str">
        <f>+MID('Input data'!$C$38,3,1)</f>
        <v>2</v>
      </c>
      <c r="I35" s="441" t="str">
        <f>+MID('Input data'!$C$38,4,1)</f>
        <v>0</v>
      </c>
      <c r="J35" s="441" t="str">
        <f>+MID('Input data'!$C$38,5,1)</f>
        <v>5</v>
      </c>
      <c r="K35" s="441" t="str">
        <f>+MID('Input data'!$C$38,6,1)</f>
        <v>2</v>
      </c>
      <c r="L35" s="441" t="str">
        <f>+MID('Input data'!$C$38,7,1)</f>
        <v>1</v>
      </c>
      <c r="M35" s="441" t="str">
        <f>+MID('Input data'!$C$38,8,1)</f>
        <v>0</v>
      </c>
      <c r="N35" s="443"/>
      <c r="O35" s="442">
        <v>0</v>
      </c>
      <c r="P35" s="441" t="str">
        <f>+LEFT('Input data'!$C$36,1)</f>
        <v>2</v>
      </c>
      <c r="Q35" s="441" t="str">
        <f>+MID('Input data'!$C$36,2,1)</f>
        <v/>
      </c>
      <c r="R35" s="441" t="str">
        <f>+MID('Input data'!$C$36,3,1)</f>
        <v/>
      </c>
      <c r="S35" s="441" t="s">
        <v>1092</v>
      </c>
      <c r="T35" s="441" t="str">
        <f>+LEFT('Input data'!$C$40,1)</f>
        <v>4</v>
      </c>
      <c r="U35" s="441" t="str">
        <f>+MID('Input data'!$C$40,2,1)</f>
        <v>8</v>
      </c>
      <c r="V35" s="441" t="str">
        <f>+MID('Input data'!$C$40,3,1)</f>
        <v>2</v>
      </c>
      <c r="W35" s="441" t="str">
        <f>+MID('Input data'!$C$40,4,1)</f>
        <v>0</v>
      </c>
      <c r="X35" s="441" t="str">
        <f>+MID('Input data'!$C$40,5,1)</f>
        <v>5</v>
      </c>
      <c r="Y35" s="441" t="str">
        <f>+MID('Input data'!$C$40,6,1)</f>
        <v>2</v>
      </c>
      <c r="Z35" s="441" t="str">
        <f>+MID('Input data'!$C$40,7,1)</f>
        <v>3</v>
      </c>
      <c r="AA35" s="441" t="str">
        <f>+MID('Input data'!$C$40,8,1)</f>
        <v>1</v>
      </c>
      <c r="AB35" s="441"/>
      <c r="AC35" s="441"/>
      <c r="AD35" s="441"/>
      <c r="AE35" s="399"/>
      <c r="AF35" s="399"/>
      <c r="AG35" s="399" t="s">
        <v>1093</v>
      </c>
      <c r="AH35" s="399"/>
      <c r="AI35" s="399"/>
      <c r="AJ35" s="399"/>
      <c r="AK35" s="398"/>
    </row>
    <row r="36" spans="1:37" s="391" customFormat="1">
      <c r="A36" s="403" t="s">
        <v>1439</v>
      </c>
      <c r="B36" s="402"/>
      <c r="C36" s="402"/>
      <c r="D36" s="402"/>
      <c r="E36" s="402"/>
      <c r="F36" s="402"/>
      <c r="G36" s="402"/>
      <c r="H36" s="402"/>
      <c r="I36" s="402"/>
      <c r="J36" s="402"/>
      <c r="K36" s="402"/>
      <c r="L36" s="402"/>
      <c r="M36" s="402"/>
      <c r="N36" s="402"/>
      <c r="O36" s="402"/>
      <c r="P36" s="402"/>
      <c r="Q36" s="402"/>
      <c r="R36" s="402"/>
      <c r="S36" s="402"/>
      <c r="T36" s="402"/>
      <c r="U36" s="402"/>
      <c r="V36" s="402"/>
      <c r="W36" s="399"/>
      <c r="X36" s="399"/>
      <c r="Y36" s="399"/>
      <c r="Z36" s="399"/>
      <c r="AA36" s="399"/>
      <c r="AB36" s="399"/>
      <c r="AC36" s="399"/>
      <c r="AD36" s="399"/>
      <c r="AE36" s="399"/>
      <c r="AF36" s="399"/>
      <c r="AG36" s="399"/>
      <c r="AH36" s="399"/>
      <c r="AI36" s="399"/>
      <c r="AJ36" s="399"/>
      <c r="AK36" s="398"/>
    </row>
    <row r="37" spans="1:37" ht="19.5" customHeight="1" thickBot="1">
      <c r="A37" s="440" t="str">
        <f>+LEFT('Input data'!$B$42,1)</f>
        <v>a</v>
      </c>
      <c r="B37" s="439" t="str">
        <f>+MID('Input data'!$B$42,2,1)</f>
        <v>c</v>
      </c>
      <c r="C37" s="439" t="str">
        <f>+MID('Input data'!$B$42,3,1)</f>
        <v>c</v>
      </c>
      <c r="D37" s="439" t="str">
        <f>+MID('Input data'!$B$42,4,1)</f>
        <v>o</v>
      </c>
      <c r="E37" s="439" t="str">
        <f>+MID('Input data'!$B$42,5,1)</f>
        <v>u</v>
      </c>
      <c r="F37" s="439" t="str">
        <f>+MID('Input data'!$B$42,6,1)</f>
        <v>n</v>
      </c>
      <c r="G37" s="439" t="str">
        <f>+MID('Input data'!$B$42,7,1)</f>
        <v>t</v>
      </c>
      <c r="H37" s="439" t="str">
        <f>+MID('Input data'!$B$42,8,1)</f>
        <v>i</v>
      </c>
      <c r="I37" s="439" t="str">
        <f>+MID('Input data'!$B$42,9,1)</f>
        <v>n</v>
      </c>
      <c r="J37" s="439" t="str">
        <f>+MID('Input data'!$B$42,10,1)</f>
        <v>g</v>
      </c>
      <c r="K37" s="439" t="str">
        <f>+MID('Input data'!$B$42,11,1)</f>
        <v>@</v>
      </c>
      <c r="L37" s="439" t="str">
        <f>+MID('Input data'!$B$42,12,1)</f>
        <v>o</v>
      </c>
      <c r="M37" s="439" t="str">
        <f>+MID('Input data'!$B$42,13,1)</f>
        <v>p</v>
      </c>
      <c r="N37" s="439" t="str">
        <f>+MID('Input data'!$B$42,14,1)</f>
        <v>t</v>
      </c>
      <c r="O37" s="439" t="str">
        <f>+MID('Input data'!$B$42,15,1)</f>
        <v>o</v>
      </c>
      <c r="P37" s="439" t="str">
        <f>+MID('Input data'!$B$42,16,1)</f>
        <v>c</v>
      </c>
      <c r="Q37" s="439" t="str">
        <f>+MID('Input data'!$B$42,17,1)</f>
        <v>o</v>
      </c>
      <c r="R37" s="439" t="str">
        <f>+MID('Input data'!$B$42,18,1)</f>
        <v>n</v>
      </c>
      <c r="S37" s="439" t="str">
        <f>+MID('Input data'!$B$42,19,1)</f>
        <v>.</v>
      </c>
      <c r="T37" s="439" t="str">
        <f>+MID('Input data'!$B$42,20,1)</f>
        <v>s</v>
      </c>
      <c r="U37" s="439" t="str">
        <f>+MID('Input data'!$B$42,21,1)</f>
        <v>k</v>
      </c>
      <c r="V37" s="439" t="str">
        <f>+MID('Input data'!$B$42,22,1)</f>
        <v/>
      </c>
      <c r="W37" s="439" t="str">
        <f>+MID('Input data'!$B$42,23,1)</f>
        <v/>
      </c>
      <c r="X37" s="439" t="str">
        <f>+MID('Input data'!$B$42,24,1)</f>
        <v/>
      </c>
      <c r="Y37" s="439" t="str">
        <f>+MID('Input data'!$B$42,25,1)</f>
        <v/>
      </c>
      <c r="Z37" s="439" t="str">
        <f>+MID('Input data'!$B$42,26,1)</f>
        <v/>
      </c>
      <c r="AA37" s="439" t="str">
        <f>+MID('Input data'!$B$42,27,1)</f>
        <v/>
      </c>
      <c r="AB37" s="439" t="str">
        <f>+MID('Input data'!$B$42,28,1)</f>
        <v/>
      </c>
      <c r="AC37" s="439" t="str">
        <f>+MID('Input data'!$B$42,29,1)</f>
        <v/>
      </c>
      <c r="AD37" s="439" t="str">
        <f>+MID('Input data'!$B$42,30,1)</f>
        <v/>
      </c>
      <c r="AE37" s="439" t="str">
        <f>+MID('Input data'!$B$42,31,1)</f>
        <v/>
      </c>
      <c r="AF37" s="439" t="str">
        <f>+MID('Input data'!$B$42,32,1)</f>
        <v/>
      </c>
      <c r="AG37" s="439" t="str">
        <f>+MID('Input data'!$B$42,33,1)</f>
        <v/>
      </c>
      <c r="AH37" s="439" t="str">
        <f>+MID('Input data'!$B$42,34,1)</f>
        <v/>
      </c>
      <c r="AI37" s="439" t="str">
        <f>+MID('Input data'!$B$42,35,1)</f>
        <v/>
      </c>
      <c r="AJ37" s="439" t="str">
        <f>+MID('Input data'!$B$42,36,1)</f>
        <v/>
      </c>
      <c r="AK37" s="438" t="str">
        <f>+MID('Input data'!$B$42,37,1)</f>
        <v/>
      </c>
    </row>
    <row r="38" spans="1:37" s="391" customFormat="1" ht="3.75" customHeight="1" thickBot="1">
      <c r="W38" s="392"/>
      <c r="X38" s="392"/>
      <c r="Y38" s="392"/>
      <c r="Z38" s="392"/>
      <c r="AA38" s="392"/>
      <c r="AB38" s="392"/>
      <c r="AC38" s="392"/>
      <c r="AD38" s="392"/>
      <c r="AE38" s="392"/>
      <c r="AF38" s="392"/>
      <c r="AG38" s="392"/>
      <c r="AH38" s="392"/>
      <c r="AI38" s="392"/>
      <c r="AJ38" s="392"/>
      <c r="AK38" s="392"/>
    </row>
    <row r="39" spans="1:37" s="434" customFormat="1" ht="12.75" customHeight="1">
      <c r="A39" s="437" t="s">
        <v>1311</v>
      </c>
      <c r="B39" s="436"/>
      <c r="C39" s="436"/>
      <c r="D39" s="436"/>
      <c r="E39" s="436"/>
      <c r="F39" s="436"/>
      <c r="G39" s="436"/>
      <c r="H39" s="436"/>
      <c r="I39" s="436"/>
      <c r="J39" s="436"/>
      <c r="K39" s="830"/>
      <c r="L39" s="1294" t="s">
        <v>1309</v>
      </c>
      <c r="M39" s="436"/>
      <c r="N39" s="436"/>
      <c r="O39" s="436"/>
      <c r="P39" s="436"/>
      <c r="Q39" s="436"/>
      <c r="R39" s="436"/>
      <c r="S39" s="436"/>
      <c r="T39" s="436"/>
      <c r="U39" s="436"/>
      <c r="V39" s="435"/>
      <c r="W39" s="1610" t="s">
        <v>2583</v>
      </c>
      <c r="X39" s="1610"/>
      <c r="Y39" s="1610"/>
      <c r="Z39" s="1610"/>
      <c r="AA39" s="1610"/>
      <c r="AB39" s="1610"/>
      <c r="AC39" s="1610"/>
      <c r="AD39" s="1610"/>
      <c r="AE39" s="1610"/>
      <c r="AF39" s="1610"/>
      <c r="AG39" s="1610"/>
      <c r="AH39" s="1610"/>
      <c r="AI39" s="1610"/>
      <c r="AJ39" s="1610"/>
      <c r="AK39" s="1611"/>
    </row>
    <row r="40" spans="1:37" s="391" customFormat="1" ht="31.5" customHeight="1">
      <c r="A40" s="420" t="str">
        <f>MID(TEXT('Input data'!$F$34,"dd.mm.yyyy"),1,1)</f>
        <v>1</v>
      </c>
      <c r="B40" s="419" t="str">
        <f>MID(TEXT('Input data'!$F$34,"dd.mm.yyyy"),2,1)</f>
        <v>5</v>
      </c>
      <c r="C40" s="418" t="s">
        <v>1063</v>
      </c>
      <c r="D40" s="419" t="str">
        <f>MID(TEXT('Input data'!$F$34,"dd.mm.yyyy"),4,1)</f>
        <v>0</v>
      </c>
      <c r="E40" s="419" t="str">
        <f>MID(TEXT('Input data'!$F$34,"dd.mm.yyyy"),5,1)</f>
        <v>5</v>
      </c>
      <c r="F40" s="418" t="s">
        <v>1063</v>
      </c>
      <c r="G40" s="417" t="str">
        <f>MID(TEXT('Input data'!$F$34,"dd.mm.yyyy"),7,1)</f>
        <v>2</v>
      </c>
      <c r="H40" s="417" t="str">
        <f>MID(TEXT('Input data'!$F$34,"dd.mm.yyyy"),8,1)</f>
        <v>0</v>
      </c>
      <c r="I40" s="417" t="str">
        <f>MID(TEXT('Input data'!$F$34,"dd.mm.yyyy"),9,1)</f>
        <v>1</v>
      </c>
      <c r="J40" s="417" t="str">
        <f>MID(TEXT('Input data'!$F$34,"dd.mm.yyyy"),10,1)</f>
        <v>8</v>
      </c>
      <c r="K40" s="433"/>
      <c r="L40" s="419" t="str">
        <f>IF('Input data'!$F$36="","",LEFT(TEXT('Input data'!$F$36,"dd.mm.yyyy"),1))</f>
        <v/>
      </c>
      <c r="M40" s="419" t="str">
        <f>IF('Input data'!$F$36="","",MID(TEXT('Input data'!$F$36,"dd.mm.yyyy"),2,1))</f>
        <v/>
      </c>
      <c r="N40" s="418" t="s">
        <v>1063</v>
      </c>
      <c r="O40" s="419" t="str">
        <f>IF('Input data'!$F$36="","",MID(TEXT('Input data'!$F$36,"dd.mm.yyyy"),4,1))</f>
        <v/>
      </c>
      <c r="P40" s="419" t="str">
        <f>IF('Input data'!$F$36="","",MID(TEXT('Input data'!$F$36,"dd.mm.yyyy"),5,1))</f>
        <v/>
      </c>
      <c r="Q40" s="418" t="s">
        <v>1063</v>
      </c>
      <c r="R40" s="417" t="str">
        <f>IF('Input data'!$F$36="","",MID(TEXT('Input data'!$F$36,"dd.mm.yyyy"),7,1))</f>
        <v/>
      </c>
      <c r="S40" s="417" t="str">
        <f>IF('Input data'!$F$36="","",MID(TEXT('Input data'!$F$36,"dd.mm.yyyy"),8,1))</f>
        <v/>
      </c>
      <c r="T40" s="417" t="str">
        <f>IF('Input data'!$F$36="","",MID(TEXT('Input data'!$F$36,"dd.mm.yyyy"),9,1))</f>
        <v/>
      </c>
      <c r="U40" s="417" t="str">
        <f>IF('Input data'!$F$36="","",MID(TEXT('Input data'!$F$36,"dd.mm.yyyy"),10,1))</f>
        <v/>
      </c>
      <c r="V40" s="433"/>
      <c r="W40" s="1612"/>
      <c r="X40" s="1612"/>
      <c r="Y40" s="1612"/>
      <c r="Z40" s="1612"/>
      <c r="AA40" s="1612"/>
      <c r="AB40" s="1612"/>
      <c r="AC40" s="1612"/>
      <c r="AD40" s="1612"/>
      <c r="AE40" s="1612"/>
      <c r="AF40" s="1612"/>
      <c r="AG40" s="1612"/>
      <c r="AH40" s="1612"/>
      <c r="AI40" s="1612"/>
      <c r="AJ40" s="1612"/>
      <c r="AK40" s="1613"/>
    </row>
    <row r="41" spans="1:37" s="391" customFormat="1" ht="13.5" customHeight="1">
      <c r="A41" s="403"/>
      <c r="B41" s="402"/>
      <c r="C41" s="402"/>
      <c r="D41" s="402"/>
      <c r="E41" s="402"/>
      <c r="F41" s="402"/>
      <c r="G41" s="428"/>
      <c r="H41" s="428"/>
      <c r="I41" s="428"/>
      <c r="J41" s="428"/>
      <c r="K41" s="427"/>
      <c r="L41" s="402"/>
      <c r="M41" s="402"/>
      <c r="N41" s="402"/>
      <c r="O41" s="402"/>
      <c r="P41" s="402"/>
      <c r="Q41" s="402"/>
      <c r="R41" s="428"/>
      <c r="S41" s="428"/>
      <c r="T41" s="428"/>
      <c r="U41" s="428"/>
      <c r="V41" s="427"/>
      <c r="W41" s="1614"/>
      <c r="X41" s="1615"/>
      <c r="Y41" s="1615"/>
      <c r="Z41" s="1615"/>
      <c r="AA41" s="1615"/>
      <c r="AB41" s="1615"/>
      <c r="AC41" s="1615"/>
      <c r="AD41" s="1615"/>
      <c r="AE41" s="1615"/>
      <c r="AF41" s="1615"/>
      <c r="AG41" s="1615"/>
      <c r="AH41" s="1615"/>
      <c r="AI41" s="1615"/>
      <c r="AJ41" s="1615"/>
      <c r="AK41" s="1616"/>
    </row>
    <row r="42" spans="1:37" s="391" customFormat="1" ht="15.75" customHeight="1" thickBot="1">
      <c r="A42" s="396"/>
      <c r="B42" s="395"/>
      <c r="C42" s="395"/>
      <c r="D42" s="395"/>
      <c r="E42" s="395"/>
      <c r="F42" s="395"/>
      <c r="G42" s="1052"/>
      <c r="H42" s="1052"/>
      <c r="I42" s="1052"/>
      <c r="J42" s="1052"/>
      <c r="K42" s="1053"/>
      <c r="L42" s="1054"/>
      <c r="M42" s="1054"/>
      <c r="N42" s="1054"/>
      <c r="O42" s="1054"/>
      <c r="P42" s="1054"/>
      <c r="Q42" s="1054"/>
      <c r="R42" s="1054"/>
      <c r="S42" s="395"/>
      <c r="T42" s="1055"/>
      <c r="U42" s="1055"/>
      <c r="V42" s="1056"/>
      <c r="W42" s="1617"/>
      <c r="X42" s="1618"/>
      <c r="Y42" s="1618"/>
      <c r="Z42" s="1618"/>
      <c r="AA42" s="1618"/>
      <c r="AB42" s="1618"/>
      <c r="AC42" s="1618"/>
      <c r="AD42" s="1618"/>
      <c r="AE42" s="1618"/>
      <c r="AF42" s="1618"/>
      <c r="AG42" s="1618"/>
      <c r="AH42" s="1618"/>
      <c r="AI42" s="1618"/>
      <c r="AJ42" s="1618"/>
      <c r="AK42" s="1619"/>
    </row>
    <row r="43" spans="1:37" s="397" customFormat="1" ht="5.25" customHeight="1" thickBot="1">
      <c r="A43" s="400"/>
      <c r="B43" s="400"/>
      <c r="C43" s="400"/>
      <c r="D43" s="400"/>
      <c r="E43" s="400"/>
      <c r="F43" s="400"/>
      <c r="G43" s="400"/>
      <c r="H43" s="400"/>
      <c r="I43" s="400"/>
      <c r="J43" s="400"/>
      <c r="K43" s="400"/>
      <c r="L43" s="1038"/>
      <c r="M43" s="1038"/>
      <c r="N43" s="1038"/>
      <c r="O43" s="1038"/>
      <c r="P43" s="1038"/>
      <c r="Q43" s="1038"/>
      <c r="R43" s="1038"/>
      <c r="S43" s="1038"/>
      <c r="T43" s="1038"/>
      <c r="U43" s="1038"/>
      <c r="V43" s="1038"/>
      <c r="W43" s="1038"/>
      <c r="X43" s="1038"/>
      <c r="Y43" s="1038"/>
      <c r="Z43" s="1038"/>
      <c r="AA43" s="1038"/>
      <c r="AB43" s="1038"/>
      <c r="AC43" s="1039"/>
      <c r="AD43" s="1039"/>
      <c r="AE43" s="1039"/>
      <c r="AF43" s="1039"/>
      <c r="AG43" s="1039"/>
      <c r="AH43" s="1039"/>
      <c r="AI43" s="1039"/>
      <c r="AJ43" s="1039"/>
      <c r="AK43" s="1039"/>
    </row>
    <row r="44" spans="1:37" s="397" customFormat="1">
      <c r="B44" s="409" t="s">
        <v>1443</v>
      </c>
      <c r="C44" s="408"/>
      <c r="D44" s="408"/>
      <c r="E44" s="408"/>
      <c r="F44" s="408"/>
      <c r="G44" s="408"/>
      <c r="H44" s="408"/>
      <c r="I44" s="408"/>
      <c r="J44" s="408"/>
      <c r="K44" s="408"/>
      <c r="L44" s="408"/>
      <c r="M44" s="408"/>
      <c r="N44" s="408"/>
      <c r="O44" s="408"/>
      <c r="P44" s="408"/>
      <c r="Q44" s="408"/>
      <c r="R44" s="408"/>
      <c r="S44" s="408"/>
      <c r="T44" s="408"/>
      <c r="U44" s="408"/>
      <c r="V44" s="408"/>
      <c r="W44" s="407"/>
      <c r="X44" s="407"/>
      <c r="Y44" s="407"/>
      <c r="Z44" s="407"/>
      <c r="AA44" s="407"/>
      <c r="AB44" s="407"/>
      <c r="AC44" s="407"/>
      <c r="AD44" s="407"/>
      <c r="AE44" s="407"/>
      <c r="AF44" s="407"/>
      <c r="AG44" s="407"/>
      <c r="AH44" s="407"/>
      <c r="AI44" s="407"/>
      <c r="AJ44" s="406"/>
      <c r="AK44" s="392"/>
    </row>
    <row r="45" spans="1:37" s="397" customFormat="1">
      <c r="B45" s="401"/>
      <c r="C45" s="400"/>
      <c r="D45" s="400"/>
      <c r="E45" s="400"/>
      <c r="F45" s="400"/>
      <c r="G45" s="400"/>
      <c r="H45" s="400"/>
      <c r="I45" s="400"/>
      <c r="J45" s="400"/>
      <c r="K45" s="400"/>
      <c r="L45" s="400"/>
      <c r="M45" s="400"/>
      <c r="N45" s="400"/>
      <c r="O45" s="400"/>
      <c r="P45" s="400"/>
      <c r="Q45" s="400"/>
      <c r="R45" s="400"/>
      <c r="S45" s="400"/>
      <c r="T45" s="400"/>
      <c r="U45" s="400"/>
      <c r="V45" s="400"/>
      <c r="W45" s="399"/>
      <c r="X45" s="399"/>
      <c r="Y45" s="399"/>
      <c r="Z45" s="399"/>
      <c r="AA45" s="399"/>
      <c r="AB45" s="399"/>
      <c r="AC45" s="399"/>
      <c r="AD45" s="399"/>
      <c r="AE45" s="399"/>
      <c r="AF45" s="399"/>
      <c r="AG45" s="399"/>
      <c r="AH45" s="399"/>
      <c r="AI45" s="399"/>
      <c r="AJ45" s="398"/>
      <c r="AK45" s="392"/>
    </row>
    <row r="46" spans="1:37" ht="12.75" customHeight="1">
      <c r="B46" s="405"/>
      <c r="C46" s="1275"/>
      <c r="D46" s="1275"/>
      <c r="E46" s="1275"/>
      <c r="F46" s="1275"/>
      <c r="G46" s="1275"/>
      <c r="H46" s="1275"/>
      <c r="I46" s="1275"/>
      <c r="J46" s="1275"/>
      <c r="K46" s="1275"/>
      <c r="L46" s="1275"/>
      <c r="M46" s="1275"/>
      <c r="N46" s="1275"/>
      <c r="O46" s="1275"/>
      <c r="P46" s="1275"/>
      <c r="Q46" s="1275"/>
      <c r="R46" s="1275"/>
      <c r="S46" s="1275"/>
      <c r="T46" s="1275"/>
      <c r="U46" s="1275"/>
      <c r="V46" s="1275"/>
      <c r="W46" s="399"/>
      <c r="X46" s="399"/>
      <c r="Y46" s="399"/>
      <c r="Z46" s="399"/>
      <c r="AA46" s="399"/>
      <c r="AB46" s="399"/>
      <c r="AC46" s="399"/>
      <c r="AD46" s="399"/>
      <c r="AE46" s="399"/>
      <c r="AF46" s="399"/>
      <c r="AG46" s="399"/>
      <c r="AH46" s="399"/>
      <c r="AI46" s="399"/>
      <c r="AJ46" s="398"/>
      <c r="AK46" s="392"/>
    </row>
    <row r="47" spans="1:37" s="391" customFormat="1">
      <c r="B47" s="403"/>
      <c r="C47" s="402"/>
      <c r="D47" s="402"/>
      <c r="E47" s="402"/>
      <c r="F47" s="402"/>
      <c r="G47" s="402"/>
      <c r="H47" s="402"/>
      <c r="I47" s="402"/>
      <c r="J47" s="402"/>
      <c r="K47" s="402"/>
      <c r="L47" s="402"/>
      <c r="M47" s="402"/>
      <c r="N47" s="402"/>
      <c r="O47" s="402"/>
      <c r="P47" s="402"/>
      <c r="Q47" s="402"/>
      <c r="R47" s="402"/>
      <c r="S47" s="402"/>
      <c r="T47" s="402"/>
      <c r="U47" s="402"/>
      <c r="V47" s="402"/>
      <c r="W47" s="399"/>
      <c r="X47" s="399"/>
      <c r="Y47" s="399"/>
      <c r="Z47" s="399"/>
      <c r="AA47" s="399"/>
      <c r="AB47" s="399"/>
      <c r="AC47" s="399"/>
      <c r="AD47" s="399"/>
      <c r="AE47" s="399"/>
      <c r="AF47" s="399"/>
      <c r="AG47" s="399"/>
      <c r="AH47" s="399"/>
      <c r="AI47" s="399"/>
      <c r="AJ47" s="398"/>
      <c r="AK47" s="392"/>
    </row>
    <row r="48" spans="1:37" s="391" customFormat="1">
      <c r="B48" s="403"/>
      <c r="C48" s="402"/>
      <c r="D48" s="402"/>
      <c r="E48" s="402"/>
      <c r="F48" s="402"/>
      <c r="G48" s="402"/>
      <c r="H48" s="402"/>
      <c r="I48" s="402"/>
      <c r="J48" s="402"/>
      <c r="K48" s="402"/>
      <c r="L48" s="402"/>
      <c r="M48" s="402"/>
      <c r="N48" s="402"/>
      <c r="O48" s="402"/>
      <c r="P48" s="402"/>
      <c r="Q48" s="402"/>
      <c r="R48" s="402"/>
      <c r="S48" s="402"/>
      <c r="T48" s="402"/>
      <c r="U48" s="402"/>
      <c r="V48" s="402"/>
      <c r="W48" s="399"/>
      <c r="X48" s="399"/>
      <c r="Y48" s="399"/>
      <c r="Z48" s="399"/>
      <c r="AA48" s="399"/>
      <c r="AB48" s="399"/>
      <c r="AC48" s="399"/>
      <c r="AD48" s="399"/>
      <c r="AE48" s="399"/>
      <c r="AF48" s="399"/>
      <c r="AG48" s="399"/>
      <c r="AH48" s="399"/>
      <c r="AI48" s="399"/>
      <c r="AJ48" s="398"/>
      <c r="AK48" s="392"/>
    </row>
    <row r="49" spans="2:37" s="397" customFormat="1">
      <c r="B49" s="401"/>
      <c r="C49" s="400"/>
      <c r="D49" s="400"/>
      <c r="E49" s="400"/>
      <c r="F49" s="400"/>
      <c r="G49" s="400"/>
      <c r="H49" s="400"/>
      <c r="I49" s="400"/>
      <c r="J49" s="400"/>
      <c r="K49" s="400"/>
      <c r="L49" s="400"/>
      <c r="M49" s="400"/>
      <c r="N49" s="400"/>
      <c r="O49" s="400"/>
      <c r="P49" s="400"/>
      <c r="Q49" s="400"/>
      <c r="R49" s="400"/>
      <c r="S49" s="400"/>
      <c r="T49" s="400"/>
      <c r="U49" s="400"/>
      <c r="V49" s="400"/>
      <c r="W49" s="399"/>
      <c r="X49" s="399"/>
      <c r="Y49" s="399"/>
      <c r="Z49" s="399"/>
      <c r="AA49" s="399"/>
      <c r="AB49" s="399"/>
      <c r="AC49" s="399"/>
      <c r="AD49" s="399"/>
      <c r="AE49" s="399"/>
      <c r="AF49" s="399"/>
      <c r="AG49" s="399"/>
      <c r="AH49" s="399"/>
      <c r="AI49" s="399"/>
      <c r="AJ49" s="398"/>
      <c r="AK49" s="392"/>
    </row>
    <row r="50" spans="2:37" s="397" customFormat="1">
      <c r="B50" s="401"/>
      <c r="C50" s="400"/>
      <c r="D50" s="400"/>
      <c r="E50" s="400"/>
      <c r="F50" s="400"/>
      <c r="G50" s="400"/>
      <c r="H50" s="400"/>
      <c r="I50" s="400"/>
      <c r="J50" s="400"/>
      <c r="K50" s="400"/>
      <c r="L50" s="400"/>
      <c r="M50" s="400"/>
      <c r="N50" s="400"/>
      <c r="O50" s="400"/>
      <c r="P50" s="400"/>
      <c r="Q50" s="400"/>
      <c r="R50" s="400"/>
      <c r="S50" s="400"/>
      <c r="T50" s="400"/>
      <c r="U50" s="400"/>
      <c r="V50" s="400"/>
      <c r="W50" s="399"/>
      <c r="X50" s="399"/>
      <c r="Y50" s="399"/>
      <c r="Z50" s="399"/>
      <c r="AA50" s="399"/>
      <c r="AB50" s="399"/>
      <c r="AC50" s="399"/>
      <c r="AD50" s="399"/>
      <c r="AE50" s="399"/>
      <c r="AF50" s="399"/>
      <c r="AG50" s="399"/>
      <c r="AH50" s="399"/>
      <c r="AI50" s="399"/>
      <c r="AJ50" s="398"/>
      <c r="AK50" s="392"/>
    </row>
    <row r="51" spans="2:37" s="397" customFormat="1">
      <c r="B51" s="401"/>
      <c r="C51" s="400"/>
      <c r="D51" s="400"/>
      <c r="E51" s="400"/>
      <c r="F51" s="400"/>
      <c r="G51" s="400"/>
      <c r="H51" s="400"/>
      <c r="I51" s="400"/>
      <c r="J51" s="400"/>
      <c r="K51" s="400"/>
      <c r="L51" s="400"/>
      <c r="M51" s="400"/>
      <c r="N51" s="400"/>
      <c r="O51" s="400"/>
      <c r="P51" s="400"/>
      <c r="Q51" s="400"/>
      <c r="R51" s="400"/>
      <c r="S51" s="400"/>
      <c r="T51" s="400"/>
      <c r="U51" s="400"/>
      <c r="V51" s="400"/>
      <c r="W51" s="399"/>
      <c r="X51" s="399"/>
      <c r="Y51" s="399"/>
      <c r="Z51" s="399"/>
      <c r="AA51" s="399"/>
      <c r="AB51" s="399"/>
      <c r="AC51" s="399"/>
      <c r="AD51" s="399"/>
      <c r="AE51" s="399"/>
      <c r="AF51" s="399"/>
      <c r="AG51" s="399"/>
      <c r="AH51" s="399"/>
      <c r="AI51" s="399"/>
      <c r="AJ51" s="398"/>
      <c r="AK51" s="392"/>
    </row>
    <row r="52" spans="2:37" s="397" customFormat="1">
      <c r="B52" s="401"/>
      <c r="C52" s="400"/>
      <c r="D52" s="400"/>
      <c r="E52" s="400"/>
      <c r="F52" s="400"/>
      <c r="G52" s="400"/>
      <c r="H52" s="400"/>
      <c r="I52" s="400"/>
      <c r="J52" s="400"/>
      <c r="K52" s="400"/>
      <c r="L52" s="400"/>
      <c r="M52" s="400"/>
      <c r="N52" s="400"/>
      <c r="O52" s="400"/>
      <c r="P52" s="400"/>
      <c r="Q52" s="400"/>
      <c r="R52" s="400"/>
      <c r="S52" s="400"/>
      <c r="T52" s="400"/>
      <c r="U52" s="400"/>
      <c r="V52" s="400"/>
      <c r="W52" s="399"/>
      <c r="X52" s="399"/>
      <c r="Y52" s="399"/>
      <c r="Z52" s="399"/>
      <c r="AA52" s="399"/>
      <c r="AB52" s="399"/>
      <c r="AC52" s="399"/>
      <c r="AD52" s="399"/>
      <c r="AE52" s="399"/>
      <c r="AF52" s="399"/>
      <c r="AG52" s="399"/>
      <c r="AH52" s="399"/>
      <c r="AI52" s="399"/>
      <c r="AJ52" s="398"/>
      <c r="AK52" s="392"/>
    </row>
    <row r="53" spans="2:37" s="397" customFormat="1" ht="13.5" thickBot="1">
      <c r="B53" s="412"/>
      <c r="C53" s="411"/>
      <c r="D53" s="411"/>
      <c r="E53" s="411"/>
      <c r="F53" s="411"/>
      <c r="G53" s="395" t="s">
        <v>1444</v>
      </c>
      <c r="H53" s="411"/>
      <c r="I53" s="411"/>
      <c r="J53" s="411"/>
      <c r="K53" s="411"/>
      <c r="L53" s="411"/>
      <c r="M53" s="411"/>
      <c r="N53" s="411"/>
      <c r="O53" s="411"/>
      <c r="P53" s="411"/>
      <c r="Q53" s="411"/>
      <c r="R53" s="411"/>
      <c r="S53" s="411"/>
      <c r="T53" s="411"/>
      <c r="U53" s="395" t="s">
        <v>1445</v>
      </c>
      <c r="V53" s="411"/>
      <c r="W53" s="394"/>
      <c r="X53" s="394"/>
      <c r="Y53" s="394"/>
      <c r="Z53" s="394"/>
      <c r="AA53" s="394"/>
      <c r="AB53" s="394"/>
      <c r="AC53" s="394"/>
      <c r="AD53" s="394"/>
      <c r="AE53" s="394"/>
      <c r="AF53" s="394"/>
      <c r="AG53" s="394"/>
      <c r="AH53" s="394"/>
      <c r="AI53" s="394"/>
      <c r="AJ53" s="393"/>
      <c r="AK53" s="392"/>
    </row>
    <row r="54" spans="2:37" s="391" customFormat="1" ht="4.5" customHeight="1">
      <c r="B54" s="402"/>
      <c r="C54" s="402"/>
      <c r="D54" s="402"/>
      <c r="E54" s="402"/>
      <c r="F54" s="402"/>
      <c r="G54" s="402"/>
      <c r="H54" s="402"/>
      <c r="I54" s="402"/>
      <c r="J54" s="402"/>
      <c r="K54" s="402"/>
      <c r="L54" s="402"/>
      <c r="M54" s="402"/>
      <c r="N54" s="402"/>
      <c r="O54" s="402"/>
      <c r="P54" s="402"/>
      <c r="Q54" s="402"/>
      <c r="R54" s="402"/>
      <c r="S54" s="402"/>
      <c r="T54" s="402"/>
      <c r="U54" s="402"/>
      <c r="V54" s="402"/>
      <c r="W54" s="399"/>
      <c r="X54" s="399"/>
      <c r="Y54" s="399"/>
      <c r="Z54" s="399"/>
      <c r="AA54" s="399"/>
      <c r="AB54" s="399"/>
      <c r="AC54" s="399"/>
      <c r="AD54" s="399"/>
      <c r="AE54" s="399"/>
      <c r="AF54" s="399"/>
      <c r="AG54" s="399"/>
      <c r="AH54" s="399"/>
      <c r="AI54" s="399"/>
      <c r="AJ54" s="399"/>
      <c r="AK54" s="392"/>
    </row>
  </sheetData>
  <mergeCells count="3">
    <mergeCell ref="W39:AK40"/>
    <mergeCell ref="W41:AK42"/>
    <mergeCell ref="W13:AA15"/>
  </mergeCells>
  <pageMargins left="0.39370078740157483" right="0.39370078740157483" top="0.35433070866141736" bottom="0.35433070866141736" header="0.23622047244094491" footer="0.23622047244094491"/>
  <pageSetup paperSize="9" scale="98" orientation="portrait" r:id="rId1"/>
  <headerFooter alignWithMargins="0">
    <oddFooter>&amp;LMF SR No. 18009/2014&amp;CTHIS IS A TRANSLATION OF THE ORIGINAL SLOVAK DOCUMENT.&amp;RPage 1</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B5"/>
  <sheetViews>
    <sheetView showGridLines="0" zoomScaleNormal="100" workbookViewId="0">
      <selection activeCell="A16" sqref="A16"/>
    </sheetView>
  </sheetViews>
  <sheetFormatPr defaultRowHeight="15"/>
  <cols>
    <col min="1" max="2" width="43.28515625" customWidth="1"/>
    <col min="3" max="3" width="19.140625" customWidth="1"/>
  </cols>
  <sheetData>
    <row r="1" spans="1:2" ht="17.25" thickBot="1">
      <c r="A1" s="1" t="s">
        <v>35</v>
      </c>
    </row>
    <row r="2" spans="1:2" ht="21" customHeight="1" thickTop="1" thickBot="1">
      <c r="A2" s="585" t="s">
        <v>20</v>
      </c>
      <c r="B2" s="586" t="s">
        <v>36</v>
      </c>
    </row>
    <row r="3" spans="1:2" ht="23.25" customHeight="1" thickTop="1" thickBot="1">
      <c r="A3" s="12" t="s">
        <v>37</v>
      </c>
      <c r="B3" s="13"/>
    </row>
    <row r="4" spans="1:2" ht="23.25" customHeight="1" thickBot="1">
      <c r="A4" s="16" t="s">
        <v>38</v>
      </c>
      <c r="B4" s="17"/>
    </row>
    <row r="5" spans="1:2" ht="15.75" thickTop="1"/>
  </sheetData>
  <pageMargins left="0.7" right="0.7" top="0.75" bottom="0.75" header="0.3" footer="0.3"/>
  <pageSetup paperSize="9" orientation="portrait" horizontalDpi="300" verticalDpi="300"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outlinePr summaryBelow="0" summaryRight="0"/>
  </sheetPr>
  <dimension ref="A1:AX51"/>
  <sheetViews>
    <sheetView showGridLines="0" view="pageBreakPreview" topLeftCell="A25" zoomScaleNormal="100" zoomScaleSheetLayoutView="100" workbookViewId="0">
      <selection activeCell="U51" sqref="U51"/>
    </sheetView>
  </sheetViews>
  <sheetFormatPr defaultColWidth="9.140625" defaultRowHeight="12.75"/>
  <cols>
    <col min="1" max="37" width="2.5703125" style="390" customWidth="1"/>
    <col min="38" max="38" width="0.140625" style="390" customWidth="1"/>
    <col min="39" max="39" width="2" style="390" customWidth="1"/>
    <col min="40" max="40" width="0.42578125" style="390" customWidth="1"/>
    <col min="41" max="41" width="2.5703125" style="390" customWidth="1"/>
    <col min="42" max="42" width="9.140625" style="390"/>
    <col min="43" max="45" width="2.5703125" style="390" customWidth="1"/>
    <col min="46" max="46" width="7.7109375" style="390" customWidth="1"/>
    <col min="47" max="61" width="2.5703125" style="390" customWidth="1"/>
    <col min="62" max="16384" width="9.140625" style="390"/>
  </cols>
  <sheetData>
    <row r="1" spans="1:37" s="500" customFormat="1" ht="10.5" customHeight="1" thickBot="1">
      <c r="B1" s="817"/>
      <c r="C1" s="817" t="s">
        <v>1061</v>
      </c>
      <c r="N1" s="2394" t="s">
        <v>1412</v>
      </c>
      <c r="O1" s="2394"/>
      <c r="P1" s="2394"/>
      <c r="Q1" s="2394"/>
      <c r="R1" s="2394"/>
      <c r="S1" s="2394"/>
      <c r="T1" s="2394"/>
      <c r="U1" s="2394"/>
      <c r="V1" s="2394"/>
      <c r="W1" s="2394"/>
      <c r="X1" s="2416"/>
    </row>
    <row r="2" spans="1:37" s="397" customFormat="1" ht="21" customHeight="1" thickBot="1">
      <c r="B2" s="819"/>
      <c r="C2" s="820" t="s">
        <v>1413</v>
      </c>
      <c r="D2" s="820"/>
      <c r="E2" s="820"/>
      <c r="F2" s="820"/>
      <c r="G2" s="820"/>
      <c r="H2" s="820"/>
      <c r="I2" s="820"/>
      <c r="J2" s="821"/>
      <c r="K2" s="820"/>
      <c r="L2" s="820"/>
      <c r="M2" s="822"/>
      <c r="N2" s="2394"/>
      <c r="O2" s="2394"/>
      <c r="P2" s="2394"/>
      <c r="Q2" s="2394" t="s">
        <v>1412</v>
      </c>
      <c r="R2" s="2394"/>
      <c r="S2" s="2394"/>
      <c r="T2" s="2394"/>
      <c r="U2" s="2394"/>
      <c r="V2" s="2394"/>
      <c r="W2" s="2394"/>
      <c r="X2" s="2416"/>
    </row>
    <row r="3" spans="1:37" ht="13.5" customHeight="1" thickBot="1">
      <c r="N3" s="2417"/>
      <c r="O3" s="2417"/>
      <c r="P3" s="2417"/>
      <c r="Q3" s="2417"/>
      <c r="R3" s="2417"/>
      <c r="S3" s="2417"/>
      <c r="T3" s="2417"/>
      <c r="U3" s="2417"/>
      <c r="V3" s="2417"/>
      <c r="W3" s="2417"/>
      <c r="X3" s="2418"/>
    </row>
    <row r="4" spans="1:37" ht="28.5" customHeight="1" thickBot="1">
      <c r="J4" s="2419" t="s">
        <v>1414</v>
      </c>
      <c r="K4" s="2420"/>
      <c r="L4" s="494" t="str">
        <f>+MID('Input data'!$B$11,1,1)</f>
        <v>3</v>
      </c>
      <c r="M4" s="494" t="str">
        <f>+MID('Input data'!$B$11,2,1)</f>
        <v>1</v>
      </c>
      <c r="N4" s="494" t="s">
        <v>1063</v>
      </c>
      <c r="O4" s="494" t="str">
        <f>LEFT('Input data'!B13,1)</f>
        <v>0</v>
      </c>
      <c r="P4" s="494" t="str">
        <f>RIGHT('Input data'!B13,1)</f>
        <v>3</v>
      </c>
      <c r="Q4" s="494" t="s">
        <v>1063</v>
      </c>
      <c r="R4" s="494" t="str">
        <f>+LEFT('Input data'!$B$14,1)</f>
        <v>2</v>
      </c>
      <c r="S4" s="494" t="str">
        <f>+MID('Input data'!$B$14,2,1)</f>
        <v>0</v>
      </c>
      <c r="T4" s="494" t="str">
        <f>+MID('Input data'!$B$14,3,1)</f>
        <v>1</v>
      </c>
      <c r="U4" s="494" t="str">
        <f>+MID('Input data'!$B$14,4,1)</f>
        <v>8</v>
      </c>
      <c r="V4" s="824"/>
      <c r="W4" s="492" t="s">
        <v>1415</v>
      </c>
      <c r="X4" s="492"/>
      <c r="Y4" s="492"/>
      <c r="Z4" s="492"/>
      <c r="AA4" s="491"/>
    </row>
    <row r="5" spans="1:37" ht="7.5" customHeight="1" thickBot="1"/>
    <row r="6" spans="1:37" s="487" customFormat="1" ht="14.25" customHeight="1">
      <c r="A6" s="490" t="s">
        <v>2224</v>
      </c>
      <c r="B6" s="489"/>
      <c r="C6" s="489"/>
      <c r="D6" s="489"/>
      <c r="E6" s="489"/>
      <c r="F6" s="489"/>
      <c r="G6" s="489"/>
      <c r="H6" s="489"/>
      <c r="I6" s="489"/>
      <c r="J6" s="489"/>
      <c r="K6" s="489"/>
      <c r="L6" s="489"/>
      <c r="M6" s="489"/>
      <c r="N6" s="489"/>
      <c r="O6" s="489"/>
      <c r="P6" s="489"/>
      <c r="Q6" s="489"/>
      <c r="R6" s="489"/>
      <c r="S6" s="488"/>
      <c r="T6" s="489"/>
      <c r="U6" s="489"/>
      <c r="V6" s="489"/>
      <c r="W6" s="489"/>
      <c r="X6" s="489"/>
      <c r="Y6" s="489"/>
      <c r="Z6" s="489"/>
      <c r="AA6" s="489"/>
      <c r="AB6" s="489"/>
      <c r="AC6" s="489"/>
      <c r="AD6" s="489"/>
      <c r="AE6" s="489"/>
      <c r="AF6" s="489"/>
      <c r="AG6" s="489"/>
      <c r="AH6" s="489"/>
      <c r="AI6" s="489"/>
      <c r="AJ6" s="489"/>
      <c r="AK6" s="488"/>
    </row>
    <row r="7" spans="1:37" s="391" customFormat="1" ht="15" customHeight="1">
      <c r="A7" s="403" t="s">
        <v>1525</v>
      </c>
      <c r="B7" s="402"/>
      <c r="C7" s="402"/>
      <c r="D7" s="402"/>
      <c r="E7" s="402"/>
      <c r="F7" s="402"/>
      <c r="G7" s="402"/>
      <c r="H7" s="402"/>
      <c r="I7" s="402"/>
      <c r="J7" s="402"/>
      <c r="K7" s="402"/>
      <c r="L7" s="402"/>
      <c r="M7" s="402"/>
      <c r="N7" s="402"/>
      <c r="O7" s="402"/>
      <c r="P7" s="402"/>
      <c r="Q7" s="402"/>
      <c r="R7" s="402"/>
      <c r="S7" s="486"/>
      <c r="T7" s="402"/>
      <c r="U7" s="402"/>
      <c r="V7" s="402"/>
      <c r="W7" s="402"/>
      <c r="X7" s="402"/>
      <c r="Y7" s="402"/>
      <c r="Z7" s="402"/>
      <c r="AA7" s="402"/>
      <c r="AB7" s="402"/>
      <c r="AC7" s="402"/>
      <c r="AD7" s="402"/>
      <c r="AE7" s="402"/>
      <c r="AF7" s="402"/>
      <c r="AG7" s="402"/>
      <c r="AH7" s="402"/>
      <c r="AI7" s="402"/>
      <c r="AJ7" s="402"/>
      <c r="AK7" s="486"/>
    </row>
    <row r="8" spans="1:37" s="482" customFormat="1" ht="18" customHeight="1" thickBot="1">
      <c r="A8" s="485" t="s">
        <v>1416</v>
      </c>
      <c r="B8" s="484"/>
      <c r="C8" s="484"/>
      <c r="D8" s="484"/>
      <c r="E8" s="485"/>
      <c r="F8" s="484"/>
      <c r="G8" s="484"/>
      <c r="H8" s="484"/>
      <c r="I8" s="484"/>
      <c r="J8" s="484"/>
      <c r="K8" s="484"/>
      <c r="L8" s="484"/>
      <c r="M8" s="484"/>
      <c r="N8" s="484"/>
      <c r="O8" s="484"/>
      <c r="P8" s="484"/>
      <c r="Q8" s="484"/>
      <c r="R8" s="484"/>
      <c r="S8" s="483"/>
      <c r="T8" s="484"/>
      <c r="U8" s="484"/>
      <c r="V8" s="484"/>
      <c r="W8" s="484"/>
      <c r="X8" s="484"/>
      <c r="Y8" s="484"/>
      <c r="Z8" s="484"/>
      <c r="AA8" s="484"/>
      <c r="AB8" s="484"/>
      <c r="AC8" s="484"/>
      <c r="AD8" s="484"/>
      <c r="AE8" s="484"/>
      <c r="AF8" s="484"/>
      <c r="AG8" s="484"/>
      <c r="AH8" s="484"/>
      <c r="AI8" s="484"/>
      <c r="AJ8" s="484"/>
      <c r="AK8" s="483"/>
    </row>
    <row r="9" spans="1:37" s="462" customFormat="1" ht="3.75" customHeight="1" thickBot="1">
      <c r="AF9" s="465"/>
      <c r="AG9" s="465"/>
    </row>
    <row r="10" spans="1:37" s="462" customFormat="1" ht="14.25" customHeight="1">
      <c r="A10" s="464" t="s">
        <v>1417</v>
      </c>
      <c r="B10" s="463"/>
      <c r="C10" s="463"/>
      <c r="D10" s="463"/>
      <c r="E10" s="463"/>
      <c r="F10" s="463"/>
      <c r="G10" s="463"/>
      <c r="H10" s="463"/>
      <c r="I10" s="407"/>
      <c r="J10" s="406"/>
      <c r="K10" s="480" t="s">
        <v>1418</v>
      </c>
      <c r="L10" s="463"/>
      <c r="M10" s="481"/>
      <c r="N10" s="481"/>
      <c r="O10" s="481"/>
      <c r="P10" s="463"/>
      <c r="Q10" s="480" t="s">
        <v>1418</v>
      </c>
      <c r="R10" s="463"/>
      <c r="S10" s="407"/>
      <c r="T10" s="463"/>
      <c r="U10" s="463"/>
      <c r="V10" s="479"/>
      <c r="W10" s="463"/>
      <c r="X10" s="463"/>
      <c r="Y10" s="463"/>
      <c r="Z10" s="463"/>
      <c r="AA10" s="463"/>
      <c r="AB10" s="463"/>
      <c r="AC10" s="463"/>
      <c r="AD10" s="480" t="s">
        <v>1419</v>
      </c>
      <c r="AE10" s="480"/>
      <c r="AF10" s="480"/>
      <c r="AG10" s="480" t="s">
        <v>1420</v>
      </c>
      <c r="AH10" s="463"/>
      <c r="AI10" s="463"/>
      <c r="AJ10" s="463"/>
      <c r="AK10" s="479"/>
    </row>
    <row r="11" spans="1:37" s="462" customFormat="1" ht="19.5" customHeight="1">
      <c r="A11" s="476" t="str">
        <f>LEFT('Input data'!C24,1)</f>
        <v>2</v>
      </c>
      <c r="B11" s="441" t="str">
        <f>MID('Input data'!$C$24,2,1)</f>
        <v>0</v>
      </c>
      <c r="C11" s="441" t="str">
        <f>MID('Input data'!$C$24,3,1)</f>
        <v>2</v>
      </c>
      <c r="D11" s="441" t="str">
        <f>MID('Input data'!$C$24,4,1)</f>
        <v>0</v>
      </c>
      <c r="E11" s="441" t="str">
        <f>MID('Input data'!$C$24,5,1)</f>
        <v>3</v>
      </c>
      <c r="F11" s="441" t="str">
        <f>MID('Input data'!$C$24,6,1)</f>
        <v>1</v>
      </c>
      <c r="G11" s="441" t="str">
        <f>MID('Input data'!$C$24,7,1)</f>
        <v>9</v>
      </c>
      <c r="H11" s="441" t="str">
        <f>MID('Input data'!$C$24,8,1)</f>
        <v>8</v>
      </c>
      <c r="I11" s="441" t="str">
        <f>MID('Input data'!$C$24,9,1)</f>
        <v>2</v>
      </c>
      <c r="J11" s="448" t="str">
        <f>MID('Input data'!$C$24,10,1)</f>
        <v>9</v>
      </c>
      <c r="K11" s="399"/>
      <c r="L11" s="465"/>
      <c r="M11" s="465"/>
      <c r="N11" s="465"/>
      <c r="O11" s="465"/>
      <c r="P11" s="465"/>
      <c r="Q11" s="465"/>
      <c r="R11" s="465"/>
      <c r="S11" s="465"/>
      <c r="T11" s="465"/>
      <c r="U11" s="465"/>
      <c r="V11" s="471"/>
      <c r="W11" s="470" t="s">
        <v>1421</v>
      </c>
      <c r="X11" s="465"/>
      <c r="Y11" s="465"/>
      <c r="Z11" s="465"/>
      <c r="AA11" s="465"/>
      <c r="AB11" s="470" t="s">
        <v>1422</v>
      </c>
      <c r="AC11" s="465"/>
      <c r="AD11" s="441" t="str">
        <f>MID('Input data'!$B$8,1,1)</f>
        <v>0</v>
      </c>
      <c r="AE11" s="441" t="str">
        <f>MID('Input data'!$B$8,2,1)</f>
        <v>4</v>
      </c>
      <c r="AF11" s="441"/>
      <c r="AG11" s="441" t="str">
        <f>MID('Input data'!$B$9,1,1)</f>
        <v>2</v>
      </c>
      <c r="AH11" s="441" t="str">
        <f>MID('Input data'!$B$9,2,1)</f>
        <v>0</v>
      </c>
      <c r="AI11" s="441" t="str">
        <f>MID('Input data'!$B$9,3,1)</f>
        <v>1</v>
      </c>
      <c r="AJ11" s="441" t="str">
        <f>MID('Input data'!$B$9,4,1)</f>
        <v>7</v>
      </c>
      <c r="AK11" s="471"/>
    </row>
    <row r="12" spans="1:37" s="462" customFormat="1" ht="19.5" customHeight="1">
      <c r="A12" s="403" t="s">
        <v>1423</v>
      </c>
      <c r="B12" s="465"/>
      <c r="C12" s="465"/>
      <c r="D12" s="465"/>
      <c r="E12" s="465"/>
      <c r="F12" s="465"/>
      <c r="G12" s="465"/>
      <c r="H12" s="399"/>
      <c r="I12" s="399"/>
      <c r="J12" s="398"/>
      <c r="K12" s="399"/>
      <c r="L12" s="478" t="str">
        <f>IF('Input data'!D7="x","x"," ")</f>
        <v>x</v>
      </c>
      <c r="M12" s="470" t="s">
        <v>1424</v>
      </c>
      <c r="N12" s="472"/>
      <c r="O12" s="472"/>
      <c r="P12" s="472"/>
      <c r="Q12" s="472"/>
      <c r="R12" s="478" t="str">
        <f>IF('Input data'!D17="x","x"," ")</f>
        <v>x</v>
      </c>
      <c r="S12" s="470" t="s">
        <v>1425</v>
      </c>
      <c r="T12" s="465"/>
      <c r="U12" s="465"/>
      <c r="V12" s="471"/>
      <c r="W12" s="825"/>
      <c r="X12" s="826"/>
      <c r="Y12" s="826"/>
      <c r="Z12" s="826"/>
      <c r="AA12" s="826"/>
      <c r="AB12" s="827" t="s">
        <v>1426</v>
      </c>
      <c r="AC12" s="826"/>
      <c r="AD12" s="828" t="str">
        <f>MID('Input data'!$B$13,1,1)</f>
        <v>0</v>
      </c>
      <c r="AE12" s="828" t="str">
        <f>MID('Input data'!$B$13,2,1)</f>
        <v>3</v>
      </c>
      <c r="AF12" s="828"/>
      <c r="AG12" s="828" t="str">
        <f>MID('Input data'!$B$14,1,1)</f>
        <v>2</v>
      </c>
      <c r="AH12" s="828" t="str">
        <f>MID('Input data'!$B$14,2,1)</f>
        <v>0</v>
      </c>
      <c r="AI12" s="828" t="str">
        <f>MID('Input data'!$B$14,3,1)</f>
        <v>1</v>
      </c>
      <c r="AJ12" s="828" t="str">
        <f>MID('Input data'!$B$14,4,1)</f>
        <v>8</v>
      </c>
      <c r="AK12" s="829"/>
    </row>
    <row r="13" spans="1:37" s="462" customFormat="1" ht="19.5" customHeight="1">
      <c r="A13" s="476" t="str">
        <f>LEFT('Input data'!C26,1)</f>
        <v>3</v>
      </c>
      <c r="B13" s="441" t="str">
        <f>MID('Input data'!$C$26,2,1)</f>
        <v>1</v>
      </c>
      <c r="C13" s="441" t="str">
        <f>MID('Input data'!$C$26,3,1)</f>
        <v>3</v>
      </c>
      <c r="D13" s="441" t="str">
        <f>MID('Input data'!$C$26,4,1)</f>
        <v>6</v>
      </c>
      <c r="E13" s="441" t="str">
        <f>MID('Input data'!$C$26,5,1)</f>
        <v>5</v>
      </c>
      <c r="F13" s="441" t="str">
        <f>MID('Input data'!$C$26,6,1)</f>
        <v>5</v>
      </c>
      <c r="G13" s="441" t="str">
        <f>MID('Input data'!$C$26,7,1)</f>
        <v>0</v>
      </c>
      <c r="H13" s="441" t="str">
        <f>MID('Input data'!$C$26,8,1)</f>
        <v>7</v>
      </c>
      <c r="I13" s="399"/>
      <c r="J13" s="398"/>
      <c r="K13" s="399"/>
      <c r="L13" s="474" t="str">
        <f>IF('Input data'!D8="x","x", "")</f>
        <v/>
      </c>
      <c r="M13" s="470" t="s">
        <v>1427</v>
      </c>
      <c r="N13" s="472"/>
      <c r="O13" s="472"/>
      <c r="P13" s="472"/>
      <c r="Q13" s="472"/>
      <c r="R13" s="475" t="str">
        <f>IF('Input data'!D18="x","x"," ")</f>
        <v xml:space="preserve"> </v>
      </c>
      <c r="S13" s="470" t="s">
        <v>1428</v>
      </c>
      <c r="T13" s="465"/>
      <c r="U13" s="465"/>
      <c r="V13" s="471"/>
      <c r="W13" s="2410" t="s">
        <v>1429</v>
      </c>
      <c r="X13" s="2411"/>
      <c r="Y13" s="2411"/>
      <c r="Z13" s="2411"/>
      <c r="AA13" s="2411"/>
      <c r="AB13" s="472"/>
      <c r="AC13" s="399"/>
      <c r="AD13" s="474"/>
      <c r="AE13" s="474"/>
      <c r="AF13" s="474"/>
      <c r="AG13" s="474"/>
      <c r="AH13" s="474"/>
      <c r="AI13" s="474"/>
      <c r="AJ13" s="474"/>
      <c r="AK13" s="398"/>
    </row>
    <row r="14" spans="1:37" s="462" customFormat="1" ht="19.5" customHeight="1">
      <c r="A14" s="403" t="s">
        <v>1081</v>
      </c>
      <c r="B14" s="465"/>
      <c r="C14" s="465"/>
      <c r="D14" s="465"/>
      <c r="E14" s="465"/>
      <c r="F14" s="465"/>
      <c r="G14" s="465"/>
      <c r="H14" s="465"/>
      <c r="I14" s="399"/>
      <c r="J14" s="398"/>
      <c r="K14" s="399"/>
      <c r="L14" s="399"/>
      <c r="M14" s="470"/>
      <c r="N14" s="472"/>
      <c r="O14" s="472"/>
      <c r="P14" s="472"/>
      <c r="Q14" s="472"/>
      <c r="R14" s="473" t="s">
        <v>1430</v>
      </c>
      <c r="S14" s="472"/>
      <c r="T14" s="465"/>
      <c r="U14" s="465"/>
      <c r="V14" s="471"/>
      <c r="W14" s="2412"/>
      <c r="X14" s="2413"/>
      <c r="Y14" s="2413"/>
      <c r="Z14" s="2413"/>
      <c r="AA14" s="2413"/>
      <c r="AB14" s="470" t="s">
        <v>1422</v>
      </c>
      <c r="AC14" s="399"/>
      <c r="AD14" s="441" t="str">
        <f>MID('Input data'!$B$18,1,1)</f>
        <v>0</v>
      </c>
      <c r="AE14" s="441" t="str">
        <f>MID('Input data'!$B$18,2,1)</f>
        <v>4</v>
      </c>
      <c r="AF14" s="441"/>
      <c r="AG14" s="441" t="str">
        <f>MID('Input data'!$B$19,1,1)</f>
        <v>2</v>
      </c>
      <c r="AH14" s="441" t="str">
        <f>MID('Input data'!$B$19,2,1)</f>
        <v>0</v>
      </c>
      <c r="AI14" s="441" t="str">
        <f>MID('Input data'!$B$19,3,1)</f>
        <v>1</v>
      </c>
      <c r="AJ14" s="441" t="str">
        <f>MID('Input data'!$B$19,4,1)</f>
        <v>6</v>
      </c>
      <c r="AK14" s="398"/>
    </row>
    <row r="15" spans="1:37" s="462" customFormat="1" ht="19.5" customHeight="1" thickBot="1">
      <c r="A15" s="469" t="str">
        <f>'SK Cover sheet'!A15</f>
        <v>2</v>
      </c>
      <c r="B15" s="394" t="str">
        <f>'SK Cover sheet'!B15</f>
        <v>7</v>
      </c>
      <c r="C15" s="467" t="s">
        <v>1063</v>
      </c>
      <c r="D15" s="394" t="str">
        <f>'SK Cover sheet'!D15</f>
        <v>3</v>
      </c>
      <c r="E15" s="394" t="str">
        <f>'SK Cover sheet'!E15</f>
        <v>1</v>
      </c>
      <c r="F15" s="467" t="s">
        <v>1063</v>
      </c>
      <c r="G15" s="394" t="str">
        <f>'SK Cover sheet'!G15</f>
        <v>0</v>
      </c>
      <c r="H15" s="394"/>
      <c r="I15" s="394"/>
      <c r="J15" s="393"/>
      <c r="K15" s="394"/>
      <c r="L15" s="394"/>
      <c r="M15" s="394"/>
      <c r="N15" s="394"/>
      <c r="O15" s="394"/>
      <c r="P15" s="394"/>
      <c r="Q15" s="394"/>
      <c r="R15" s="394"/>
      <c r="S15" s="394"/>
      <c r="T15" s="467"/>
      <c r="U15" s="467"/>
      <c r="V15" s="468"/>
      <c r="W15" s="2414"/>
      <c r="X15" s="2415"/>
      <c r="Y15" s="2415"/>
      <c r="Z15" s="2415"/>
      <c r="AA15" s="2415"/>
      <c r="AB15" s="466" t="s">
        <v>1426</v>
      </c>
      <c r="AC15" s="394"/>
      <c r="AD15" s="439" t="str">
        <f>MID('Input data'!$B$21,1,1)</f>
        <v>0</v>
      </c>
      <c r="AE15" s="439" t="str">
        <f>MID('Input data'!$B$21,2,1)</f>
        <v>3</v>
      </c>
      <c r="AF15" s="439"/>
      <c r="AG15" s="439" t="str">
        <f>MID('Input data'!$B$22,1,1)</f>
        <v>2</v>
      </c>
      <c r="AH15" s="439" t="str">
        <f>MID('Input data'!$B$22,2,1)</f>
        <v>0</v>
      </c>
      <c r="AI15" s="439" t="str">
        <f>MID('Input data'!$B$22,3,1)</f>
        <v>1</v>
      </c>
      <c r="AJ15" s="439" t="str">
        <f>MID('Input data'!$B$22,4,1)</f>
        <v>7</v>
      </c>
      <c r="AK15" s="393"/>
    </row>
    <row r="16" spans="1:37" s="462" customFormat="1" ht="4.5" customHeight="1">
      <c r="A16" s="465"/>
      <c r="B16" s="465"/>
      <c r="C16" s="465"/>
      <c r="D16" s="465"/>
      <c r="E16" s="465"/>
      <c r="F16" s="465"/>
      <c r="G16" s="465"/>
      <c r="H16" s="399"/>
      <c r="I16" s="399"/>
      <c r="J16" s="399"/>
      <c r="K16" s="399"/>
      <c r="L16" s="399"/>
      <c r="M16" s="399"/>
      <c r="N16" s="399"/>
      <c r="O16" s="399"/>
      <c r="P16" s="399"/>
      <c r="Q16" s="399"/>
      <c r="R16" s="399"/>
      <c r="S16" s="399"/>
      <c r="T16" s="465"/>
      <c r="U16" s="465"/>
      <c r="V16" s="399"/>
      <c r="W16" s="399"/>
      <c r="X16" s="399"/>
      <c r="Y16" s="399"/>
      <c r="Z16" s="399"/>
      <c r="AA16" s="399"/>
      <c r="AB16" s="399"/>
      <c r="AC16" s="399"/>
      <c r="AD16" s="399"/>
      <c r="AE16" s="399"/>
      <c r="AF16" s="399"/>
      <c r="AG16" s="399"/>
      <c r="AH16" s="399"/>
      <c r="AI16" s="399"/>
      <c r="AJ16" s="399"/>
      <c r="AK16" s="399"/>
    </row>
    <row r="17" spans="1:50" s="462" customFormat="1" ht="3" customHeight="1" thickBot="1">
      <c r="H17" s="392"/>
      <c r="I17" s="392"/>
      <c r="J17" s="392"/>
      <c r="K17" s="392"/>
      <c r="L17" s="392"/>
      <c r="M17" s="392"/>
      <c r="N17" s="392"/>
      <c r="O17" s="392"/>
      <c r="P17" s="392"/>
      <c r="Q17" s="392"/>
      <c r="R17" s="392"/>
      <c r="S17" s="392"/>
      <c r="W17" s="392"/>
      <c r="X17" s="392"/>
      <c r="Y17" s="392"/>
      <c r="Z17" s="392"/>
      <c r="AA17" s="392"/>
      <c r="AB17" s="392"/>
      <c r="AC17" s="392"/>
      <c r="AD17" s="392"/>
      <c r="AE17" s="392"/>
      <c r="AF17" s="392"/>
      <c r="AG17" s="392"/>
      <c r="AH17" s="392"/>
      <c r="AI17" s="392"/>
      <c r="AJ17" s="392"/>
      <c r="AK17" s="392"/>
    </row>
    <row r="18" spans="1:50" s="462" customFormat="1" ht="16.5">
      <c r="A18" s="464" t="s">
        <v>1431</v>
      </c>
      <c r="B18" s="463"/>
      <c r="C18" s="463"/>
      <c r="D18" s="463"/>
      <c r="E18" s="463"/>
      <c r="F18" s="463"/>
      <c r="G18" s="463"/>
      <c r="H18" s="407"/>
      <c r="I18" s="407"/>
      <c r="J18" s="407"/>
      <c r="K18" s="407"/>
      <c r="L18" s="407"/>
      <c r="M18" s="407"/>
      <c r="N18" s="407"/>
      <c r="O18" s="407"/>
      <c r="P18" s="407"/>
      <c r="Q18" s="407"/>
      <c r="R18" s="407"/>
      <c r="S18" s="407"/>
      <c r="T18" s="463"/>
      <c r="U18" s="463"/>
      <c r="V18" s="463"/>
      <c r="W18" s="407"/>
      <c r="X18" s="407"/>
      <c r="Y18" s="407"/>
      <c r="Z18" s="407"/>
      <c r="AA18" s="407"/>
      <c r="AB18" s="407"/>
      <c r="AC18" s="407"/>
      <c r="AD18" s="407"/>
      <c r="AE18" s="407"/>
      <c r="AF18" s="407"/>
      <c r="AG18" s="407"/>
      <c r="AH18" s="407"/>
      <c r="AI18" s="407"/>
      <c r="AJ18" s="407"/>
      <c r="AK18" s="406"/>
    </row>
    <row r="19" spans="1:50" s="392" customFormat="1" ht="19.5" customHeight="1">
      <c r="A19" s="449" t="str">
        <f>+LEFT('Input data'!$F$3,1)</f>
        <v>F</v>
      </c>
      <c r="B19" s="441" t="str">
        <f>+MID('Input data'!$F$3,2,1)</f>
        <v>o</v>
      </c>
      <c r="C19" s="441" t="str">
        <f>+MID('Input data'!$F$3,3,1)</f>
        <v>s</v>
      </c>
      <c r="D19" s="441" t="str">
        <f>+MID('Input data'!$F$3,4,1)</f>
        <v>s</v>
      </c>
      <c r="E19" s="441" t="str">
        <f>+MID('Input data'!$F$3,5,1)</f>
        <v xml:space="preserve"> </v>
      </c>
      <c r="F19" s="441" t="str">
        <f>+MID('Input data'!$F$3,6,1)</f>
        <v>F</v>
      </c>
      <c r="G19" s="441" t="str">
        <f>+MID('Input data'!$F$3,7,1)</f>
        <v>i</v>
      </c>
      <c r="H19" s="441" t="str">
        <f>+MID('Input data'!$F$3,8,1)</f>
        <v>b</v>
      </c>
      <c r="I19" s="441" t="str">
        <f>+MID('Input data'!$F$3,9,1)</f>
        <v>r</v>
      </c>
      <c r="J19" s="441" t="str">
        <f>+MID('Input data'!$F$3,10,1)</f>
        <v>e</v>
      </c>
      <c r="K19" s="441" t="str">
        <f>+MID('Input data'!$F$3,11,1)</f>
        <v xml:space="preserve"> </v>
      </c>
      <c r="L19" s="441" t="str">
        <f>+MID('Input data'!$F$3,12,1)</f>
        <v>O</v>
      </c>
      <c r="M19" s="441" t="str">
        <f>+MID('Input data'!$F$3,13,1)</f>
        <v>p</v>
      </c>
      <c r="N19" s="441" t="str">
        <f>+MID('Input data'!$F$3,14,1)</f>
        <v>t</v>
      </c>
      <c r="O19" s="441" t="str">
        <f>+MID('Input data'!$F$3,15,1)</f>
        <v>i</v>
      </c>
      <c r="P19" s="441" t="str">
        <f>+MID('Input data'!$F$3,16,1)</f>
        <v>c</v>
      </c>
      <c r="Q19" s="441" t="str">
        <f>+MID('Input data'!$F$3,17,1)</f>
        <v>s</v>
      </c>
      <c r="R19" s="441" t="str">
        <f>+MID('Input data'!$F$3,18,1)</f>
        <v>,</v>
      </c>
      <c r="S19" s="441" t="str">
        <f>+MID('Input data'!$F$3,19,1)</f>
        <v xml:space="preserve"> </v>
      </c>
      <c r="T19" s="441" t="str">
        <f>+MID('Input data'!$F$3,20,1)</f>
        <v>s</v>
      </c>
      <c r="U19" s="441" t="str">
        <f>+MID('Input data'!$F$3,21,1)</f>
        <v>.</v>
      </c>
      <c r="V19" s="441" t="str">
        <f>+MID('Input data'!$F$3,22,1)</f>
        <v>r</v>
      </c>
      <c r="W19" s="441" t="str">
        <f>+MID('Input data'!$F$3,23,1)</f>
        <v>.</v>
      </c>
      <c r="X19" s="441" t="str">
        <f>+MID('Input data'!$F$3,24,1)</f>
        <v>o</v>
      </c>
      <c r="Y19" s="441" t="str">
        <f>+MID('Input data'!$F$3,25,1)</f>
        <v>.</v>
      </c>
      <c r="Z19" s="441" t="str">
        <f>+MID('Input data'!$F$3,26,1)</f>
        <v xml:space="preserve"> </v>
      </c>
      <c r="AA19" s="441" t="str">
        <f>+MID('Input data'!$F$3,27,1)</f>
        <v xml:space="preserve">
</v>
      </c>
      <c r="AB19" s="441" t="str">
        <f>+MID('Input data'!$F$3,28,1)</f>
        <v/>
      </c>
      <c r="AC19" s="441" t="str">
        <f>+MID('Input data'!$F$3,29,1)</f>
        <v/>
      </c>
      <c r="AD19" s="441" t="str">
        <f>+MID('Input data'!$F$3,30,1)</f>
        <v/>
      </c>
      <c r="AE19" s="441" t="str">
        <f>+MID('Input data'!$F$3,31,1)</f>
        <v/>
      </c>
      <c r="AF19" s="441" t="str">
        <f>+MID('Input data'!$F$3,32,1)</f>
        <v/>
      </c>
      <c r="AG19" s="441" t="str">
        <f>+MID('Input data'!$F$3,33,1)</f>
        <v/>
      </c>
      <c r="AH19" s="441" t="str">
        <f>+MID('Input data'!$F$3,34,1)</f>
        <v/>
      </c>
      <c r="AI19" s="441" t="str">
        <f>+MID('Input data'!$F$3,35,1)</f>
        <v/>
      </c>
      <c r="AJ19" s="441" t="str">
        <f>+MID('Input data'!$F$3,36,1)</f>
        <v/>
      </c>
      <c r="AK19" s="448" t="str">
        <f>+MID('Input data'!$F$3,37,1)</f>
        <v/>
      </c>
      <c r="AL19" s="462"/>
      <c r="AM19" s="462"/>
      <c r="AN19" s="462"/>
    </row>
    <row r="20" spans="1:50" s="531" customFormat="1" ht="19.5" customHeight="1">
      <c r="A20" s="449" t="str">
        <f>+MID('Input data'!$F$3,38,1)</f>
        <v/>
      </c>
      <c r="B20" s="441" t="str">
        <f>+MID('Input data'!$F$3,39,1)</f>
        <v/>
      </c>
      <c r="C20" s="441" t="str">
        <f>+MID('Input data'!$F$3,40,1)</f>
        <v/>
      </c>
      <c r="D20" s="441" t="str">
        <f>+MID('Input data'!$F$3,41,1)</f>
        <v/>
      </c>
      <c r="E20" s="441" t="str">
        <f>+MID('Input data'!$F$3,42,1)</f>
        <v/>
      </c>
      <c r="F20" s="441" t="str">
        <f>+MID('Input data'!$F$3,43,1)</f>
        <v/>
      </c>
      <c r="G20" s="441" t="str">
        <f>+MID('Input data'!$F$3,44,1)</f>
        <v/>
      </c>
      <c r="H20" s="441" t="str">
        <f>+MID('Input data'!$F$3,45,1)</f>
        <v/>
      </c>
      <c r="I20" s="441" t="str">
        <f>+MID('Input data'!$F$3,46,1)</f>
        <v/>
      </c>
      <c r="J20" s="441" t="str">
        <f>+MID('Input data'!$F$3,47,1)</f>
        <v/>
      </c>
      <c r="K20" s="441" t="str">
        <f>+MID('Input data'!$F$3,48,1)</f>
        <v/>
      </c>
      <c r="L20" s="441" t="str">
        <f>+MID('Input data'!$F$3,49,1)</f>
        <v/>
      </c>
      <c r="M20" s="441" t="str">
        <f>+MID('Input data'!$F$3,50,1)</f>
        <v/>
      </c>
      <c r="N20" s="441" t="str">
        <f>+MID('Input data'!$F$3,51,1)</f>
        <v/>
      </c>
      <c r="O20" s="441" t="str">
        <f>+MID('Input data'!$F$3,52,1)</f>
        <v/>
      </c>
      <c r="P20" s="441" t="str">
        <f>+MID('Input data'!$F$3,53,1)</f>
        <v/>
      </c>
      <c r="Q20" s="441" t="str">
        <f>+MID('Input data'!$F$3,54,1)</f>
        <v/>
      </c>
      <c r="R20" s="441" t="str">
        <f>+MID('Input data'!$F$3,55,1)</f>
        <v/>
      </c>
      <c r="S20" s="441" t="str">
        <f>+MID('Input data'!$F$3,56,1)</f>
        <v/>
      </c>
      <c r="T20" s="441" t="str">
        <f>+MID('Input data'!$F$3,57,1)</f>
        <v/>
      </c>
      <c r="U20" s="441" t="str">
        <f>+MID('Input data'!$F$3,58,1)</f>
        <v/>
      </c>
      <c r="V20" s="441" t="str">
        <f>+MID('Input data'!$F$3,59,1)</f>
        <v/>
      </c>
      <c r="W20" s="441" t="str">
        <f>+MID('Input data'!$F$3,60,1)</f>
        <v/>
      </c>
      <c r="X20" s="441" t="str">
        <f>+MID('Input data'!$F$3,61,1)</f>
        <v/>
      </c>
      <c r="Y20" s="441" t="str">
        <f>+MID('Input data'!$F$3,62,1)</f>
        <v/>
      </c>
      <c r="Z20" s="441" t="str">
        <f>+MID('Input data'!$F$3,63,1)</f>
        <v/>
      </c>
      <c r="AA20" s="441" t="str">
        <f>+MID('Input data'!$F$3,64,1)</f>
        <v/>
      </c>
      <c r="AB20" s="441" t="str">
        <f>+MID('Input data'!$F$3,65,1)</f>
        <v/>
      </c>
      <c r="AC20" s="441" t="str">
        <f>+MID('Input data'!$F$3,66,1)</f>
        <v/>
      </c>
      <c r="AD20" s="441" t="str">
        <f>+MID('Input data'!$F$3,67,1)</f>
        <v/>
      </c>
      <c r="AE20" s="441" t="str">
        <f>+MID('Input data'!$F$3,68,1)</f>
        <v/>
      </c>
      <c r="AF20" s="441" t="str">
        <f>+MID('Input data'!$F$3,69,1)</f>
        <v/>
      </c>
      <c r="AG20" s="441" t="str">
        <f>+MID('Input data'!$F$3,70,1)</f>
        <v/>
      </c>
      <c r="AH20" s="441" t="str">
        <f>+MID('Input data'!$F$3,71,1)</f>
        <v/>
      </c>
      <c r="AI20" s="441" t="str">
        <f>+MID('Input data'!$F$3,72,1)</f>
        <v/>
      </c>
      <c r="AJ20" s="441" t="str">
        <f>+MID('Input data'!$F$3,73,1)</f>
        <v/>
      </c>
      <c r="AK20" s="448" t="str">
        <f>+MID('Input data'!$F$3,74,1)</f>
        <v/>
      </c>
      <c r="AL20" s="390"/>
      <c r="AM20" s="390"/>
      <c r="AN20" s="390"/>
    </row>
    <row r="21" spans="1:50" s="450" customFormat="1" ht="14.25" customHeight="1">
      <c r="A21" s="454" t="s">
        <v>1432</v>
      </c>
      <c r="B21" s="453"/>
      <c r="C21" s="453"/>
      <c r="D21" s="453"/>
      <c r="E21" s="453"/>
      <c r="F21" s="453"/>
      <c r="G21" s="453"/>
      <c r="H21" s="453"/>
      <c r="I21" s="453"/>
      <c r="J21" s="453"/>
      <c r="K21" s="453"/>
      <c r="L21" s="453"/>
      <c r="M21" s="453"/>
      <c r="N21" s="453"/>
      <c r="O21" s="453"/>
      <c r="P21" s="453"/>
      <c r="Q21" s="453"/>
      <c r="R21" s="453"/>
      <c r="S21" s="453"/>
      <c r="T21" s="453"/>
      <c r="U21" s="453"/>
      <c r="V21" s="453"/>
      <c r="W21" s="452"/>
      <c r="X21" s="452"/>
      <c r="Y21" s="452"/>
      <c r="Z21" s="452"/>
      <c r="AA21" s="452"/>
      <c r="AB21" s="452"/>
      <c r="AC21" s="452"/>
      <c r="AD21" s="452"/>
      <c r="AE21" s="452"/>
      <c r="AF21" s="452"/>
      <c r="AG21" s="452"/>
      <c r="AH21" s="452"/>
      <c r="AI21" s="452"/>
      <c r="AJ21" s="452"/>
      <c r="AK21" s="451"/>
    </row>
    <row r="22" spans="1:50">
      <c r="A22" s="446" t="s">
        <v>1433</v>
      </c>
      <c r="B22" s="404"/>
      <c r="C22" s="404"/>
      <c r="D22" s="404"/>
      <c r="E22" s="404"/>
      <c r="F22" s="404"/>
      <c r="G22" s="404"/>
      <c r="H22" s="404"/>
      <c r="I22" s="404"/>
      <c r="J22" s="404"/>
      <c r="K22" s="404"/>
      <c r="L22" s="404"/>
      <c r="M22" s="404"/>
      <c r="N22" s="404"/>
      <c r="O22" s="404"/>
      <c r="P22" s="404"/>
      <c r="Q22" s="404"/>
      <c r="R22" s="404"/>
      <c r="S22" s="404"/>
      <c r="T22" s="404"/>
      <c r="U22" s="404"/>
      <c r="V22" s="404"/>
      <c r="W22" s="399"/>
      <c r="X22" s="399"/>
      <c r="Y22" s="399"/>
      <c r="Z22" s="399"/>
      <c r="AA22" s="399"/>
      <c r="AB22" s="404"/>
      <c r="AC22" s="399"/>
      <c r="AD22" s="402" t="s">
        <v>1434</v>
      </c>
      <c r="AE22" s="399"/>
      <c r="AF22" s="399"/>
      <c r="AG22" s="399"/>
      <c r="AH22" s="399"/>
      <c r="AI22" s="399"/>
      <c r="AJ22" s="399"/>
      <c r="AK22" s="398"/>
    </row>
    <row r="23" spans="1:50" s="530" customFormat="1" ht="19.5" customHeight="1">
      <c r="A23" s="449" t="str">
        <f>+LEFT('Input data'!$C$28,1)</f>
        <v>O</v>
      </c>
      <c r="B23" s="441" t="str">
        <f>+MID('Input data'!$C$28,2,1)</f>
        <v>d</v>
      </c>
      <c r="C23" s="441" t="str">
        <f>+MID('Input data'!$C$28,3,1)</f>
        <v>b</v>
      </c>
      <c r="D23" s="441" t="str">
        <f>+MID('Input data'!$C$28,4,1)</f>
        <v>o</v>
      </c>
      <c r="E23" s="441" t="str">
        <f>+MID('Input data'!$C$28,5,1)</f>
        <v>r</v>
      </c>
      <c r="F23" s="441" t="str">
        <f>+MID('Input data'!$C$28,6,1)</f>
        <v>á</v>
      </c>
      <c r="G23" s="441" t="str">
        <f>+MID('Input data'!$C$28,7,1)</f>
        <v>r</v>
      </c>
      <c r="H23" s="441" t="str">
        <f>+MID('Input data'!$C$28,8,1)</f>
        <v>s</v>
      </c>
      <c r="I23" s="441" t="str">
        <f>+MID('Input data'!$C$28,9,1)</f>
        <v>k</v>
      </c>
      <c r="J23" s="441" t="str">
        <f>+MID('Input data'!$C$28,10,1)</f>
        <v>a</v>
      </c>
      <c r="K23" s="441" t="str">
        <f>+MID('Input data'!$C$28,11,1)</f>
        <v/>
      </c>
      <c r="L23" s="441" t="str">
        <f>+MID('Input data'!$C$28,12,1)</f>
        <v/>
      </c>
      <c r="M23" s="441" t="str">
        <f>+MID('Input data'!$C$28,13,1)</f>
        <v/>
      </c>
      <c r="N23" s="441" t="str">
        <f>+MID('Input data'!$C$28,14,1)</f>
        <v/>
      </c>
      <c r="O23" s="441" t="str">
        <f>+MID('Input data'!$C$28,15,1)</f>
        <v/>
      </c>
      <c r="P23" s="441" t="str">
        <f>+MID('Input data'!$C$28,16,1)</f>
        <v/>
      </c>
      <c r="Q23" s="441" t="str">
        <f>+MID('Input data'!$C$28,17,1)</f>
        <v/>
      </c>
      <c r="R23" s="441" t="str">
        <f>+MID('Input data'!$C$28,18,1)</f>
        <v/>
      </c>
      <c r="S23" s="441" t="str">
        <f>+MID('Input data'!$C$28,19,1)</f>
        <v/>
      </c>
      <c r="T23" s="441" t="str">
        <f>+MID('Input data'!$C$28,20,1)</f>
        <v/>
      </c>
      <c r="U23" s="441" t="str">
        <f>+MID('Input data'!$C$28,21,1)</f>
        <v/>
      </c>
      <c r="V23" s="441" t="str">
        <f>+MID('Input data'!$C$28,22,1)</f>
        <v/>
      </c>
      <c r="W23" s="441" t="str">
        <f>+MID('Input data'!$C$28,23,1)</f>
        <v/>
      </c>
      <c r="X23" s="441" t="str">
        <f>+MID('Input data'!$C$28,24,1)</f>
        <v/>
      </c>
      <c r="Y23" s="441" t="str">
        <f>+MID('Input data'!$C$28,25,1)</f>
        <v/>
      </c>
      <c r="Z23" s="441" t="str">
        <f>+MID('Input data'!$C$28,26,1)</f>
        <v/>
      </c>
      <c r="AA23" s="441" t="str">
        <f>+MID('Input data'!$C$28,27,1)</f>
        <v/>
      </c>
      <c r="AB23" s="441" t="str">
        <f>+MID('Input data'!$C$28,28,1)</f>
        <v/>
      </c>
      <c r="AC23" s="443"/>
      <c r="AD23" s="441" t="str">
        <f>+LEFT('Input data'!$C$30,1)</f>
        <v>5</v>
      </c>
      <c r="AE23" s="441" t="str">
        <f>+MID('Input data'!$C$30,2,1)</f>
        <v>2</v>
      </c>
      <c r="AF23" s="441" t="str">
        <f>+MID('Input data'!$C$30,3,1)</f>
        <v/>
      </c>
      <c r="AG23" s="441" t="str">
        <f>+MID('Input data'!$C$30,4,1)</f>
        <v/>
      </c>
      <c r="AH23" s="441" t="str">
        <f>+MID('Input data'!$C$30,5,1)</f>
        <v/>
      </c>
      <c r="AI23" s="441" t="str">
        <f>+MID('Input data'!$C$30,6,1)</f>
        <v/>
      </c>
      <c r="AJ23" s="441" t="str">
        <f>+MID('Input data'!$C$30,7,1)</f>
        <v/>
      </c>
      <c r="AK23" s="448" t="str">
        <f>+MID('Input data'!$C$30,8,1)</f>
        <v/>
      </c>
    </row>
    <row r="24" spans="1:50">
      <c r="A24" s="446" t="s">
        <v>1435</v>
      </c>
      <c r="B24" s="404"/>
      <c r="C24" s="404"/>
      <c r="D24" s="404"/>
      <c r="E24" s="404"/>
      <c r="F24" s="404"/>
      <c r="G24" s="445" t="s">
        <v>1436</v>
      </c>
      <c r="H24" s="445"/>
      <c r="I24" s="445"/>
      <c r="J24" s="445"/>
      <c r="K24" s="445"/>
      <c r="L24" s="445"/>
      <c r="M24" s="445"/>
      <c r="N24" s="445"/>
      <c r="O24" s="445"/>
      <c r="P24" s="445"/>
      <c r="Q24" s="445"/>
      <c r="R24" s="445"/>
      <c r="S24" s="445"/>
      <c r="T24" s="445"/>
      <c r="U24" s="445"/>
      <c r="V24" s="445"/>
      <c r="W24" s="445"/>
      <c r="X24" s="445"/>
      <c r="Y24" s="445"/>
      <c r="Z24" s="445"/>
      <c r="AA24" s="445"/>
      <c r="AB24" s="445"/>
      <c r="AC24" s="445"/>
      <c r="AD24" s="445"/>
      <c r="AE24" s="399"/>
      <c r="AF24" s="399"/>
      <c r="AG24" s="399"/>
      <c r="AH24" s="399"/>
      <c r="AI24" s="399"/>
      <c r="AJ24" s="399"/>
      <c r="AK24" s="398"/>
    </row>
    <row r="25" spans="1:50" s="530" customFormat="1" ht="19.5" customHeight="1">
      <c r="A25" s="449" t="str">
        <f>+LEFT('Input data'!$C$32,1)</f>
        <v>8</v>
      </c>
      <c r="B25" s="441" t="str">
        <f>+MID('Input data'!$C$32,2,1)</f>
        <v>3</v>
      </c>
      <c r="C25" s="441" t="str">
        <f>+MID('Input data'!$C$32,3,1)</f>
        <v>1</v>
      </c>
      <c r="D25" s="441" t="str">
        <f>+MID('Input data'!$C$32,4,1)</f>
        <v xml:space="preserve"> </v>
      </c>
      <c r="E25" s="441" t="str">
        <f>+MID('Input data'!$C$32,5,1)</f>
        <v>0</v>
      </c>
      <c r="F25" s="441"/>
      <c r="G25" s="441" t="str">
        <f>+LEFT('Input data'!$C$34,1)</f>
        <v>B</v>
      </c>
      <c r="H25" s="441" t="str">
        <f>+MID('Input data'!$C$34,2,1)</f>
        <v>r</v>
      </c>
      <c r="I25" s="441" t="str">
        <f>+MID('Input data'!$C$34,3,1)</f>
        <v>a</v>
      </c>
      <c r="J25" s="441" t="str">
        <f>+MID('Input data'!$C$34,4,1)</f>
        <v>t</v>
      </c>
      <c r="K25" s="441" t="str">
        <f>+MID('Input data'!$C$34,5,1)</f>
        <v>i</v>
      </c>
      <c r="L25" s="441" t="str">
        <f>+MID('Input data'!$C$34,6,1)</f>
        <v>s</v>
      </c>
      <c r="M25" s="441" t="str">
        <f>+MID('Input data'!$C$34,7,1)</f>
        <v>l</v>
      </c>
      <c r="N25" s="441" t="str">
        <f>+MID('Input data'!$C$34,8,1)</f>
        <v>a</v>
      </c>
      <c r="O25" s="441" t="str">
        <f>+MID('Input data'!$C$34,9,1)</f>
        <v>v</v>
      </c>
      <c r="P25" s="441" t="str">
        <f>+MID('Input data'!$C$34,10,1)</f>
        <v>a</v>
      </c>
      <c r="Q25" s="441" t="str">
        <f>+MID('Input data'!$C$34,11,1)</f>
        <v xml:space="preserve"> </v>
      </c>
      <c r="R25" s="441" t="str">
        <f>+MID('Input data'!$C$34,12,1)</f>
        <v/>
      </c>
      <c r="S25" s="441" t="str">
        <f>+MID('Input data'!$C$34,13,1)</f>
        <v/>
      </c>
      <c r="T25" s="441" t="str">
        <f>+MID('Input data'!$C$34,14,1)</f>
        <v/>
      </c>
      <c r="U25" s="441" t="str">
        <f>+MID('Input data'!$C$34,15,1)</f>
        <v/>
      </c>
      <c r="V25" s="441" t="str">
        <f>+MID('Input data'!$C$34,16,1)</f>
        <v/>
      </c>
      <c r="W25" s="441" t="str">
        <f>+MID('Input data'!$C$34,17,1)</f>
        <v/>
      </c>
      <c r="X25" s="441" t="str">
        <f>+MID('Input data'!$C$34,18,1)</f>
        <v/>
      </c>
      <c r="Y25" s="441" t="str">
        <f>+MID('Input data'!$C$34,19,1)</f>
        <v/>
      </c>
      <c r="Z25" s="441" t="str">
        <f>+MID('Input data'!$C$34,20,1)</f>
        <v/>
      </c>
      <c r="AA25" s="441" t="str">
        <f>+MID('Input data'!$C$34,21,1)</f>
        <v/>
      </c>
      <c r="AB25" s="441" t="str">
        <f>+MID('Input data'!$C$34,22,1)</f>
        <v/>
      </c>
      <c r="AC25" s="441" t="str">
        <f>+MID('Input data'!$C$34,23,1)</f>
        <v/>
      </c>
      <c r="AD25" s="441" t="str">
        <f>+MID('Input data'!$C$34,24,1)</f>
        <v/>
      </c>
      <c r="AE25" s="441" t="str">
        <f>+MID('Input data'!$C$34,25,1)</f>
        <v/>
      </c>
      <c r="AF25" s="441" t="str">
        <f>+MID('Input data'!$C$34,26,1)</f>
        <v/>
      </c>
      <c r="AG25" s="441" t="str">
        <f>+MID('Input data'!$C$34,27,1)</f>
        <v/>
      </c>
      <c r="AH25" s="441" t="str">
        <f>+MID('Input data'!$C$34,28,1)</f>
        <v/>
      </c>
      <c r="AI25" s="441" t="str">
        <f>+MID('Input data'!$C$34,29,1)</f>
        <v/>
      </c>
      <c r="AJ25" s="441" t="str">
        <f>+MID('Input data'!$C$34,30,1)</f>
        <v/>
      </c>
      <c r="AK25" s="448" t="str">
        <f>+MID('Input data'!$C$34,31,1)</f>
        <v/>
      </c>
    </row>
    <row r="26" spans="1:50">
      <c r="A26" s="446" t="s">
        <v>1437</v>
      </c>
      <c r="B26" s="404"/>
      <c r="C26" s="404"/>
      <c r="D26" s="404"/>
      <c r="E26" s="404"/>
      <c r="F26" s="404"/>
      <c r="G26" s="445"/>
      <c r="H26" s="445"/>
      <c r="I26" s="445"/>
      <c r="J26" s="445"/>
      <c r="K26" s="445"/>
      <c r="L26" s="445"/>
      <c r="M26" s="445"/>
      <c r="N26" s="404"/>
      <c r="O26" s="445" t="s">
        <v>1438</v>
      </c>
      <c r="P26" s="445"/>
      <c r="Q26" s="445"/>
      <c r="R26" s="445"/>
      <c r="S26" s="445"/>
      <c r="T26" s="445"/>
      <c r="U26" s="445"/>
      <c r="V26" s="445"/>
      <c r="W26" s="445"/>
      <c r="X26" s="445"/>
      <c r="Y26" s="445"/>
      <c r="Z26" s="445"/>
      <c r="AA26" s="445"/>
      <c r="AB26" s="445"/>
      <c r="AC26" s="445"/>
      <c r="AD26" s="445"/>
      <c r="AE26" s="399"/>
      <c r="AF26" s="399"/>
      <c r="AG26" s="399"/>
      <c r="AH26" s="399"/>
      <c r="AI26" s="399"/>
      <c r="AJ26" s="399"/>
      <c r="AK26" s="398"/>
    </row>
    <row r="27" spans="1:50" s="530" customFormat="1" ht="19.5" customHeight="1">
      <c r="A27" s="444">
        <v>0</v>
      </c>
      <c r="B27" s="441" t="str">
        <f>+LEFT('Input data'!$C$36,1)</f>
        <v>2</v>
      </c>
      <c r="C27" s="441" t="str">
        <f>+MID('Input data'!$C$36,2,1)</f>
        <v/>
      </c>
      <c r="D27" s="441" t="str">
        <f>+MID('Input data'!$C$36,3,1)</f>
        <v/>
      </c>
      <c r="E27" s="441" t="s">
        <v>1092</v>
      </c>
      <c r="F27" s="441" t="str">
        <f>+LEFT('Input data'!$C$38,1)</f>
        <v>4</v>
      </c>
      <c r="G27" s="441" t="str">
        <f>+MID('Input data'!$C$38,2,1)</f>
        <v>8</v>
      </c>
      <c r="H27" s="441" t="str">
        <f>+MID('Input data'!$C$38,3,1)</f>
        <v>2</v>
      </c>
      <c r="I27" s="441" t="str">
        <f>+MID('Input data'!$C$38,4,1)</f>
        <v>0</v>
      </c>
      <c r="J27" s="441" t="str">
        <f>+MID('Input data'!$C$38,5,1)</f>
        <v>5</v>
      </c>
      <c r="K27" s="441" t="str">
        <f>+MID('Input data'!$C$38,6,1)</f>
        <v>2</v>
      </c>
      <c r="L27" s="441" t="str">
        <f>+MID('Input data'!$C$38,7,1)</f>
        <v>1</v>
      </c>
      <c r="M27" s="441" t="str">
        <f>+MID('Input data'!$C$38,8,1)</f>
        <v>0</v>
      </c>
      <c r="N27" s="443"/>
      <c r="O27" s="442">
        <v>0</v>
      </c>
      <c r="P27" s="441" t="str">
        <f>+LEFT('Input data'!$C$36,1)</f>
        <v>2</v>
      </c>
      <c r="Q27" s="441" t="str">
        <f>+MID('Input data'!$C$36,2,1)</f>
        <v/>
      </c>
      <c r="R27" s="441" t="str">
        <f>+MID('Input data'!$C$36,3,1)</f>
        <v/>
      </c>
      <c r="S27" s="441" t="s">
        <v>1092</v>
      </c>
      <c r="T27" s="441" t="str">
        <f>+LEFT('Input data'!$C$40,1)</f>
        <v>4</v>
      </c>
      <c r="U27" s="441" t="str">
        <f>+MID('Input data'!$C$40,2,1)</f>
        <v>8</v>
      </c>
      <c r="V27" s="441" t="str">
        <f>+MID('Input data'!$C$40,3,1)</f>
        <v>2</v>
      </c>
      <c r="W27" s="441" t="str">
        <f>+MID('Input data'!$C$40,4,1)</f>
        <v>0</v>
      </c>
      <c r="X27" s="441" t="str">
        <f>+MID('Input data'!$C$40,5,1)</f>
        <v>5</v>
      </c>
      <c r="Y27" s="441" t="str">
        <f>+MID('Input data'!$C$40,6,1)</f>
        <v>2</v>
      </c>
      <c r="Z27" s="441" t="str">
        <f>+MID('Input data'!$C$40,7,1)</f>
        <v>3</v>
      </c>
      <c r="AA27" s="441" t="str">
        <f>+MID('Input data'!$C$40,8,1)</f>
        <v>1</v>
      </c>
      <c r="AB27" s="441"/>
      <c r="AC27" s="441"/>
      <c r="AD27" s="441"/>
      <c r="AE27" s="399"/>
      <c r="AF27" s="399"/>
      <c r="AG27" s="399"/>
      <c r="AH27" s="399"/>
      <c r="AI27" s="399"/>
      <c r="AJ27" s="399"/>
      <c r="AK27" s="398"/>
    </row>
    <row r="28" spans="1:50" s="391" customFormat="1">
      <c r="A28" s="403" t="s">
        <v>1439</v>
      </c>
      <c r="B28" s="402"/>
      <c r="C28" s="402"/>
      <c r="D28" s="402"/>
      <c r="E28" s="402"/>
      <c r="F28" s="402"/>
      <c r="G28" s="402"/>
      <c r="H28" s="402"/>
      <c r="I28" s="402"/>
      <c r="J28" s="402"/>
      <c r="K28" s="402"/>
      <c r="L28" s="402"/>
      <c r="M28" s="402"/>
      <c r="N28" s="402"/>
      <c r="O28" s="402"/>
      <c r="P28" s="402"/>
      <c r="Q28" s="402"/>
      <c r="R28" s="402"/>
      <c r="S28" s="402"/>
      <c r="T28" s="402"/>
      <c r="U28" s="402"/>
      <c r="V28" s="402"/>
      <c r="W28" s="399"/>
      <c r="X28" s="399"/>
      <c r="Y28" s="399"/>
      <c r="Z28" s="399"/>
      <c r="AA28" s="399"/>
      <c r="AB28" s="399"/>
      <c r="AC28" s="399"/>
      <c r="AD28" s="399"/>
      <c r="AE28" s="399"/>
      <c r="AF28" s="399"/>
      <c r="AG28" s="399"/>
      <c r="AH28" s="399"/>
      <c r="AI28" s="399"/>
      <c r="AJ28" s="399"/>
      <c r="AK28" s="398"/>
    </row>
    <row r="29" spans="1:50" s="530" customFormat="1" ht="19.5" customHeight="1" thickBot="1">
      <c r="A29" s="440" t="str">
        <f>+LEFT('Input data'!$B$42,1)</f>
        <v>a</v>
      </c>
      <c r="B29" s="439" t="str">
        <f>+MID('Input data'!$B$42,2,1)</f>
        <v>c</v>
      </c>
      <c r="C29" s="439" t="str">
        <f>+MID('Input data'!$B$42,3,1)</f>
        <v>c</v>
      </c>
      <c r="D29" s="439" t="str">
        <f>+MID('Input data'!$B$42,4,1)</f>
        <v>o</v>
      </c>
      <c r="E29" s="439" t="str">
        <f>+MID('Input data'!$B$42,5,1)</f>
        <v>u</v>
      </c>
      <c r="F29" s="439" t="str">
        <f>+MID('Input data'!$B$42,6,1)</f>
        <v>n</v>
      </c>
      <c r="G29" s="439" t="str">
        <f>+MID('Input data'!$B$42,7,1)</f>
        <v>t</v>
      </c>
      <c r="H29" s="439" t="str">
        <f>+MID('Input data'!$B$42,8,1)</f>
        <v>i</v>
      </c>
      <c r="I29" s="439" t="str">
        <f>+MID('Input data'!$B$42,9,1)</f>
        <v>n</v>
      </c>
      <c r="J29" s="439" t="str">
        <f>+MID('Input data'!$B$42,10,1)</f>
        <v>g</v>
      </c>
      <c r="K29" s="439" t="str">
        <f>+MID('Input data'!$B$42,11,1)</f>
        <v>@</v>
      </c>
      <c r="L29" s="439" t="str">
        <f>+MID('Input data'!$B$42,12,1)</f>
        <v>o</v>
      </c>
      <c r="M29" s="439" t="str">
        <f>+MID('Input data'!$B$42,13,1)</f>
        <v>p</v>
      </c>
      <c r="N29" s="439" t="str">
        <f>+MID('Input data'!$B$42,14,1)</f>
        <v>t</v>
      </c>
      <c r="O29" s="439" t="str">
        <f>+MID('Input data'!$B$42,15,1)</f>
        <v>o</v>
      </c>
      <c r="P29" s="439" t="str">
        <f>+MID('Input data'!$B$42,16,1)</f>
        <v>c</v>
      </c>
      <c r="Q29" s="439" t="str">
        <f>+MID('Input data'!$B$42,17,1)</f>
        <v>o</v>
      </c>
      <c r="R29" s="439" t="str">
        <f>+MID('Input data'!$B$42,18,1)</f>
        <v>n</v>
      </c>
      <c r="S29" s="439" t="str">
        <f>+MID('Input data'!$B$42,19,1)</f>
        <v>.</v>
      </c>
      <c r="T29" s="439" t="str">
        <f>+MID('Input data'!$B$42,20,1)</f>
        <v>s</v>
      </c>
      <c r="U29" s="439" t="str">
        <f>+MID('Input data'!$B$42,21,1)</f>
        <v>k</v>
      </c>
      <c r="V29" s="439" t="str">
        <f>+MID('Input data'!$B$42,22,1)</f>
        <v/>
      </c>
      <c r="W29" s="439" t="str">
        <f>+MID('Input data'!$B$42,23,1)</f>
        <v/>
      </c>
      <c r="X29" s="439" t="str">
        <f>+MID('Input data'!$B$42,24,1)</f>
        <v/>
      </c>
      <c r="Y29" s="439" t="str">
        <f>+MID('Input data'!$B$42,25,1)</f>
        <v/>
      </c>
      <c r="Z29" s="439" t="str">
        <f>+MID('Input data'!$B$42,26,1)</f>
        <v/>
      </c>
      <c r="AA29" s="439" t="str">
        <f>+MID('Input data'!$B$42,27,1)</f>
        <v/>
      </c>
      <c r="AB29" s="439" t="str">
        <f>+MID('Input data'!$B$42,28,1)</f>
        <v/>
      </c>
      <c r="AC29" s="439" t="str">
        <f>+MID('Input data'!$B$42,29,1)</f>
        <v/>
      </c>
      <c r="AD29" s="439" t="str">
        <f>+MID('Input data'!$B$42,30,1)</f>
        <v/>
      </c>
      <c r="AE29" s="439" t="str">
        <f>+MID('Input data'!$B$42,31,1)</f>
        <v/>
      </c>
      <c r="AF29" s="439" t="str">
        <f>+MID('Input data'!$B$42,32,1)</f>
        <v/>
      </c>
      <c r="AG29" s="439" t="str">
        <f>+MID('Input data'!$B$42,33,1)</f>
        <v/>
      </c>
      <c r="AH29" s="439" t="str">
        <f>+MID('Input data'!$B$42,34,1)</f>
        <v/>
      </c>
      <c r="AI29" s="439" t="str">
        <f>+MID('Input data'!$B$42,35,1)</f>
        <v/>
      </c>
      <c r="AJ29" s="439" t="str">
        <f>+MID('Input data'!$B$42,36,1)</f>
        <v/>
      </c>
      <c r="AK29" s="438" t="str">
        <f>+MID('Input data'!$B$42,37,1)</f>
        <v/>
      </c>
    </row>
    <row r="30" spans="1:50" s="391" customFormat="1" ht="4.5" customHeight="1" thickBot="1">
      <c r="W30" s="392"/>
      <c r="X30" s="392"/>
      <c r="Y30" s="392"/>
      <c r="Z30" s="392"/>
      <c r="AA30" s="392"/>
      <c r="AB30" s="392"/>
      <c r="AC30" s="392"/>
      <c r="AD30" s="392"/>
      <c r="AE30" s="392"/>
      <c r="AF30" s="392"/>
      <c r="AG30" s="392"/>
      <c r="AH30" s="392"/>
      <c r="AI30" s="392"/>
      <c r="AJ30" s="392"/>
      <c r="AK30" s="392"/>
    </row>
    <row r="31" spans="1:50" s="434" customFormat="1" ht="12.75" customHeight="1">
      <c r="A31" s="437" t="s">
        <v>1311</v>
      </c>
      <c r="B31" s="436"/>
      <c r="C31" s="436"/>
      <c r="D31" s="436"/>
      <c r="E31" s="436"/>
      <c r="F31" s="436"/>
      <c r="G31" s="436"/>
      <c r="H31" s="436"/>
      <c r="I31" s="436"/>
      <c r="J31" s="436"/>
      <c r="K31" s="830"/>
      <c r="L31" s="830"/>
      <c r="M31" s="2396" t="s">
        <v>1440</v>
      </c>
      <c r="N31" s="2397"/>
      <c r="O31" s="2397"/>
      <c r="P31" s="2397"/>
      <c r="Q31" s="2397"/>
      <c r="R31" s="2397"/>
      <c r="S31" s="2397"/>
      <c r="T31" s="2397"/>
      <c r="U31" s="2398"/>
      <c r="V31" s="2396" t="s">
        <v>1441</v>
      </c>
      <c r="W31" s="2397"/>
      <c r="X31" s="2397"/>
      <c r="Y31" s="2397"/>
      <c r="Z31" s="2397"/>
      <c r="AA31" s="2397"/>
      <c r="AB31" s="2397"/>
      <c r="AC31" s="2398"/>
      <c r="AD31" s="2396" t="s">
        <v>1442</v>
      </c>
      <c r="AE31" s="2397"/>
      <c r="AF31" s="2397"/>
      <c r="AG31" s="2397"/>
      <c r="AH31" s="2397"/>
      <c r="AI31" s="2397"/>
      <c r="AJ31" s="2397"/>
      <c r="AK31" s="2397"/>
      <c r="AL31" s="2402"/>
    </row>
    <row r="32" spans="1:50" s="391" customFormat="1" ht="19.5" customHeight="1">
      <c r="A32" s="420" t="str">
        <f>LEFT(TEXT('Input data'!F34,"dd.m.yyyy"),1)</f>
        <v>1</v>
      </c>
      <c r="B32" s="419" t="str">
        <f>MID(TEXT('Input data'!$F$34,"dd.mm.yyyy"),2,1)</f>
        <v>5</v>
      </c>
      <c r="C32" s="418" t="s">
        <v>1063</v>
      </c>
      <c r="D32" s="419" t="str">
        <f>MID(TEXT('Input data'!$F$34,"dd.mm.yyyy"),4,1)</f>
        <v>0</v>
      </c>
      <c r="E32" s="419" t="str">
        <f>MID(TEXT('Input data'!$F$34,"dd.mm.yyyy"),5,1)</f>
        <v>5</v>
      </c>
      <c r="F32" s="418" t="s">
        <v>1063</v>
      </c>
      <c r="G32" s="419" t="str">
        <f>MID(TEXT('Input data'!$F$34,"dd.mm.yyyy"),7,1)</f>
        <v>2</v>
      </c>
      <c r="H32" s="419" t="str">
        <f>MID(TEXT('Input data'!$F$34,"dd.mm.yyyy"),8,1)</f>
        <v>0</v>
      </c>
      <c r="I32" s="419" t="str">
        <f>MID(TEXT('Input data'!$F$34,"dd.mm.yyyy"),9,1)</f>
        <v>1</v>
      </c>
      <c r="J32" s="419" t="str">
        <f>MID(TEXT('Input data'!$F$34,"dd.mm.yyyy"),10,1)</f>
        <v>8</v>
      </c>
      <c r="K32" s="831"/>
      <c r="L32" s="426"/>
      <c r="M32" s="2399"/>
      <c r="N32" s="2400"/>
      <c r="O32" s="2400"/>
      <c r="P32" s="2400"/>
      <c r="Q32" s="2400"/>
      <c r="R32" s="2400"/>
      <c r="S32" s="2400"/>
      <c r="T32" s="2400"/>
      <c r="U32" s="2401"/>
      <c r="V32" s="2399"/>
      <c r="W32" s="2400"/>
      <c r="X32" s="2400"/>
      <c r="Y32" s="2400"/>
      <c r="Z32" s="2400"/>
      <c r="AA32" s="2400"/>
      <c r="AB32" s="2400"/>
      <c r="AC32" s="2401"/>
      <c r="AD32" s="2399"/>
      <c r="AE32" s="2400"/>
      <c r="AF32" s="2400"/>
      <c r="AG32" s="2400"/>
      <c r="AH32" s="2400"/>
      <c r="AI32" s="2400"/>
      <c r="AJ32" s="2400"/>
      <c r="AK32" s="2400"/>
      <c r="AL32" s="2403"/>
      <c r="AP32" s="529"/>
      <c r="AX32" s="391" t="s">
        <v>1093</v>
      </c>
    </row>
    <row r="33" spans="1:38" s="391" customFormat="1" ht="12.75" customHeight="1">
      <c r="A33" s="432"/>
      <c r="B33" s="431"/>
      <c r="C33" s="431"/>
      <c r="D33" s="431"/>
      <c r="E33" s="431"/>
      <c r="F33" s="431"/>
      <c r="G33" s="431"/>
      <c r="H33" s="431"/>
      <c r="I33" s="431"/>
      <c r="J33" s="431"/>
      <c r="K33" s="832"/>
      <c r="L33" s="832"/>
      <c r="M33" s="2399"/>
      <c r="N33" s="2400"/>
      <c r="O33" s="2400"/>
      <c r="P33" s="2400"/>
      <c r="Q33" s="2400"/>
      <c r="R33" s="2400"/>
      <c r="S33" s="2400"/>
      <c r="T33" s="2400"/>
      <c r="U33" s="2401"/>
      <c r="V33" s="2399"/>
      <c r="W33" s="2400"/>
      <c r="X33" s="2400"/>
      <c r="Y33" s="2400"/>
      <c r="Z33" s="2400"/>
      <c r="AA33" s="2400"/>
      <c r="AB33" s="2400"/>
      <c r="AC33" s="2401"/>
      <c r="AD33" s="2399"/>
      <c r="AE33" s="2400"/>
      <c r="AF33" s="2400"/>
      <c r="AG33" s="2400"/>
      <c r="AH33" s="2400"/>
      <c r="AI33" s="2400"/>
      <c r="AJ33" s="2400"/>
      <c r="AK33" s="2400"/>
      <c r="AL33" s="2403"/>
    </row>
    <row r="34" spans="1:38" s="391" customFormat="1">
      <c r="A34" s="403" t="s">
        <v>1309</v>
      </c>
      <c r="B34" s="402"/>
      <c r="C34" s="402"/>
      <c r="D34" s="402"/>
      <c r="E34" s="402"/>
      <c r="F34" s="402"/>
      <c r="G34" s="402"/>
      <c r="H34" s="402"/>
      <c r="I34" s="402"/>
      <c r="J34" s="402"/>
      <c r="K34" s="426"/>
      <c r="L34" s="833"/>
      <c r="M34" s="426"/>
      <c r="N34" s="426"/>
      <c r="O34" s="426"/>
      <c r="P34" s="426"/>
      <c r="Q34" s="426"/>
      <c r="R34" s="426"/>
      <c r="S34" s="426"/>
      <c r="T34" s="402"/>
      <c r="U34" s="424"/>
      <c r="V34" s="425"/>
      <c r="W34" s="425"/>
      <c r="X34" s="425"/>
      <c r="Y34" s="425"/>
      <c r="Z34" s="425"/>
      <c r="AA34" s="399"/>
      <c r="AB34" s="425"/>
      <c r="AC34" s="424"/>
      <c r="AD34" s="423"/>
      <c r="AE34" s="422"/>
      <c r="AF34" s="422"/>
      <c r="AG34" s="422"/>
      <c r="AH34" s="422"/>
      <c r="AI34" s="422"/>
      <c r="AJ34" s="422"/>
      <c r="AK34" s="422"/>
      <c r="AL34" s="421"/>
    </row>
    <row r="35" spans="1:38" s="391" customFormat="1" ht="19.5" customHeight="1">
      <c r="A35" s="420" t="str">
        <f>IF('Input data'!$F$36="","",LEFT(TEXT('Input data'!$F$36,"dd.mm.yyyy"),1))</f>
        <v/>
      </c>
      <c r="B35" s="419" t="str">
        <f>IF('Input data'!$F$36="","",MID(TEXT('Input data'!$F$36,"dd.mm.yyyy"),2,1))</f>
        <v/>
      </c>
      <c r="C35" s="418" t="s">
        <v>1063</v>
      </c>
      <c r="D35" s="419" t="str">
        <f>IF('Input data'!$F$36="","",MID(TEXT('Input data'!$F$36,"dd.mm.yyyy"),4,1))</f>
        <v/>
      </c>
      <c r="E35" s="419" t="str">
        <f>IF('Input data'!$F$36="","",MID(TEXT('Input data'!$F$36,"dd.mm.yyyy"),5,1))</f>
        <v/>
      </c>
      <c r="F35" s="418" t="s">
        <v>1063</v>
      </c>
      <c r="G35" s="417" t="str">
        <f>IF('Input data'!$F$36="","",MID(TEXT('Input data'!$F$36,"dd.mm.yyyy"),7,1))</f>
        <v/>
      </c>
      <c r="H35" s="417" t="str">
        <f>IF('Input data'!$F$36="","",MID(TEXT('Input data'!$F$36,"dd.mm.yyyy"),8,1))</f>
        <v/>
      </c>
      <c r="I35" s="417" t="str">
        <f>IF('Input data'!$F$36="","",MID(TEXT('Input data'!$F$36,"dd.mm.yyyy"),9,1))</f>
        <v/>
      </c>
      <c r="J35" s="417" t="str">
        <f>IF('Input data'!$F$36="","",MID(TEXT('Input data'!$F$36,"dd.mm.yyyy"),10,1))</f>
        <v/>
      </c>
      <c r="K35" s="834"/>
      <c r="L35" s="528"/>
      <c r="M35" s="402"/>
      <c r="N35" s="402"/>
      <c r="O35" s="402"/>
      <c r="P35" s="402"/>
      <c r="Q35" s="402"/>
      <c r="R35" s="402"/>
      <c r="S35" s="402"/>
      <c r="T35" s="402"/>
      <c r="U35" s="528"/>
      <c r="V35" s="402"/>
      <c r="W35" s="399"/>
      <c r="X35" s="399"/>
      <c r="Y35" s="399"/>
      <c r="Z35" s="399"/>
      <c r="AA35" s="399"/>
      <c r="AB35" s="399"/>
      <c r="AC35" s="527"/>
      <c r="AD35" s="399"/>
      <c r="AE35" s="399"/>
      <c r="AF35" s="399"/>
      <c r="AG35" s="399"/>
      <c r="AH35" s="399"/>
      <c r="AI35" s="399"/>
      <c r="AJ35" s="399"/>
      <c r="AK35" s="399"/>
      <c r="AL35" s="398"/>
    </row>
    <row r="36" spans="1:38" s="397" customFormat="1" thickBot="1">
      <c r="A36" s="412"/>
      <c r="B36" s="411"/>
      <c r="C36" s="411"/>
      <c r="D36" s="411"/>
      <c r="E36" s="411"/>
      <c r="F36" s="411"/>
      <c r="G36" s="411"/>
      <c r="H36" s="411"/>
      <c r="I36" s="411"/>
      <c r="J36" s="411"/>
      <c r="K36" s="411"/>
      <c r="L36" s="410"/>
      <c r="M36" s="2301">
        <f>'Input data'!F40</f>
        <v>0</v>
      </c>
      <c r="N36" s="2302"/>
      <c r="O36" s="2302"/>
      <c r="P36" s="2302"/>
      <c r="Q36" s="2302"/>
      <c r="R36" s="2302"/>
      <c r="S36" s="2302"/>
      <c r="T36" s="2302"/>
      <c r="U36" s="2303"/>
      <c r="V36" s="2301" t="e">
        <f>'Input data'!#REF!</f>
        <v>#REF!</v>
      </c>
      <c r="W36" s="2302"/>
      <c r="X36" s="2302"/>
      <c r="Y36" s="2302"/>
      <c r="Z36" s="2302"/>
      <c r="AA36" s="2302"/>
      <c r="AB36" s="2302"/>
      <c r="AC36" s="2303"/>
      <c r="AD36" s="2304" t="e">
        <f>'Input data'!#REF!</f>
        <v>#REF!</v>
      </c>
      <c r="AE36" s="2302"/>
      <c r="AF36" s="2302"/>
      <c r="AG36" s="2302"/>
      <c r="AH36" s="2302"/>
      <c r="AI36" s="2302"/>
      <c r="AJ36" s="2302"/>
      <c r="AK36" s="2302"/>
      <c r="AL36" s="2305"/>
    </row>
    <row r="37" spans="1:38" s="397" customFormat="1">
      <c r="W37" s="392"/>
      <c r="X37" s="392"/>
      <c r="Y37" s="392"/>
      <c r="Z37" s="392"/>
      <c r="AA37" s="392"/>
      <c r="AB37" s="392"/>
      <c r="AC37" s="392"/>
      <c r="AD37" s="392"/>
      <c r="AE37" s="392"/>
      <c r="AF37" s="392"/>
      <c r="AG37" s="392"/>
      <c r="AH37" s="392"/>
      <c r="AI37" s="392"/>
      <c r="AJ37" s="392"/>
      <c r="AK37" s="392"/>
    </row>
    <row r="38" spans="1:38" s="397" customFormat="1">
      <c r="W38" s="392"/>
      <c r="X38" s="392"/>
      <c r="Y38" s="392"/>
      <c r="Z38" s="392"/>
      <c r="AA38" s="392"/>
      <c r="AB38" s="392"/>
      <c r="AC38" s="392"/>
      <c r="AD38" s="392"/>
      <c r="AE38" s="392"/>
      <c r="AF38" s="392"/>
      <c r="AG38" s="392"/>
      <c r="AH38" s="392"/>
      <c r="AI38" s="392"/>
      <c r="AJ38" s="392"/>
      <c r="AK38" s="392"/>
    </row>
    <row r="39" spans="1:38" s="397" customFormat="1">
      <c r="W39" s="392"/>
      <c r="X39" s="392"/>
      <c r="Y39" s="392"/>
      <c r="Z39" s="392"/>
      <c r="AA39" s="392"/>
      <c r="AB39" s="392"/>
      <c r="AC39" s="392"/>
      <c r="AD39" s="392"/>
      <c r="AE39" s="392"/>
      <c r="AF39" s="392"/>
      <c r="AG39" s="392"/>
      <c r="AH39" s="392"/>
      <c r="AI39" s="392"/>
      <c r="AJ39" s="392"/>
      <c r="AK39" s="392"/>
    </row>
    <row r="40" spans="1:38" ht="13.5" thickBot="1">
      <c r="W40" s="392"/>
      <c r="X40" s="392"/>
      <c r="Y40" s="392"/>
      <c r="Z40" s="392"/>
      <c r="AA40" s="392"/>
      <c r="AB40" s="392"/>
      <c r="AC40" s="392"/>
      <c r="AD40" s="392"/>
      <c r="AE40" s="392"/>
      <c r="AF40" s="392"/>
      <c r="AG40" s="392"/>
      <c r="AH40" s="392"/>
      <c r="AI40" s="392"/>
      <c r="AJ40" s="392"/>
      <c r="AK40" s="392"/>
    </row>
    <row r="41" spans="1:38" s="397" customFormat="1">
      <c r="B41" s="409" t="s">
        <v>1443</v>
      </c>
      <c r="C41" s="408"/>
      <c r="D41" s="408"/>
      <c r="E41" s="408"/>
      <c r="F41" s="408"/>
      <c r="G41" s="408"/>
      <c r="H41" s="408"/>
      <c r="I41" s="408"/>
      <c r="J41" s="408"/>
      <c r="K41" s="408"/>
      <c r="L41" s="408"/>
      <c r="M41" s="408"/>
      <c r="N41" s="408"/>
      <c r="O41" s="408"/>
      <c r="P41" s="408"/>
      <c r="Q41" s="408"/>
      <c r="R41" s="408"/>
      <c r="S41" s="408"/>
      <c r="T41" s="408"/>
      <c r="U41" s="408"/>
      <c r="V41" s="408"/>
      <c r="W41" s="407"/>
      <c r="X41" s="407"/>
      <c r="Y41" s="407"/>
      <c r="Z41" s="407"/>
      <c r="AA41" s="407"/>
      <c r="AB41" s="407"/>
      <c r="AC41" s="407"/>
      <c r="AD41" s="407"/>
      <c r="AE41" s="407"/>
      <c r="AF41" s="407"/>
      <c r="AG41" s="407"/>
      <c r="AH41" s="407"/>
      <c r="AI41" s="407"/>
      <c r="AJ41" s="406"/>
      <c r="AK41" s="392"/>
    </row>
    <row r="42" spans="1:38" s="397" customFormat="1">
      <c r="B42" s="401"/>
      <c r="C42" s="400"/>
      <c r="D42" s="400"/>
      <c r="E42" s="400"/>
      <c r="F42" s="400"/>
      <c r="G42" s="400"/>
      <c r="H42" s="400"/>
      <c r="I42" s="400"/>
      <c r="J42" s="400"/>
      <c r="K42" s="400"/>
      <c r="L42" s="400"/>
      <c r="M42" s="400"/>
      <c r="N42" s="400"/>
      <c r="O42" s="400"/>
      <c r="P42" s="400"/>
      <c r="Q42" s="400"/>
      <c r="R42" s="400"/>
      <c r="S42" s="400"/>
      <c r="T42" s="400"/>
      <c r="U42" s="400"/>
      <c r="V42" s="400"/>
      <c r="W42" s="399"/>
      <c r="X42" s="399"/>
      <c r="Y42" s="399"/>
      <c r="Z42" s="399"/>
      <c r="AA42" s="399"/>
      <c r="AB42" s="399"/>
      <c r="AC42" s="399"/>
      <c r="AD42" s="399"/>
      <c r="AE42" s="399"/>
      <c r="AF42" s="399"/>
      <c r="AG42" s="399"/>
      <c r="AH42" s="399"/>
      <c r="AI42" s="399"/>
      <c r="AJ42" s="398"/>
      <c r="AK42" s="392"/>
    </row>
    <row r="43" spans="1:38">
      <c r="B43" s="405"/>
      <c r="C43" s="404"/>
      <c r="D43" s="404"/>
      <c r="E43" s="404"/>
      <c r="F43" s="404"/>
      <c r="G43" s="404"/>
      <c r="H43" s="404"/>
      <c r="I43" s="404"/>
      <c r="J43" s="404"/>
      <c r="K43" s="404"/>
      <c r="L43" s="404"/>
      <c r="M43" s="404"/>
      <c r="N43" s="404"/>
      <c r="O43" s="404"/>
      <c r="P43" s="404"/>
      <c r="Q43" s="404"/>
      <c r="R43" s="404"/>
      <c r="S43" s="404"/>
      <c r="T43" s="404"/>
      <c r="U43" s="404"/>
      <c r="V43" s="404"/>
      <c r="W43" s="399"/>
      <c r="X43" s="399"/>
      <c r="Y43" s="399"/>
      <c r="Z43" s="399"/>
      <c r="AA43" s="399"/>
      <c r="AB43" s="399"/>
      <c r="AC43" s="399"/>
      <c r="AD43" s="399"/>
      <c r="AE43" s="399"/>
      <c r="AF43" s="399"/>
      <c r="AG43" s="399"/>
      <c r="AH43" s="399"/>
      <c r="AI43" s="399"/>
      <c r="AJ43" s="398"/>
      <c r="AK43" s="392"/>
    </row>
    <row r="44" spans="1:38" s="397" customFormat="1">
      <c r="B44" s="401"/>
      <c r="C44" s="400"/>
      <c r="D44" s="400"/>
      <c r="E44" s="400"/>
      <c r="F44" s="400"/>
      <c r="G44" s="400"/>
      <c r="H44" s="400"/>
      <c r="I44" s="400"/>
      <c r="J44" s="400"/>
      <c r="K44" s="400"/>
      <c r="L44" s="400"/>
      <c r="M44" s="400"/>
      <c r="N44" s="400"/>
      <c r="O44" s="400"/>
      <c r="P44" s="400"/>
      <c r="Q44" s="400"/>
      <c r="R44" s="400"/>
      <c r="S44" s="400"/>
      <c r="T44" s="400"/>
      <c r="U44" s="400"/>
      <c r="V44" s="400"/>
      <c r="W44" s="399"/>
      <c r="X44" s="399"/>
      <c r="Y44" s="399"/>
      <c r="Z44" s="399"/>
      <c r="AA44" s="399"/>
      <c r="AB44" s="399"/>
      <c r="AC44" s="399"/>
      <c r="AD44" s="399"/>
      <c r="AE44" s="399"/>
      <c r="AF44" s="399"/>
      <c r="AG44" s="399"/>
      <c r="AH44" s="399"/>
      <c r="AI44" s="399"/>
      <c r="AJ44" s="398"/>
      <c r="AK44" s="392"/>
    </row>
    <row r="45" spans="1:38" s="391" customFormat="1">
      <c r="B45" s="403"/>
      <c r="C45" s="402"/>
      <c r="D45" s="402"/>
      <c r="E45" s="402"/>
      <c r="F45" s="402"/>
      <c r="G45" s="402"/>
      <c r="H45" s="402"/>
      <c r="I45" s="402"/>
      <c r="J45" s="402"/>
      <c r="K45" s="402"/>
      <c r="L45" s="402"/>
      <c r="M45" s="402"/>
      <c r="N45" s="402"/>
      <c r="O45" s="402"/>
      <c r="P45" s="402"/>
      <c r="Q45" s="402"/>
      <c r="R45" s="402"/>
      <c r="S45" s="402"/>
      <c r="T45" s="402"/>
      <c r="U45" s="402"/>
      <c r="V45" s="402"/>
      <c r="W45" s="399"/>
      <c r="X45" s="399"/>
      <c r="Y45" s="399"/>
      <c r="Z45" s="399"/>
      <c r="AA45" s="399"/>
      <c r="AB45" s="399"/>
      <c r="AC45" s="399"/>
      <c r="AD45" s="399"/>
      <c r="AE45" s="399"/>
      <c r="AF45" s="399"/>
      <c r="AG45" s="399"/>
      <c r="AH45" s="399"/>
      <c r="AI45" s="399"/>
      <c r="AJ45" s="398"/>
      <c r="AK45" s="392"/>
    </row>
    <row r="46" spans="1:38" s="391" customFormat="1">
      <c r="B46" s="403"/>
      <c r="C46" s="402"/>
      <c r="D46" s="402"/>
      <c r="E46" s="402"/>
      <c r="F46" s="402"/>
      <c r="G46" s="402"/>
      <c r="H46" s="402"/>
      <c r="I46" s="402"/>
      <c r="J46" s="402"/>
      <c r="K46" s="402"/>
      <c r="L46" s="402"/>
      <c r="M46" s="402"/>
      <c r="N46" s="402"/>
      <c r="O46" s="402"/>
      <c r="P46" s="402"/>
      <c r="Q46" s="402"/>
      <c r="R46" s="402"/>
      <c r="S46" s="402"/>
      <c r="T46" s="402"/>
      <c r="U46" s="402"/>
      <c r="V46" s="402"/>
      <c r="W46" s="399"/>
      <c r="X46" s="399"/>
      <c r="Y46" s="399"/>
      <c r="Z46" s="399"/>
      <c r="AA46" s="399"/>
      <c r="AB46" s="399"/>
      <c r="AC46" s="399"/>
      <c r="AD46" s="399"/>
      <c r="AE46" s="399"/>
      <c r="AF46" s="399"/>
      <c r="AG46" s="399"/>
      <c r="AH46" s="399"/>
      <c r="AI46" s="399"/>
      <c r="AJ46" s="398"/>
      <c r="AK46" s="392"/>
    </row>
    <row r="47" spans="1:38" s="397" customFormat="1">
      <c r="B47" s="401"/>
      <c r="C47" s="400"/>
      <c r="D47" s="400"/>
      <c r="E47" s="400"/>
      <c r="F47" s="400"/>
      <c r="G47" s="400"/>
      <c r="H47" s="400"/>
      <c r="I47" s="400"/>
      <c r="J47" s="400"/>
      <c r="K47" s="400"/>
      <c r="L47" s="400"/>
      <c r="M47" s="400"/>
      <c r="N47" s="400"/>
      <c r="O47" s="400"/>
      <c r="P47" s="400"/>
      <c r="Q47" s="400"/>
      <c r="R47" s="400"/>
      <c r="S47" s="400"/>
      <c r="T47" s="400"/>
      <c r="U47" s="400"/>
      <c r="V47" s="400"/>
      <c r="W47" s="399"/>
      <c r="X47" s="399"/>
      <c r="Y47" s="399"/>
      <c r="Z47" s="399"/>
      <c r="AA47" s="399"/>
      <c r="AB47" s="399"/>
      <c r="AC47" s="399"/>
      <c r="AD47" s="399"/>
      <c r="AE47" s="399"/>
      <c r="AF47" s="399"/>
      <c r="AG47" s="399"/>
      <c r="AH47" s="399"/>
      <c r="AI47" s="399"/>
      <c r="AJ47" s="398"/>
      <c r="AK47" s="392"/>
    </row>
    <row r="48" spans="1:38" s="397" customFormat="1">
      <c r="B48" s="401"/>
      <c r="C48" s="400"/>
      <c r="D48" s="400"/>
      <c r="E48" s="400"/>
      <c r="F48" s="400"/>
      <c r="G48" s="400"/>
      <c r="H48" s="400"/>
      <c r="I48" s="400"/>
      <c r="J48" s="400"/>
      <c r="K48" s="400"/>
      <c r="L48" s="400"/>
      <c r="M48" s="400"/>
      <c r="N48" s="400"/>
      <c r="O48" s="400"/>
      <c r="P48" s="400"/>
      <c r="Q48" s="400"/>
      <c r="R48" s="400"/>
      <c r="S48" s="400"/>
      <c r="T48" s="400"/>
      <c r="U48" s="400"/>
      <c r="V48" s="400"/>
      <c r="W48" s="399"/>
      <c r="X48" s="399"/>
      <c r="Y48" s="399"/>
      <c r="Z48" s="399"/>
      <c r="AA48" s="399"/>
      <c r="AB48" s="399"/>
      <c r="AC48" s="399"/>
      <c r="AD48" s="399"/>
      <c r="AE48" s="399"/>
      <c r="AF48" s="399"/>
      <c r="AG48" s="399"/>
      <c r="AH48" s="399"/>
      <c r="AI48" s="399"/>
      <c r="AJ48" s="398"/>
      <c r="AK48" s="392"/>
    </row>
    <row r="49" spans="2:37" s="397" customFormat="1">
      <c r="B49" s="401"/>
      <c r="C49" s="400"/>
      <c r="D49" s="400"/>
      <c r="E49" s="400"/>
      <c r="F49" s="400"/>
      <c r="G49" s="400"/>
      <c r="H49" s="400"/>
      <c r="I49" s="400"/>
      <c r="J49" s="400"/>
      <c r="K49" s="400"/>
      <c r="L49" s="400"/>
      <c r="M49" s="400"/>
      <c r="N49" s="400"/>
      <c r="O49" s="400"/>
      <c r="P49" s="400"/>
      <c r="Q49" s="400"/>
      <c r="R49" s="400"/>
      <c r="S49" s="400"/>
      <c r="T49" s="400"/>
      <c r="U49" s="400"/>
      <c r="V49" s="400"/>
      <c r="W49" s="399"/>
      <c r="X49" s="399"/>
      <c r="Y49" s="399"/>
      <c r="Z49" s="399"/>
      <c r="AA49" s="399"/>
      <c r="AB49" s="399"/>
      <c r="AC49" s="399"/>
      <c r="AD49" s="399"/>
      <c r="AE49" s="399"/>
      <c r="AF49" s="399"/>
      <c r="AG49" s="399"/>
      <c r="AH49" s="399"/>
      <c r="AI49" s="399"/>
      <c r="AJ49" s="398"/>
      <c r="AK49" s="392"/>
    </row>
    <row r="50" spans="2:37" s="397" customFormat="1">
      <c r="B50" s="401"/>
      <c r="C50" s="400"/>
      <c r="D50" s="400"/>
      <c r="E50" s="400"/>
      <c r="F50" s="400"/>
      <c r="G50" s="400"/>
      <c r="H50" s="400"/>
      <c r="I50" s="400"/>
      <c r="J50" s="400"/>
      <c r="K50" s="400"/>
      <c r="L50" s="400"/>
      <c r="M50" s="400"/>
      <c r="N50" s="400"/>
      <c r="O50" s="400"/>
      <c r="P50" s="400"/>
      <c r="Q50" s="400"/>
      <c r="R50" s="400"/>
      <c r="S50" s="400"/>
      <c r="T50" s="400"/>
      <c r="U50" s="400"/>
      <c r="V50" s="400"/>
      <c r="W50" s="399"/>
      <c r="X50" s="399"/>
      <c r="Y50" s="399"/>
      <c r="Z50" s="399"/>
      <c r="AA50" s="399"/>
      <c r="AB50" s="399"/>
      <c r="AC50" s="399"/>
      <c r="AD50" s="399"/>
      <c r="AE50" s="399"/>
      <c r="AF50" s="399"/>
      <c r="AG50" s="399"/>
      <c r="AH50" s="399"/>
      <c r="AI50" s="399"/>
      <c r="AJ50" s="398"/>
      <c r="AK50" s="392"/>
    </row>
    <row r="51" spans="2:37" s="391" customFormat="1" ht="13.5" thickBot="1">
      <c r="B51" s="396"/>
      <c r="C51" s="395"/>
      <c r="D51" s="395"/>
      <c r="E51" s="395"/>
      <c r="F51" s="395"/>
      <c r="G51" s="395" t="s">
        <v>1444</v>
      </c>
      <c r="H51" s="395"/>
      <c r="I51" s="395"/>
      <c r="J51" s="395"/>
      <c r="K51" s="395"/>
      <c r="L51" s="395"/>
      <c r="M51" s="395"/>
      <c r="N51" s="395"/>
      <c r="O51" s="395"/>
      <c r="P51" s="395"/>
      <c r="Q51" s="395"/>
      <c r="R51" s="395"/>
      <c r="S51" s="395"/>
      <c r="T51" s="395"/>
      <c r="U51" s="395" t="s">
        <v>1445</v>
      </c>
      <c r="V51" s="395"/>
      <c r="W51" s="394"/>
      <c r="X51" s="394"/>
      <c r="Y51" s="394"/>
      <c r="Z51" s="394"/>
      <c r="AA51" s="394"/>
      <c r="AB51" s="394"/>
      <c r="AC51" s="394"/>
      <c r="AD51" s="394"/>
      <c r="AE51" s="394"/>
      <c r="AF51" s="394"/>
      <c r="AG51" s="394"/>
      <c r="AH51" s="394"/>
      <c r="AI51" s="394"/>
      <c r="AJ51" s="393"/>
      <c r="AK51" s="392"/>
    </row>
  </sheetData>
  <mergeCells count="9">
    <mergeCell ref="M36:U36"/>
    <mergeCell ref="V36:AC36"/>
    <mergeCell ref="AD36:AL36"/>
    <mergeCell ref="N1:X3"/>
    <mergeCell ref="J4:K4"/>
    <mergeCell ref="W13:AA15"/>
    <mergeCell ref="M31:U33"/>
    <mergeCell ref="V31:AC33"/>
    <mergeCell ref="AD31:AL33"/>
  </mergeCells>
  <pageMargins left="0.39370078740157483" right="0.39370078740157483" top="0.35433070866141736" bottom="0.35433070866141736" header="0.23622047244094491" footer="0.23622047244094491"/>
  <pageSetup orientation="portrait" r:id="rId1"/>
  <headerFooter alignWithMargins="0">
    <oddFooter>&amp;LMF SR č. 25947/1/2010&amp;RPage 1</odd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Y252"/>
  <sheetViews>
    <sheetView showGridLines="0" view="pageBreakPreview" topLeftCell="A158" zoomScaleNormal="100" zoomScaleSheetLayoutView="100" workbookViewId="0">
      <selection activeCell="E162" sqref="E162:G162"/>
    </sheetView>
  </sheetViews>
  <sheetFormatPr defaultColWidth="9.140625" defaultRowHeight="11.25"/>
  <cols>
    <col min="1" max="1" width="5.5703125" style="1179" customWidth="1"/>
    <col min="2" max="2" width="16.85546875" style="1179" customWidth="1"/>
    <col min="3" max="3" width="0.85546875" style="1179" customWidth="1"/>
    <col min="4" max="4" width="3.7109375" style="1179" customWidth="1"/>
    <col min="5" max="5" width="3.5703125" style="1179" customWidth="1"/>
    <col min="6" max="6" width="12.42578125" style="1179" customWidth="1"/>
    <col min="7" max="7" width="12.140625" style="1179" customWidth="1"/>
    <col min="8" max="8" width="0.85546875" style="1179" customWidth="1"/>
    <col min="9" max="9" width="14.7109375" style="1179" customWidth="1"/>
    <col min="10" max="10" width="3.5703125" style="1179" customWidth="1"/>
    <col min="11" max="11" width="10.5703125" style="1179" customWidth="1"/>
    <col min="12" max="12" width="14.42578125" style="1179" customWidth="1"/>
    <col min="13" max="14" width="9.140625" style="1179"/>
    <col min="15" max="15" width="16.85546875" style="1179" hidden="1" customWidth="1"/>
    <col min="16" max="16" width="9.140625" style="1179"/>
    <col min="17" max="24" width="9.140625" style="1179" hidden="1" customWidth="1"/>
    <col min="25" max="25" width="25" style="1179" hidden="1" customWidth="1"/>
    <col min="26" max="16384" width="9.140625" style="1179"/>
  </cols>
  <sheetData>
    <row r="1" spans="1:15" ht="15" customHeight="1">
      <c r="A1" s="1178"/>
      <c r="B1" s="502"/>
      <c r="C1" s="445"/>
      <c r="G1" s="1180"/>
      <c r="H1" s="1180"/>
      <c r="I1" s="1180"/>
      <c r="J1" s="1180"/>
      <c r="K1" s="1180"/>
      <c r="O1" s="502"/>
    </row>
    <row r="2" spans="1:15" ht="21.75" customHeight="1">
      <c r="A2" s="1178"/>
      <c r="B2" s="1166" t="s">
        <v>2585</v>
      </c>
      <c r="C2" s="1169"/>
      <c r="D2" s="525" t="s">
        <v>2586</v>
      </c>
      <c r="E2" s="1409" t="str">
        <f>"  "&amp;'SK Cover sheet'!A11&amp;"  "&amp;'SK Cover sheet'!B11&amp;"  "&amp;'SK Cover sheet'!C11&amp;"  "&amp;'SK Cover sheet'!D11&amp;"  "&amp;'SK Cover sheet'!E11&amp;"  "&amp;'SK Cover sheet'!F11&amp;"  "&amp;'SK Cover sheet'!G11&amp;"  "&amp;'SK Cover sheet'!H11&amp;"  "&amp;'SK Cover sheet'!I11&amp;"  "&amp;'SK Cover sheet'!J11</f>
        <v xml:space="preserve">  2  0  2  0  3  1  9  8  2  9</v>
      </c>
      <c r="F2" s="523"/>
      <c r="G2" s="522"/>
      <c r="H2" s="1205"/>
      <c r="I2" s="1213" t="s">
        <v>2587</v>
      </c>
      <c r="J2" s="1210" t="str">
        <f>"  "&amp;'SK Cover sheet'!A13&amp;"  "&amp;'SK Cover sheet'!B13&amp;"  "&amp;'SK Cover sheet'!C13&amp;"  "&amp;'SK Cover sheet'!D13&amp;"  "&amp;'SK Cover sheet'!E13&amp;"  "&amp;'SK Cover sheet'!F13&amp;"  "&amp;'SK Cover sheet'!G13&amp;"  "&amp;'SK Cover sheet'!H13&amp;" "</f>
        <v xml:space="preserve">  3  1  3  6  5  5  0  7 </v>
      </c>
      <c r="K2" s="1211"/>
      <c r="L2" s="1212"/>
      <c r="O2" s="1166" t="s">
        <v>2585</v>
      </c>
    </row>
    <row r="3" spans="1:15" ht="2.25" customHeight="1" thickBot="1">
      <c r="A3" s="1178"/>
      <c r="C3" s="1180"/>
    </row>
    <row r="4" spans="1:15" s="1181" customFormat="1" ht="11.25" customHeight="1">
      <c r="A4" s="1631" t="s">
        <v>1447</v>
      </c>
      <c r="B4" s="1633" t="s">
        <v>1448</v>
      </c>
      <c r="C4" s="2421"/>
      <c r="D4" s="2423" t="s">
        <v>1449</v>
      </c>
      <c r="E4" s="1638" t="s">
        <v>1450</v>
      </c>
      <c r="F4" s="1639"/>
      <c r="G4" s="1639"/>
      <c r="H4" s="1639"/>
      <c r="I4" s="1639"/>
      <c r="J4" s="1640"/>
      <c r="K4" s="1641" t="s">
        <v>1451</v>
      </c>
      <c r="L4" s="1642"/>
      <c r="O4" s="1633" t="s">
        <v>1448</v>
      </c>
    </row>
    <row r="5" spans="1:15" s="1181" customFormat="1" ht="11.25" customHeight="1">
      <c r="A5" s="1632"/>
      <c r="B5" s="1634"/>
      <c r="C5" s="2422"/>
      <c r="D5" s="2424"/>
      <c r="E5" s="1645">
        <v>1</v>
      </c>
      <c r="F5" s="1634" t="s">
        <v>1452</v>
      </c>
      <c r="G5" s="1620"/>
      <c r="H5" s="1408"/>
      <c r="I5" s="1691" t="s">
        <v>1453</v>
      </c>
      <c r="J5" s="1647"/>
      <c r="K5" s="1643"/>
      <c r="L5" s="1644"/>
      <c r="O5" s="1634"/>
    </row>
    <row r="6" spans="1:15" s="1181" customFormat="1" ht="12" customHeight="1">
      <c r="A6" s="1632"/>
      <c r="B6" s="1634"/>
      <c r="C6" s="2422"/>
      <c r="D6" s="2424"/>
      <c r="E6" s="1645"/>
      <c r="F6" s="1634" t="s">
        <v>1454</v>
      </c>
      <c r="G6" s="1620"/>
      <c r="H6" s="1408"/>
      <c r="I6" s="1646"/>
      <c r="J6" s="1647"/>
      <c r="K6" s="1620" t="s">
        <v>1455</v>
      </c>
      <c r="L6" s="1621"/>
      <c r="O6" s="1634"/>
    </row>
    <row r="7" spans="1:15" s="1183" customFormat="1" ht="27.95" customHeight="1">
      <c r="A7" s="1622"/>
      <c r="B7" s="1623" t="s">
        <v>2681</v>
      </c>
      <c r="C7" s="1391"/>
      <c r="D7" s="1624" t="s">
        <v>522</v>
      </c>
      <c r="E7" s="1626">
        <f>BS!D10</f>
        <v>5888095</v>
      </c>
      <c r="F7" s="1626"/>
      <c r="G7" s="1627"/>
      <c r="H7" s="1384"/>
      <c r="I7" s="1628">
        <f>E7-E8</f>
        <v>4805868</v>
      </c>
      <c r="J7" s="1628"/>
      <c r="K7" s="1629"/>
      <c r="L7" s="1182"/>
      <c r="O7" s="1623" t="s">
        <v>521</v>
      </c>
    </row>
    <row r="8" spans="1:15" s="1183" customFormat="1" ht="27.95" customHeight="1">
      <c r="A8" s="1622"/>
      <c r="B8" s="1623"/>
      <c r="C8" s="1392"/>
      <c r="D8" s="1625"/>
      <c r="E8" s="1626">
        <f>BS!E10</f>
        <v>1082227</v>
      </c>
      <c r="F8" s="1626"/>
      <c r="G8" s="1627"/>
      <c r="H8" s="1384"/>
      <c r="I8" s="1384"/>
      <c r="J8" s="1627">
        <f>BS!G10</f>
        <v>4632339</v>
      </c>
      <c r="K8" s="1628"/>
      <c r="L8" s="1630"/>
      <c r="O8" s="1623"/>
    </row>
    <row r="9" spans="1:15" s="1183" customFormat="1" ht="27.95" customHeight="1">
      <c r="A9" s="1622" t="s">
        <v>523</v>
      </c>
      <c r="B9" s="1667" t="s">
        <v>524</v>
      </c>
      <c r="C9" s="1391"/>
      <c r="D9" s="1624" t="s">
        <v>525</v>
      </c>
      <c r="E9" s="1626">
        <f>BS!D11</f>
        <v>3096481</v>
      </c>
      <c r="F9" s="1626"/>
      <c r="G9" s="1627"/>
      <c r="H9" s="1384"/>
      <c r="I9" s="1628">
        <f>E9-E10</f>
        <v>2030208</v>
      </c>
      <c r="J9" s="1628"/>
      <c r="K9" s="1629"/>
      <c r="L9" s="1182"/>
      <c r="O9" s="1623" t="s">
        <v>524</v>
      </c>
    </row>
    <row r="10" spans="1:15" s="1183" customFormat="1" ht="27.95" customHeight="1">
      <c r="A10" s="1622"/>
      <c r="B10" s="1668"/>
      <c r="C10" s="1392"/>
      <c r="D10" s="1625"/>
      <c r="E10" s="1626">
        <f>BS!E11</f>
        <v>1066273</v>
      </c>
      <c r="F10" s="1626"/>
      <c r="G10" s="1627"/>
      <c r="H10" s="1384"/>
      <c r="I10" s="1384"/>
      <c r="J10" s="1627">
        <f>BS!G11</f>
        <v>2030475</v>
      </c>
      <c r="K10" s="1628"/>
      <c r="L10" s="1630"/>
      <c r="O10" s="1623"/>
    </row>
    <row r="11" spans="1:15" s="1183" customFormat="1" ht="27.95" customHeight="1">
      <c r="A11" s="1648" t="s">
        <v>526</v>
      </c>
      <c r="B11" s="1650" t="s">
        <v>2711</v>
      </c>
      <c r="C11" s="1214"/>
      <c r="D11" s="1624" t="s">
        <v>528</v>
      </c>
      <c r="E11" s="1626">
        <f>BS!D12</f>
        <v>2251280</v>
      </c>
      <c r="F11" s="1626"/>
      <c r="G11" s="1627"/>
      <c r="H11" s="1384"/>
      <c r="I11" s="1628">
        <f>E11-E12</f>
        <v>1524352</v>
      </c>
      <c r="J11" s="1628"/>
      <c r="K11" s="1629"/>
      <c r="L11" s="1182"/>
      <c r="O11" s="1650" t="s">
        <v>527</v>
      </c>
    </row>
    <row r="12" spans="1:15" s="1183" customFormat="1" ht="27.95" customHeight="1">
      <c r="A12" s="1649"/>
      <c r="B12" s="1651"/>
      <c r="C12" s="1215"/>
      <c r="D12" s="1625"/>
      <c r="E12" s="1626">
        <f>BS!E12</f>
        <v>726928</v>
      </c>
      <c r="F12" s="1626"/>
      <c r="G12" s="1627"/>
      <c r="H12" s="1384"/>
      <c r="I12" s="1384"/>
      <c r="J12" s="1627">
        <f>BS!G12</f>
        <v>1848316</v>
      </c>
      <c r="K12" s="1628"/>
      <c r="L12" s="1630"/>
      <c r="O12" s="1651"/>
    </row>
    <row r="13" spans="1:15" s="1181" customFormat="1" ht="27.95" customHeight="1">
      <c r="A13" s="1663" t="s">
        <v>529</v>
      </c>
      <c r="B13" s="1654" t="s">
        <v>530</v>
      </c>
      <c r="C13" s="1388"/>
      <c r="D13" s="1656" t="s">
        <v>531</v>
      </c>
      <c r="E13" s="1658">
        <f>BS!D13</f>
        <v>39396</v>
      </c>
      <c r="F13" s="1658"/>
      <c r="G13" s="1659"/>
      <c r="H13" s="1374"/>
      <c r="I13" s="1660">
        <f>E13-E14</f>
        <v>23628</v>
      </c>
      <c r="J13" s="1660"/>
      <c r="K13" s="1661"/>
      <c r="L13" s="1185"/>
      <c r="O13" s="1654" t="s">
        <v>530</v>
      </c>
    </row>
    <row r="14" spans="1:15" s="1181" customFormat="1" ht="27.95" customHeight="1">
      <c r="A14" s="1664"/>
      <c r="B14" s="1655"/>
      <c r="C14" s="1389"/>
      <c r="D14" s="1657"/>
      <c r="E14" s="1658">
        <f>BS!E13</f>
        <v>15768</v>
      </c>
      <c r="F14" s="1658"/>
      <c r="G14" s="1659"/>
      <c r="H14" s="1374"/>
      <c r="I14" s="1374"/>
      <c r="J14" s="1659">
        <f>BS!G13</f>
        <v>31512</v>
      </c>
      <c r="K14" s="1660"/>
      <c r="L14" s="1662"/>
      <c r="O14" s="1655"/>
    </row>
    <row r="15" spans="1:15" s="1181" customFormat="1" ht="27.95" customHeight="1">
      <c r="A15" s="1652" t="s">
        <v>532</v>
      </c>
      <c r="B15" s="1654" t="s">
        <v>533</v>
      </c>
      <c r="C15" s="1388"/>
      <c r="D15" s="1656" t="s">
        <v>534</v>
      </c>
      <c r="E15" s="1658">
        <f>BS!D14</f>
        <v>0</v>
      </c>
      <c r="F15" s="1658"/>
      <c r="G15" s="1659"/>
      <c r="H15" s="1374"/>
      <c r="I15" s="1660">
        <f>E15-E16</f>
        <v>0</v>
      </c>
      <c r="J15" s="1660"/>
      <c r="K15" s="1661"/>
      <c r="L15" s="1185"/>
      <c r="O15" s="1654" t="s">
        <v>533</v>
      </c>
    </row>
    <row r="16" spans="1:15" s="1181" customFormat="1" ht="27.95" customHeight="1">
      <c r="A16" s="1653"/>
      <c r="B16" s="1655"/>
      <c r="C16" s="1389"/>
      <c r="D16" s="1657"/>
      <c r="E16" s="1658">
        <f>BS!E14</f>
        <v>0</v>
      </c>
      <c r="F16" s="1658"/>
      <c r="G16" s="1659"/>
      <c r="H16" s="1374"/>
      <c r="I16" s="1374"/>
      <c r="J16" s="1659">
        <f>BS!G14</f>
        <v>0</v>
      </c>
      <c r="K16" s="1660"/>
      <c r="L16" s="1662"/>
      <c r="O16" s="1655"/>
    </row>
    <row r="17" spans="1:15" s="1181" customFormat="1" ht="27.95" customHeight="1">
      <c r="A17" s="1652" t="s">
        <v>535</v>
      </c>
      <c r="B17" s="1654" t="s">
        <v>536</v>
      </c>
      <c r="C17" s="1388"/>
      <c r="D17" s="1656" t="s">
        <v>537</v>
      </c>
      <c r="E17" s="1658">
        <f>BS!D15</f>
        <v>0</v>
      </c>
      <c r="F17" s="1658"/>
      <c r="G17" s="1659"/>
      <c r="H17" s="1374"/>
      <c r="I17" s="1660">
        <f>E17-E18</f>
        <v>0</v>
      </c>
      <c r="J17" s="1660"/>
      <c r="K17" s="1661"/>
      <c r="L17" s="1185"/>
      <c r="O17" s="1654" t="s">
        <v>536</v>
      </c>
    </row>
    <row r="18" spans="1:15" s="1181" customFormat="1" ht="27.95" customHeight="1">
      <c r="A18" s="1653"/>
      <c r="B18" s="1655"/>
      <c r="C18" s="1389"/>
      <c r="D18" s="1657"/>
      <c r="E18" s="1658">
        <f>BS!E15</f>
        <v>0</v>
      </c>
      <c r="F18" s="1658"/>
      <c r="G18" s="1659"/>
      <c r="H18" s="1374"/>
      <c r="I18" s="1374"/>
      <c r="J18" s="1659">
        <f>BS!G15</f>
        <v>0</v>
      </c>
      <c r="K18" s="1660"/>
      <c r="L18" s="1662"/>
      <c r="O18" s="1655"/>
    </row>
    <row r="19" spans="1:15" s="1181" customFormat="1" ht="27.95" customHeight="1">
      <c r="A19" s="1652" t="s">
        <v>538</v>
      </c>
      <c r="B19" s="1654" t="s">
        <v>539</v>
      </c>
      <c r="C19" s="1388"/>
      <c r="D19" s="1656" t="s">
        <v>540</v>
      </c>
      <c r="E19" s="1658">
        <f>BS!D16</f>
        <v>2211884</v>
      </c>
      <c r="F19" s="1658"/>
      <c r="G19" s="1659"/>
      <c r="H19" s="1374"/>
      <c r="I19" s="1660">
        <f>E19-E20</f>
        <v>1500724</v>
      </c>
      <c r="J19" s="1660"/>
      <c r="K19" s="1661"/>
      <c r="L19" s="1185"/>
      <c r="O19" s="1654" t="s">
        <v>539</v>
      </c>
    </row>
    <row r="20" spans="1:15" s="1181" customFormat="1" ht="27.95" customHeight="1">
      <c r="A20" s="1653"/>
      <c r="B20" s="1655"/>
      <c r="C20" s="1389"/>
      <c r="D20" s="1657"/>
      <c r="E20" s="1658">
        <f>BS!E16</f>
        <v>711160</v>
      </c>
      <c r="F20" s="1658"/>
      <c r="G20" s="1659"/>
      <c r="H20" s="1374"/>
      <c r="I20" s="1374"/>
      <c r="J20" s="1659">
        <f>BS!G16</f>
        <v>1816804</v>
      </c>
      <c r="K20" s="1660"/>
      <c r="L20" s="1662"/>
      <c r="O20" s="1655"/>
    </row>
    <row r="21" spans="1:15" s="1181" customFormat="1" ht="27.95" customHeight="1">
      <c r="A21" s="1652" t="s">
        <v>541</v>
      </c>
      <c r="B21" s="1654" t="s">
        <v>2254</v>
      </c>
      <c r="C21" s="1388"/>
      <c r="D21" s="1656" t="s">
        <v>543</v>
      </c>
      <c r="E21" s="1658">
        <f>BS!D17</f>
        <v>0</v>
      </c>
      <c r="F21" s="1658"/>
      <c r="G21" s="1659"/>
      <c r="H21" s="1374"/>
      <c r="I21" s="1660">
        <f>E21-E22</f>
        <v>0</v>
      </c>
      <c r="J21" s="1660"/>
      <c r="K21" s="1661"/>
      <c r="L21" s="1185"/>
      <c r="O21" s="1654" t="s">
        <v>2254</v>
      </c>
    </row>
    <row r="22" spans="1:15" s="1181" customFormat="1" ht="27.95" customHeight="1">
      <c r="A22" s="1653"/>
      <c r="B22" s="1655"/>
      <c r="C22" s="1389"/>
      <c r="D22" s="1657"/>
      <c r="E22" s="1658">
        <f>BS!E17</f>
        <v>0</v>
      </c>
      <c r="F22" s="1658"/>
      <c r="G22" s="1659"/>
      <c r="H22" s="1374"/>
      <c r="I22" s="1374"/>
      <c r="J22" s="1659">
        <f>BS!G17</f>
        <v>0</v>
      </c>
      <c r="K22" s="1660"/>
      <c r="L22" s="1662"/>
      <c r="O22" s="1655"/>
    </row>
    <row r="23" spans="1:15" s="1181" customFormat="1" ht="27.95" customHeight="1">
      <c r="A23" s="1652" t="s">
        <v>544</v>
      </c>
      <c r="B23" s="1654" t="s">
        <v>545</v>
      </c>
      <c r="C23" s="1388"/>
      <c r="D23" s="1656" t="s">
        <v>546</v>
      </c>
      <c r="E23" s="1658">
        <f>BS!D18</f>
        <v>0</v>
      </c>
      <c r="F23" s="1658"/>
      <c r="G23" s="1659"/>
      <c r="H23" s="1374"/>
      <c r="I23" s="1660">
        <f>E23-E24</f>
        <v>0</v>
      </c>
      <c r="J23" s="1660"/>
      <c r="K23" s="1661"/>
      <c r="L23" s="1185"/>
      <c r="O23" s="1654" t="s">
        <v>545</v>
      </c>
    </row>
    <row r="24" spans="1:15" s="1181" customFormat="1" ht="27.95" customHeight="1">
      <c r="A24" s="1653"/>
      <c r="B24" s="1655"/>
      <c r="C24" s="1389"/>
      <c r="D24" s="1657"/>
      <c r="E24" s="1658">
        <f>BS!E18</f>
        <v>0</v>
      </c>
      <c r="F24" s="1658"/>
      <c r="G24" s="1659"/>
      <c r="H24" s="1374"/>
      <c r="I24" s="1374"/>
      <c r="J24" s="1659">
        <f>BS!G18</f>
        <v>0</v>
      </c>
      <c r="K24" s="1660"/>
      <c r="L24" s="1662"/>
      <c r="O24" s="1655"/>
    </row>
    <row r="25" spans="1:15" s="1181" customFormat="1" ht="27.95" customHeight="1">
      <c r="A25" s="1652" t="s">
        <v>547</v>
      </c>
      <c r="B25" s="1654" t="s">
        <v>548</v>
      </c>
      <c r="C25" s="1388"/>
      <c r="D25" s="1656" t="s">
        <v>549</v>
      </c>
      <c r="E25" s="1658">
        <f>BS!D19</f>
        <v>0</v>
      </c>
      <c r="F25" s="1658"/>
      <c r="G25" s="1659"/>
      <c r="H25" s="1374"/>
      <c r="I25" s="1660">
        <f>E25-E26</f>
        <v>0</v>
      </c>
      <c r="J25" s="1660"/>
      <c r="K25" s="1661"/>
      <c r="L25" s="1185"/>
      <c r="O25" s="1654" t="s">
        <v>548</v>
      </c>
    </row>
    <row r="26" spans="1:15" s="1181" customFormat="1" ht="27.95" customHeight="1">
      <c r="A26" s="1653"/>
      <c r="B26" s="1655"/>
      <c r="C26" s="1389"/>
      <c r="D26" s="1657"/>
      <c r="E26" s="1658">
        <f>BS!E19</f>
        <v>0</v>
      </c>
      <c r="F26" s="1658"/>
      <c r="G26" s="1659"/>
      <c r="H26" s="1374"/>
      <c r="I26" s="1374"/>
      <c r="J26" s="1659">
        <f>BS!G19</f>
        <v>0</v>
      </c>
      <c r="K26" s="1660"/>
      <c r="L26" s="1662"/>
      <c r="O26" s="1655"/>
    </row>
    <row r="27" spans="1:15" s="1183" customFormat="1" ht="27.95" customHeight="1">
      <c r="A27" s="1665" t="s">
        <v>550</v>
      </c>
      <c r="B27" s="1667" t="s">
        <v>2682</v>
      </c>
      <c r="C27" s="1391"/>
      <c r="D27" s="1624" t="s">
        <v>552</v>
      </c>
      <c r="E27" s="1626">
        <f>BS!D20</f>
        <v>845201</v>
      </c>
      <c r="F27" s="1626"/>
      <c r="G27" s="1627"/>
      <c r="H27" s="1384"/>
      <c r="I27" s="1628">
        <f>E27-E28</f>
        <v>505856</v>
      </c>
      <c r="J27" s="1628"/>
      <c r="K27" s="1629"/>
      <c r="L27" s="1182"/>
      <c r="O27" s="1667" t="s">
        <v>551</v>
      </c>
    </row>
    <row r="28" spans="1:15" s="1183" customFormat="1" ht="27.95" customHeight="1">
      <c r="A28" s="1666"/>
      <c r="B28" s="1668"/>
      <c r="C28" s="1392"/>
      <c r="D28" s="1625"/>
      <c r="E28" s="1626">
        <f>BS!E20</f>
        <v>339345</v>
      </c>
      <c r="F28" s="1626"/>
      <c r="G28" s="1627"/>
      <c r="H28" s="1384"/>
      <c r="I28" s="1384"/>
      <c r="J28" s="1627">
        <f>BS!G20</f>
        <v>182159</v>
      </c>
      <c r="K28" s="1628"/>
      <c r="L28" s="1630"/>
      <c r="O28" s="1668"/>
    </row>
    <row r="29" spans="1:15" s="1181" customFormat="1" ht="27.95" customHeight="1">
      <c r="A29" s="1663" t="s">
        <v>553</v>
      </c>
      <c r="B29" s="1654" t="s">
        <v>554</v>
      </c>
      <c r="C29" s="1388"/>
      <c r="D29" s="1656" t="s">
        <v>555</v>
      </c>
      <c r="E29" s="1658">
        <f>BS!D21</f>
        <v>0</v>
      </c>
      <c r="F29" s="1658"/>
      <c r="G29" s="1659"/>
      <c r="H29" s="1374"/>
      <c r="I29" s="1660">
        <f>E29-E30</f>
        <v>0</v>
      </c>
      <c r="J29" s="1660"/>
      <c r="K29" s="1661"/>
      <c r="L29" s="1185"/>
      <c r="O29" s="1654" t="s">
        <v>554</v>
      </c>
    </row>
    <row r="30" spans="1:15" s="1181" customFormat="1" ht="27.95" customHeight="1">
      <c r="A30" s="1664"/>
      <c r="B30" s="1655"/>
      <c r="C30" s="1389"/>
      <c r="D30" s="1657"/>
      <c r="E30" s="1658">
        <f>BS!E21</f>
        <v>0</v>
      </c>
      <c r="F30" s="1658"/>
      <c r="G30" s="1659"/>
      <c r="H30" s="1374"/>
      <c r="I30" s="1374"/>
      <c r="J30" s="1659">
        <f>BS!G21</f>
        <v>0</v>
      </c>
      <c r="K30" s="1660"/>
      <c r="L30" s="1662"/>
      <c r="O30" s="1655"/>
    </row>
    <row r="31" spans="1:15" s="1181" customFormat="1" ht="27.95" customHeight="1">
      <c r="A31" s="1652" t="s">
        <v>532</v>
      </c>
      <c r="B31" s="1654" t="s">
        <v>556</v>
      </c>
      <c r="C31" s="1388"/>
      <c r="D31" s="1656" t="s">
        <v>557</v>
      </c>
      <c r="E31" s="1658">
        <f>BS!D22</f>
        <v>364187</v>
      </c>
      <c r="F31" s="1658"/>
      <c r="G31" s="1659"/>
      <c r="H31" s="1374"/>
      <c r="I31" s="1660">
        <f>E31-E32</f>
        <v>358240</v>
      </c>
      <c r="J31" s="1660"/>
      <c r="K31" s="1661"/>
      <c r="L31" s="1185"/>
      <c r="O31" s="1654" t="s">
        <v>556</v>
      </c>
    </row>
    <row r="32" spans="1:15" s="1181" customFormat="1" ht="27.95" customHeight="1">
      <c r="A32" s="1653"/>
      <c r="B32" s="1655"/>
      <c r="C32" s="1389"/>
      <c r="D32" s="1657"/>
      <c r="E32" s="1658">
        <f>BS!E22</f>
        <v>5947</v>
      </c>
      <c r="F32" s="1658"/>
      <c r="G32" s="1659"/>
      <c r="H32" s="1374"/>
      <c r="I32" s="1374"/>
      <c r="J32" s="1659">
        <f>BS!G22</f>
        <v>0</v>
      </c>
      <c r="K32" s="1660"/>
      <c r="L32" s="1662"/>
      <c r="O32" s="1655"/>
    </row>
    <row r="33" spans="1:15" ht="27.95" customHeight="1">
      <c r="A33" s="1653" t="s">
        <v>535</v>
      </c>
      <c r="B33" s="1654" t="s">
        <v>558</v>
      </c>
      <c r="C33" s="1388"/>
      <c r="D33" s="1656" t="s">
        <v>559</v>
      </c>
      <c r="E33" s="1658">
        <f>BS!D23</f>
        <v>481014</v>
      </c>
      <c r="F33" s="1658"/>
      <c r="G33" s="1659"/>
      <c r="H33" s="1374"/>
      <c r="I33" s="1660">
        <f>E33-E34</f>
        <v>147616</v>
      </c>
      <c r="J33" s="1660"/>
      <c r="K33" s="1661"/>
      <c r="L33" s="1185"/>
      <c r="O33" s="1654" t="s">
        <v>558</v>
      </c>
    </row>
    <row r="34" spans="1:15" ht="27.95" customHeight="1" thickBot="1">
      <c r="A34" s="1670"/>
      <c r="B34" s="1671"/>
      <c r="C34" s="1397"/>
      <c r="D34" s="1672"/>
      <c r="E34" s="1673">
        <f>BS!E23</f>
        <v>333398</v>
      </c>
      <c r="F34" s="1673"/>
      <c r="G34" s="1674"/>
      <c r="H34" s="1373"/>
      <c r="I34" s="1373"/>
      <c r="J34" s="1674">
        <f>BS!G23</f>
        <v>182159</v>
      </c>
      <c r="K34" s="1675"/>
      <c r="L34" s="1676"/>
      <c r="O34" s="1655"/>
    </row>
    <row r="35" spans="1:15" ht="11.25" customHeight="1">
      <c r="A35" s="1631" t="s">
        <v>1447</v>
      </c>
      <c r="B35" s="1633" t="s">
        <v>1448</v>
      </c>
      <c r="C35" s="2421"/>
      <c r="D35" s="2423" t="s">
        <v>1449</v>
      </c>
      <c r="E35" s="1638" t="s">
        <v>1450</v>
      </c>
      <c r="F35" s="1639"/>
      <c r="G35" s="1639"/>
      <c r="H35" s="1639"/>
      <c r="I35" s="1639"/>
      <c r="J35" s="1640"/>
      <c r="K35" s="1641" t="s">
        <v>1451</v>
      </c>
      <c r="L35" s="1642"/>
      <c r="O35" s="1633" t="s">
        <v>1448</v>
      </c>
    </row>
    <row r="36" spans="1:15" ht="11.25" customHeight="1">
      <c r="A36" s="1632"/>
      <c r="B36" s="1634"/>
      <c r="C36" s="2422"/>
      <c r="D36" s="2424"/>
      <c r="E36" s="1645">
        <v>1</v>
      </c>
      <c r="F36" s="1634" t="s">
        <v>1452</v>
      </c>
      <c r="G36" s="1620"/>
      <c r="H36" s="1408"/>
      <c r="I36" s="1691" t="s">
        <v>1453</v>
      </c>
      <c r="J36" s="1647"/>
      <c r="K36" s="1643"/>
      <c r="L36" s="1644"/>
      <c r="O36" s="1634"/>
    </row>
    <row r="37" spans="1:15" ht="12" customHeight="1" thickBot="1">
      <c r="A37" s="2434"/>
      <c r="B37" s="2435"/>
      <c r="C37" s="2436"/>
      <c r="D37" s="2437"/>
      <c r="E37" s="1736"/>
      <c r="F37" s="2435" t="s">
        <v>1454</v>
      </c>
      <c r="G37" s="1706"/>
      <c r="H37" s="1398"/>
      <c r="I37" s="2425"/>
      <c r="J37" s="2426"/>
      <c r="K37" s="1706" t="s">
        <v>1455</v>
      </c>
      <c r="L37" s="1707"/>
      <c r="O37" s="2435"/>
    </row>
    <row r="38" spans="1:15" ht="27.95" customHeight="1">
      <c r="A38" s="2427" t="s">
        <v>538</v>
      </c>
      <c r="B38" s="2428" t="s">
        <v>560</v>
      </c>
      <c r="C38" s="1411"/>
      <c r="D38" s="2429" t="s">
        <v>561</v>
      </c>
      <c r="E38" s="2430">
        <f>BS!D24</f>
        <v>0</v>
      </c>
      <c r="F38" s="2430"/>
      <c r="G38" s="2431"/>
      <c r="H38" s="1412"/>
      <c r="I38" s="2431">
        <f>E38-E39</f>
        <v>0</v>
      </c>
      <c r="J38" s="2432"/>
      <c r="K38" s="2433"/>
      <c r="L38" s="1413"/>
      <c r="O38" s="2428" t="s">
        <v>560</v>
      </c>
    </row>
    <row r="39" spans="1:15" ht="27.95" customHeight="1">
      <c r="A39" s="1669"/>
      <c r="B39" s="1655"/>
      <c r="C39" s="1389"/>
      <c r="D39" s="1657"/>
      <c r="E39" s="1661">
        <f>BS!E24</f>
        <v>0</v>
      </c>
      <c r="F39" s="1658"/>
      <c r="G39" s="1659"/>
      <c r="H39" s="1374"/>
      <c r="I39" s="1379"/>
      <c r="J39" s="1659">
        <f>BS!G24</f>
        <v>0</v>
      </c>
      <c r="K39" s="1660"/>
      <c r="L39" s="1662"/>
      <c r="O39" s="1655"/>
    </row>
    <row r="40" spans="1:15" ht="27.95" customHeight="1">
      <c r="A40" s="1653" t="s">
        <v>541</v>
      </c>
      <c r="B40" s="1654" t="s">
        <v>562</v>
      </c>
      <c r="C40" s="1388"/>
      <c r="D40" s="1656" t="s">
        <v>563</v>
      </c>
      <c r="E40" s="1661">
        <f>BS!D25</f>
        <v>0</v>
      </c>
      <c r="F40" s="1658"/>
      <c r="G40" s="1659"/>
      <c r="H40" s="1380"/>
      <c r="I40" s="1659">
        <f>E40-E41</f>
        <v>0</v>
      </c>
      <c r="J40" s="1660"/>
      <c r="K40" s="1661"/>
      <c r="L40" s="1185"/>
      <c r="O40" s="1654" t="s">
        <v>562</v>
      </c>
    </row>
    <row r="41" spans="1:15" ht="27.95" customHeight="1">
      <c r="A41" s="1669"/>
      <c r="B41" s="1655"/>
      <c r="C41" s="1389"/>
      <c r="D41" s="1657"/>
      <c r="E41" s="1661">
        <f>BS!E25</f>
        <v>0</v>
      </c>
      <c r="F41" s="1658"/>
      <c r="G41" s="1659"/>
      <c r="H41" s="1374"/>
      <c r="I41" s="1379"/>
      <c r="J41" s="1659">
        <f>BS!G25</f>
        <v>0</v>
      </c>
      <c r="K41" s="1660"/>
      <c r="L41" s="1662"/>
      <c r="O41" s="1655"/>
    </row>
    <row r="42" spans="1:15" ht="27.95" customHeight="1">
      <c r="A42" s="1653" t="s">
        <v>544</v>
      </c>
      <c r="B42" s="1654" t="s">
        <v>2641</v>
      </c>
      <c r="C42" s="1388"/>
      <c r="D42" s="1656" t="s">
        <v>565</v>
      </c>
      <c r="E42" s="1661">
        <f>BS!D26</f>
        <v>0</v>
      </c>
      <c r="F42" s="1658"/>
      <c r="G42" s="1659"/>
      <c r="H42" s="1380"/>
      <c r="I42" s="1659">
        <f>E42-E43</f>
        <v>0</v>
      </c>
      <c r="J42" s="1660"/>
      <c r="K42" s="1661"/>
      <c r="L42" s="1185"/>
      <c r="O42" s="1654" t="s">
        <v>2256</v>
      </c>
    </row>
    <row r="43" spans="1:15" ht="27.95" customHeight="1">
      <c r="A43" s="1669"/>
      <c r="B43" s="1655"/>
      <c r="C43" s="1389"/>
      <c r="D43" s="1657"/>
      <c r="E43" s="1661">
        <f>BS!E26</f>
        <v>0</v>
      </c>
      <c r="F43" s="1658"/>
      <c r="G43" s="1659"/>
      <c r="H43" s="1374"/>
      <c r="I43" s="1379"/>
      <c r="J43" s="1659">
        <f>BS!G26</f>
        <v>0</v>
      </c>
      <c r="K43" s="1660"/>
      <c r="L43" s="1662"/>
      <c r="O43" s="1655"/>
    </row>
    <row r="44" spans="1:15" ht="27.95" customHeight="1">
      <c r="A44" s="1653" t="s">
        <v>547</v>
      </c>
      <c r="B44" s="1654" t="s">
        <v>566</v>
      </c>
      <c r="C44" s="1388"/>
      <c r="D44" s="1656" t="s">
        <v>567</v>
      </c>
      <c r="E44" s="1661">
        <f>BS!D27</f>
        <v>0</v>
      </c>
      <c r="F44" s="1658"/>
      <c r="G44" s="1659"/>
      <c r="H44" s="1380"/>
      <c r="I44" s="1659">
        <f>E44-E45</f>
        <v>0</v>
      </c>
      <c r="J44" s="1660"/>
      <c r="K44" s="1661"/>
      <c r="L44" s="1185"/>
      <c r="O44" s="1654" t="s">
        <v>566</v>
      </c>
    </row>
    <row r="45" spans="1:15" ht="27.95" customHeight="1">
      <c r="A45" s="1669"/>
      <c r="B45" s="1655"/>
      <c r="C45" s="1389"/>
      <c r="D45" s="1657"/>
      <c r="E45" s="1661">
        <f>BS!E27</f>
        <v>0</v>
      </c>
      <c r="F45" s="1658"/>
      <c r="G45" s="1659"/>
      <c r="H45" s="1374"/>
      <c r="I45" s="1379"/>
      <c r="J45" s="1659">
        <f>BS!G27</f>
        <v>0</v>
      </c>
      <c r="K45" s="1660"/>
      <c r="L45" s="1662"/>
      <c r="O45" s="1655"/>
    </row>
    <row r="46" spans="1:15" ht="27.95" customHeight="1">
      <c r="A46" s="1653" t="s">
        <v>568</v>
      </c>
      <c r="B46" s="1654" t="s">
        <v>569</v>
      </c>
      <c r="C46" s="1388"/>
      <c r="D46" s="1656" t="s">
        <v>570</v>
      </c>
      <c r="E46" s="1661">
        <f>BS!D28</f>
        <v>0</v>
      </c>
      <c r="F46" s="1658"/>
      <c r="G46" s="1659"/>
      <c r="H46" s="1380"/>
      <c r="I46" s="1659">
        <f>E46-E47</f>
        <v>0</v>
      </c>
      <c r="J46" s="1660"/>
      <c r="K46" s="1661"/>
      <c r="L46" s="1185"/>
      <c r="O46" s="1654" t="s">
        <v>569</v>
      </c>
    </row>
    <row r="47" spans="1:15" ht="27.95" customHeight="1">
      <c r="A47" s="1669"/>
      <c r="B47" s="1655"/>
      <c r="C47" s="1389"/>
      <c r="D47" s="1657"/>
      <c r="E47" s="1661">
        <f>BS!E28</f>
        <v>0</v>
      </c>
      <c r="F47" s="1658"/>
      <c r="G47" s="1659"/>
      <c r="H47" s="1374"/>
      <c r="I47" s="1379"/>
      <c r="J47" s="1659">
        <f>BS!G28</f>
        <v>0</v>
      </c>
      <c r="K47" s="1660"/>
      <c r="L47" s="1662"/>
      <c r="O47" s="1655"/>
    </row>
    <row r="48" spans="1:15" ht="27.95" customHeight="1">
      <c r="A48" s="1653" t="s">
        <v>571</v>
      </c>
      <c r="B48" s="1654" t="s">
        <v>572</v>
      </c>
      <c r="C48" s="1388"/>
      <c r="D48" s="1656" t="s">
        <v>573</v>
      </c>
      <c r="E48" s="1661">
        <f>BS!D29</f>
        <v>0</v>
      </c>
      <c r="F48" s="1658"/>
      <c r="G48" s="1659"/>
      <c r="H48" s="1380"/>
      <c r="I48" s="1659">
        <f>E48-E49</f>
        <v>0</v>
      </c>
      <c r="J48" s="1660"/>
      <c r="K48" s="1661"/>
      <c r="L48" s="1185"/>
      <c r="O48" s="1654" t="s">
        <v>572</v>
      </c>
    </row>
    <row r="49" spans="1:15" ht="27.95" customHeight="1">
      <c r="A49" s="1669"/>
      <c r="B49" s="1655"/>
      <c r="C49" s="1389"/>
      <c r="D49" s="1657"/>
      <c r="E49" s="1661">
        <f>BS!E29</f>
        <v>0</v>
      </c>
      <c r="F49" s="1658"/>
      <c r="G49" s="1659"/>
      <c r="H49" s="1374"/>
      <c r="I49" s="1379"/>
      <c r="J49" s="1659">
        <f>BS!G29</f>
        <v>0</v>
      </c>
      <c r="K49" s="1660"/>
      <c r="L49" s="1662"/>
      <c r="O49" s="1655"/>
    </row>
    <row r="50" spans="1:15" ht="27.95" customHeight="1">
      <c r="A50" s="1680" t="s">
        <v>574</v>
      </c>
      <c r="B50" s="1650" t="s">
        <v>2683</v>
      </c>
      <c r="C50" s="1221"/>
      <c r="D50" s="1624" t="s">
        <v>576</v>
      </c>
      <c r="E50" s="1626">
        <f>BS!D30</f>
        <v>0</v>
      </c>
      <c r="F50" s="1626"/>
      <c r="G50" s="1627"/>
      <c r="H50" s="1383"/>
      <c r="I50" s="1627">
        <f>E50-E51</f>
        <v>0</v>
      </c>
      <c r="J50" s="1628"/>
      <c r="K50" s="1629"/>
      <c r="L50" s="1182"/>
      <c r="O50" s="1650" t="s">
        <v>2257</v>
      </c>
    </row>
    <row r="51" spans="1:15" ht="27.95" customHeight="1">
      <c r="A51" s="1681"/>
      <c r="B51" s="1651"/>
      <c r="C51" s="1215"/>
      <c r="D51" s="1625"/>
      <c r="E51" s="1626">
        <f>BS!E30</f>
        <v>0</v>
      </c>
      <c r="F51" s="1626"/>
      <c r="G51" s="1627"/>
      <c r="H51" s="1384"/>
      <c r="I51" s="1382"/>
      <c r="J51" s="1627">
        <f>BS!G30</f>
        <v>0</v>
      </c>
      <c r="K51" s="1628"/>
      <c r="L51" s="1630"/>
      <c r="O51" s="1651"/>
    </row>
    <row r="52" spans="1:15" s="1187" customFormat="1" ht="27.95" customHeight="1">
      <c r="A52" s="1653" t="s">
        <v>577</v>
      </c>
      <c r="B52" s="1654" t="s">
        <v>2657</v>
      </c>
      <c r="C52" s="1388"/>
      <c r="D52" s="1656" t="s">
        <v>579</v>
      </c>
      <c r="E52" s="1658">
        <f>BS!D31</f>
        <v>0</v>
      </c>
      <c r="F52" s="1658"/>
      <c r="G52" s="1659"/>
      <c r="H52" s="1380"/>
      <c r="I52" s="1659">
        <f>E52-E53</f>
        <v>0</v>
      </c>
      <c r="J52" s="1660"/>
      <c r="K52" s="1661"/>
      <c r="L52" s="1185"/>
      <c r="O52" s="1654" t="s">
        <v>2657</v>
      </c>
    </row>
    <row r="53" spans="1:15" s="1187" customFormat="1" ht="27.95" customHeight="1">
      <c r="A53" s="1669"/>
      <c r="B53" s="1655"/>
      <c r="C53" s="1389"/>
      <c r="D53" s="1657"/>
      <c r="E53" s="1658">
        <f>BS!E31</f>
        <v>0</v>
      </c>
      <c r="F53" s="1658"/>
      <c r="G53" s="1659"/>
      <c r="H53" s="1374"/>
      <c r="I53" s="1379"/>
      <c r="J53" s="1659">
        <f>BS!G31</f>
        <v>0</v>
      </c>
      <c r="K53" s="1660"/>
      <c r="L53" s="1662"/>
      <c r="O53" s="1655"/>
    </row>
    <row r="54" spans="1:15" ht="27.95" customHeight="1">
      <c r="A54" s="1653" t="s">
        <v>532</v>
      </c>
      <c r="B54" s="1654" t="s">
        <v>2658</v>
      </c>
      <c r="C54" s="1388"/>
      <c r="D54" s="1656" t="s">
        <v>581</v>
      </c>
      <c r="E54" s="1658">
        <f>BS!D32</f>
        <v>0</v>
      </c>
      <c r="F54" s="1658"/>
      <c r="G54" s="1659"/>
      <c r="H54" s="1380"/>
      <c r="I54" s="1659">
        <f>E54-E55</f>
        <v>0</v>
      </c>
      <c r="J54" s="1660"/>
      <c r="K54" s="1661"/>
      <c r="L54" s="1185"/>
      <c r="O54" s="1654" t="s">
        <v>2658</v>
      </c>
    </row>
    <row r="55" spans="1:15" ht="27.95" customHeight="1">
      <c r="A55" s="1669"/>
      <c r="B55" s="1655"/>
      <c r="C55" s="1389"/>
      <c r="D55" s="1657"/>
      <c r="E55" s="1658">
        <f>BS!E32</f>
        <v>0</v>
      </c>
      <c r="F55" s="1658"/>
      <c r="G55" s="1659"/>
      <c r="H55" s="1374"/>
      <c r="I55" s="1379"/>
      <c r="J55" s="1659">
        <f>BS!G32</f>
        <v>0</v>
      </c>
      <c r="K55" s="1660"/>
      <c r="L55" s="1662"/>
      <c r="O55" s="1655"/>
    </row>
    <row r="56" spans="1:15" ht="27.95" customHeight="1">
      <c r="A56" s="1653" t="s">
        <v>535</v>
      </c>
      <c r="B56" s="1654" t="s">
        <v>2260</v>
      </c>
      <c r="C56" s="1388"/>
      <c r="D56" s="1656" t="s">
        <v>583</v>
      </c>
      <c r="E56" s="1658">
        <f>BS!D33</f>
        <v>0</v>
      </c>
      <c r="F56" s="1658"/>
      <c r="G56" s="1659"/>
      <c r="H56" s="1380"/>
      <c r="I56" s="1659">
        <f>E56-E57</f>
        <v>0</v>
      </c>
      <c r="J56" s="1660"/>
      <c r="K56" s="1661"/>
      <c r="L56" s="1185"/>
      <c r="O56" s="1654" t="s">
        <v>2260</v>
      </c>
    </row>
    <row r="57" spans="1:15" ht="27.95" customHeight="1">
      <c r="A57" s="1669"/>
      <c r="B57" s="1655"/>
      <c r="C57" s="1389"/>
      <c r="D57" s="1657"/>
      <c r="E57" s="1658">
        <f>BS!E33</f>
        <v>0</v>
      </c>
      <c r="F57" s="1658"/>
      <c r="G57" s="1659"/>
      <c r="H57" s="1374"/>
      <c r="I57" s="1379"/>
      <c r="J57" s="1659">
        <f>BS!G33</f>
        <v>0</v>
      </c>
      <c r="K57" s="1660"/>
      <c r="L57" s="1662"/>
      <c r="O57" s="1655"/>
    </row>
    <row r="58" spans="1:15" ht="27.95" customHeight="1">
      <c r="A58" s="1653" t="s">
        <v>538</v>
      </c>
      <c r="B58" s="1654" t="s">
        <v>2659</v>
      </c>
      <c r="C58" s="1388"/>
      <c r="D58" s="1656" t="s">
        <v>585</v>
      </c>
      <c r="E58" s="1658">
        <f>BS!D34</f>
        <v>0</v>
      </c>
      <c r="F58" s="1658"/>
      <c r="G58" s="1659"/>
      <c r="H58" s="1380"/>
      <c r="I58" s="1659">
        <f>E58-E59</f>
        <v>0</v>
      </c>
      <c r="J58" s="1660"/>
      <c r="K58" s="1661"/>
      <c r="L58" s="1185"/>
      <c r="O58" s="1654" t="s">
        <v>2659</v>
      </c>
    </row>
    <row r="59" spans="1:15" ht="27.95" customHeight="1">
      <c r="A59" s="1669"/>
      <c r="B59" s="1655"/>
      <c r="C59" s="1389"/>
      <c r="D59" s="1657"/>
      <c r="E59" s="1658">
        <f>BS!E34</f>
        <v>0</v>
      </c>
      <c r="F59" s="1658"/>
      <c r="G59" s="1659"/>
      <c r="H59" s="1374"/>
      <c r="I59" s="1379"/>
      <c r="J59" s="1659">
        <f>BS!G34</f>
        <v>0</v>
      </c>
      <c r="K59" s="1660"/>
      <c r="L59" s="1662"/>
      <c r="O59" s="1655"/>
    </row>
    <row r="60" spans="1:15" ht="27.95" customHeight="1">
      <c r="A60" s="1653" t="s">
        <v>541</v>
      </c>
      <c r="B60" s="1654" t="s">
        <v>2660</v>
      </c>
      <c r="C60" s="1388"/>
      <c r="D60" s="1656" t="s">
        <v>587</v>
      </c>
      <c r="E60" s="1658">
        <f>BS!D35</f>
        <v>0</v>
      </c>
      <c r="F60" s="1658"/>
      <c r="G60" s="1659"/>
      <c r="H60" s="1380"/>
      <c r="I60" s="1659">
        <f>E60-E61</f>
        <v>0</v>
      </c>
      <c r="J60" s="1660"/>
      <c r="K60" s="1661"/>
      <c r="L60" s="1185"/>
      <c r="O60" s="1654" t="s">
        <v>2660</v>
      </c>
    </row>
    <row r="61" spans="1:15" ht="27.95" customHeight="1">
      <c r="A61" s="1669"/>
      <c r="B61" s="1655"/>
      <c r="C61" s="1389"/>
      <c r="D61" s="1657"/>
      <c r="E61" s="1658">
        <f>BS!E35</f>
        <v>0</v>
      </c>
      <c r="F61" s="1658"/>
      <c r="G61" s="1659"/>
      <c r="H61" s="1374"/>
      <c r="I61" s="1379"/>
      <c r="J61" s="1659">
        <f>BS!G35</f>
        <v>0</v>
      </c>
      <c r="K61" s="1660"/>
      <c r="L61" s="1662"/>
      <c r="O61" s="1655"/>
    </row>
    <row r="62" spans="1:15" ht="27.95" customHeight="1">
      <c r="A62" s="1653" t="s">
        <v>544</v>
      </c>
      <c r="B62" s="1654" t="s">
        <v>2262</v>
      </c>
      <c r="C62" s="1388"/>
      <c r="D62" s="1656" t="s">
        <v>589</v>
      </c>
      <c r="E62" s="1658">
        <f>BS!D36</f>
        <v>0</v>
      </c>
      <c r="F62" s="1658"/>
      <c r="G62" s="1659"/>
      <c r="H62" s="1380"/>
      <c r="I62" s="1659">
        <f>E62-E63</f>
        <v>0</v>
      </c>
      <c r="J62" s="1660"/>
      <c r="K62" s="1661"/>
      <c r="L62" s="1185"/>
      <c r="O62" s="1654" t="s">
        <v>2262</v>
      </c>
    </row>
    <row r="63" spans="1:15" ht="27.95" customHeight="1">
      <c r="A63" s="1669"/>
      <c r="B63" s="1655"/>
      <c r="C63" s="1389"/>
      <c r="D63" s="1657"/>
      <c r="E63" s="1658">
        <f>BS!E36</f>
        <v>0</v>
      </c>
      <c r="F63" s="1658"/>
      <c r="G63" s="1659"/>
      <c r="H63" s="1374"/>
      <c r="I63" s="1379"/>
      <c r="J63" s="1659">
        <f>BS!G36</f>
        <v>0</v>
      </c>
      <c r="K63" s="1660"/>
      <c r="L63" s="1662"/>
      <c r="O63" s="1655"/>
    </row>
    <row r="64" spans="1:15" ht="27.95" customHeight="1">
      <c r="A64" s="1669" t="s">
        <v>547</v>
      </c>
      <c r="B64" s="1654" t="s">
        <v>2263</v>
      </c>
      <c r="C64" s="1388"/>
      <c r="D64" s="1656" t="s">
        <v>591</v>
      </c>
      <c r="E64" s="1658">
        <f>BS!D37</f>
        <v>0</v>
      </c>
      <c r="F64" s="1658"/>
      <c r="G64" s="1659"/>
      <c r="H64" s="1380"/>
      <c r="I64" s="1659">
        <f>E64-E65</f>
        <v>0</v>
      </c>
      <c r="J64" s="1660"/>
      <c r="K64" s="1661"/>
      <c r="L64" s="1185"/>
      <c r="O64" s="1654" t="s">
        <v>2263</v>
      </c>
    </row>
    <row r="65" spans="1:15" ht="27.95" customHeight="1" thickBot="1">
      <c r="A65" s="1670"/>
      <c r="B65" s="1671"/>
      <c r="C65" s="1397"/>
      <c r="D65" s="1672"/>
      <c r="E65" s="1673">
        <f>BS!E37</f>
        <v>0</v>
      </c>
      <c r="F65" s="1673"/>
      <c r="G65" s="1674"/>
      <c r="H65" s="1373"/>
      <c r="I65" s="1381"/>
      <c r="J65" s="1674">
        <f>BS!G37</f>
        <v>0</v>
      </c>
      <c r="K65" s="1675"/>
      <c r="L65" s="1676"/>
      <c r="O65" s="1671"/>
    </row>
    <row r="66" spans="1:15" ht="11.25" customHeight="1">
      <c r="A66" s="1631" t="s">
        <v>1447</v>
      </c>
      <c r="B66" s="1633" t="s">
        <v>1448</v>
      </c>
      <c r="C66" s="2421"/>
      <c r="D66" s="2423" t="s">
        <v>1449</v>
      </c>
      <c r="E66" s="1638" t="s">
        <v>1450</v>
      </c>
      <c r="F66" s="1639"/>
      <c r="G66" s="1639"/>
      <c r="H66" s="1639"/>
      <c r="I66" s="1639"/>
      <c r="J66" s="1640"/>
      <c r="K66" s="1641" t="s">
        <v>1451</v>
      </c>
      <c r="L66" s="1642"/>
      <c r="O66" s="1633" t="s">
        <v>1448</v>
      </c>
    </row>
    <row r="67" spans="1:15" ht="11.25" customHeight="1">
      <c r="A67" s="1632"/>
      <c r="B67" s="1634"/>
      <c r="C67" s="2422"/>
      <c r="D67" s="2424"/>
      <c r="E67" s="1645">
        <v>1</v>
      </c>
      <c r="F67" s="1634" t="s">
        <v>1452</v>
      </c>
      <c r="G67" s="1620"/>
      <c r="H67" s="1408"/>
      <c r="I67" s="1691" t="s">
        <v>1453</v>
      </c>
      <c r="J67" s="1647"/>
      <c r="K67" s="1643"/>
      <c r="L67" s="1644"/>
      <c r="O67" s="1634"/>
    </row>
    <row r="68" spans="1:15" ht="12" customHeight="1">
      <c r="A68" s="1632"/>
      <c r="B68" s="1634"/>
      <c r="C68" s="2422"/>
      <c r="D68" s="2424"/>
      <c r="E68" s="1645"/>
      <c r="F68" s="1634" t="s">
        <v>1454</v>
      </c>
      <c r="G68" s="1620"/>
      <c r="H68" s="1408"/>
      <c r="I68" s="1646"/>
      <c r="J68" s="1647"/>
      <c r="K68" s="1620" t="s">
        <v>1455</v>
      </c>
      <c r="L68" s="1621"/>
      <c r="O68" s="1634"/>
    </row>
    <row r="69" spans="1:15" ht="27.95" customHeight="1">
      <c r="A69" s="1669" t="s">
        <v>568</v>
      </c>
      <c r="B69" s="1654" t="s">
        <v>2684</v>
      </c>
      <c r="C69" s="1388"/>
      <c r="D69" s="1656" t="s">
        <v>593</v>
      </c>
      <c r="E69" s="1658">
        <f>BS!D38</f>
        <v>0</v>
      </c>
      <c r="F69" s="1658"/>
      <c r="G69" s="1659"/>
      <c r="H69" s="1380"/>
      <c r="I69" s="1659">
        <f>E69-E70</f>
        <v>0</v>
      </c>
      <c r="J69" s="1660"/>
      <c r="K69" s="1661"/>
      <c r="L69" s="1185"/>
      <c r="O69" s="1654" t="s">
        <v>2264</v>
      </c>
    </row>
    <row r="70" spans="1:15" ht="27.95" customHeight="1">
      <c r="A70" s="1669"/>
      <c r="B70" s="1655"/>
      <c r="C70" s="1389"/>
      <c r="D70" s="1657"/>
      <c r="E70" s="1658">
        <f>BS!E38</f>
        <v>0</v>
      </c>
      <c r="F70" s="1658"/>
      <c r="G70" s="1659"/>
      <c r="H70" s="1374"/>
      <c r="I70" s="1379"/>
      <c r="J70" s="1659">
        <f>BS!G38</f>
        <v>0</v>
      </c>
      <c r="K70" s="1660"/>
      <c r="L70" s="1662"/>
      <c r="O70" s="1655"/>
    </row>
    <row r="71" spans="1:15" ht="27.95" customHeight="1">
      <c r="A71" s="1669" t="s">
        <v>571</v>
      </c>
      <c r="B71" s="1682" t="s">
        <v>657</v>
      </c>
      <c r="C71" s="1245"/>
      <c r="D71" s="1656" t="s">
        <v>596</v>
      </c>
      <c r="E71" s="1658">
        <f>BS!D39</f>
        <v>0</v>
      </c>
      <c r="F71" s="1658"/>
      <c r="G71" s="1659"/>
      <c r="H71" s="1380"/>
      <c r="I71" s="1659">
        <f>E71-E72</f>
        <v>0</v>
      </c>
      <c r="J71" s="1660"/>
      <c r="K71" s="1661"/>
      <c r="L71" s="1185"/>
      <c r="O71" s="1682" t="s">
        <v>657</v>
      </c>
    </row>
    <row r="72" spans="1:15" ht="27.95" customHeight="1">
      <c r="A72" s="1669"/>
      <c r="B72" s="1683"/>
      <c r="C72" s="1246"/>
      <c r="D72" s="1657"/>
      <c r="E72" s="1658">
        <f>BS!E39</f>
        <v>0</v>
      </c>
      <c r="F72" s="1658"/>
      <c r="G72" s="1659"/>
      <c r="H72" s="1374"/>
      <c r="I72" s="1379"/>
      <c r="J72" s="1659">
        <f>BS!G39</f>
        <v>0</v>
      </c>
      <c r="K72" s="1660"/>
      <c r="L72" s="1662"/>
      <c r="O72" s="1683"/>
    </row>
    <row r="73" spans="1:15" s="1187" customFormat="1" ht="27.95" customHeight="1">
      <c r="A73" s="1669" t="s">
        <v>758</v>
      </c>
      <c r="B73" s="1682" t="s">
        <v>590</v>
      </c>
      <c r="C73" s="1245"/>
      <c r="D73" s="1656" t="s">
        <v>599</v>
      </c>
      <c r="E73" s="1658">
        <f>BS!D40</f>
        <v>0</v>
      </c>
      <c r="F73" s="1658"/>
      <c r="G73" s="1659"/>
      <c r="H73" s="1380"/>
      <c r="I73" s="1659">
        <f>E73-E74</f>
        <v>0</v>
      </c>
      <c r="J73" s="1660"/>
      <c r="K73" s="1661"/>
      <c r="L73" s="1185"/>
      <c r="O73" s="1682" t="s">
        <v>590</v>
      </c>
    </row>
    <row r="74" spans="1:15" s="1187" customFormat="1" ht="27.95" customHeight="1">
      <c r="A74" s="1669"/>
      <c r="B74" s="1683"/>
      <c r="C74" s="1246"/>
      <c r="D74" s="1657"/>
      <c r="E74" s="1658">
        <f>BS!E40</f>
        <v>0</v>
      </c>
      <c r="F74" s="1658"/>
      <c r="G74" s="1659"/>
      <c r="H74" s="1374"/>
      <c r="I74" s="1379"/>
      <c r="J74" s="1659">
        <f>BS!G40</f>
        <v>0</v>
      </c>
      <c r="K74" s="1660"/>
      <c r="L74" s="1662"/>
      <c r="O74" s="1683"/>
    </row>
    <row r="75" spans="1:15" s="1187" customFormat="1" ht="27.95" customHeight="1">
      <c r="A75" s="1669" t="s">
        <v>761</v>
      </c>
      <c r="B75" s="1654" t="s">
        <v>592</v>
      </c>
      <c r="C75" s="1388"/>
      <c r="D75" s="1656" t="s">
        <v>602</v>
      </c>
      <c r="E75" s="1658">
        <f>BS!D41</f>
        <v>0</v>
      </c>
      <c r="F75" s="1658"/>
      <c r="G75" s="1659"/>
      <c r="H75" s="1380"/>
      <c r="I75" s="1659">
        <f>E75-E76</f>
        <v>0</v>
      </c>
      <c r="J75" s="1660"/>
      <c r="K75" s="1661"/>
      <c r="L75" s="1185"/>
      <c r="O75" s="1654" t="s">
        <v>592</v>
      </c>
    </row>
    <row r="76" spans="1:15" s="1187" customFormat="1" ht="27.95" customHeight="1">
      <c r="A76" s="1669"/>
      <c r="B76" s="1655"/>
      <c r="C76" s="1389"/>
      <c r="D76" s="1657"/>
      <c r="E76" s="1658">
        <f>BS!E41</f>
        <v>0</v>
      </c>
      <c r="F76" s="1658"/>
      <c r="G76" s="1659"/>
      <c r="H76" s="1374"/>
      <c r="I76" s="1379"/>
      <c r="J76" s="1659">
        <f>BS!G41</f>
        <v>0</v>
      </c>
      <c r="K76" s="1660"/>
      <c r="L76" s="1662"/>
      <c r="O76" s="1655"/>
    </row>
    <row r="77" spans="1:15" ht="27.95" customHeight="1">
      <c r="A77" s="1681" t="s">
        <v>594</v>
      </c>
      <c r="B77" s="1667" t="s">
        <v>2685</v>
      </c>
      <c r="C77" s="1391"/>
      <c r="D77" s="1624" t="s">
        <v>604</v>
      </c>
      <c r="E77" s="1626">
        <f>BS!D42</f>
        <v>2785556</v>
      </c>
      <c r="F77" s="1626"/>
      <c r="G77" s="1627"/>
      <c r="H77" s="1383"/>
      <c r="I77" s="1627">
        <f>E77-E78</f>
        <v>2769602</v>
      </c>
      <c r="J77" s="1628"/>
      <c r="K77" s="1629"/>
      <c r="L77" s="1182"/>
      <c r="O77" s="1667" t="s">
        <v>2265</v>
      </c>
    </row>
    <row r="78" spans="1:15" ht="27.95" customHeight="1">
      <c r="A78" s="1681"/>
      <c r="B78" s="1668"/>
      <c r="C78" s="1392"/>
      <c r="D78" s="1625"/>
      <c r="E78" s="1626">
        <f>BS!E42</f>
        <v>15954</v>
      </c>
      <c r="F78" s="1626"/>
      <c r="G78" s="1627"/>
      <c r="H78" s="1384"/>
      <c r="I78" s="1382"/>
      <c r="J78" s="1627">
        <f>BS!G42</f>
        <v>2597227</v>
      </c>
      <c r="K78" s="1628"/>
      <c r="L78" s="1630"/>
      <c r="O78" s="1668"/>
    </row>
    <row r="79" spans="1:15" ht="27.95" customHeight="1">
      <c r="A79" s="1681" t="s">
        <v>597</v>
      </c>
      <c r="B79" s="1667" t="s">
        <v>2686</v>
      </c>
      <c r="C79" s="1391"/>
      <c r="D79" s="1624" t="s">
        <v>606</v>
      </c>
      <c r="E79" s="1626">
        <f>BS!D43</f>
        <v>1035190</v>
      </c>
      <c r="F79" s="1626"/>
      <c r="G79" s="1627"/>
      <c r="H79" s="1383"/>
      <c r="I79" s="1627">
        <f>E79-E80</f>
        <v>1028966</v>
      </c>
      <c r="J79" s="1628"/>
      <c r="K79" s="1629"/>
      <c r="L79" s="1182"/>
      <c r="O79" s="1667" t="s">
        <v>2266</v>
      </c>
    </row>
    <row r="80" spans="1:15" ht="27.95" customHeight="1">
      <c r="A80" s="1681"/>
      <c r="B80" s="1668"/>
      <c r="C80" s="1392"/>
      <c r="D80" s="1625"/>
      <c r="E80" s="1626">
        <f>BS!E43</f>
        <v>6224</v>
      </c>
      <c r="F80" s="1626"/>
      <c r="G80" s="1627"/>
      <c r="H80" s="1384"/>
      <c r="I80" s="1382"/>
      <c r="J80" s="1627">
        <f>BS!G43</f>
        <v>756698</v>
      </c>
      <c r="K80" s="1628"/>
      <c r="L80" s="1630"/>
      <c r="O80" s="1668"/>
    </row>
    <row r="81" spans="1:15" ht="27.95" customHeight="1">
      <c r="A81" s="1669" t="s">
        <v>600</v>
      </c>
      <c r="B81" s="1654" t="s">
        <v>601</v>
      </c>
      <c r="C81" s="1388"/>
      <c r="D81" s="1656" t="s">
        <v>608</v>
      </c>
      <c r="E81" s="1658">
        <f>BS!D44</f>
        <v>493711</v>
      </c>
      <c r="F81" s="1658"/>
      <c r="G81" s="1659"/>
      <c r="H81" s="1380"/>
      <c r="I81" s="1659">
        <f>E81-E82</f>
        <v>487487</v>
      </c>
      <c r="J81" s="1660"/>
      <c r="K81" s="1661"/>
      <c r="L81" s="1185"/>
      <c r="O81" s="1654" t="s">
        <v>601</v>
      </c>
    </row>
    <row r="82" spans="1:15" ht="27.95" customHeight="1">
      <c r="A82" s="1669"/>
      <c r="B82" s="1655"/>
      <c r="C82" s="1389"/>
      <c r="D82" s="1657"/>
      <c r="E82" s="1658">
        <f>BS!E44</f>
        <v>6224</v>
      </c>
      <c r="F82" s="1658"/>
      <c r="G82" s="1659"/>
      <c r="H82" s="1374"/>
      <c r="I82" s="1379"/>
      <c r="J82" s="1659">
        <f>BS!G44</f>
        <v>286180</v>
      </c>
      <c r="K82" s="1660"/>
      <c r="L82" s="1662"/>
      <c r="O82" s="1655"/>
    </row>
    <row r="83" spans="1:15" ht="27.95" customHeight="1">
      <c r="A83" s="1669" t="s">
        <v>532</v>
      </c>
      <c r="B83" s="1654" t="s">
        <v>603</v>
      </c>
      <c r="C83" s="1388"/>
      <c r="D83" s="1656" t="s">
        <v>610</v>
      </c>
      <c r="E83" s="1658">
        <f>BS!D45</f>
        <v>3950</v>
      </c>
      <c r="F83" s="1658"/>
      <c r="G83" s="1659"/>
      <c r="H83" s="1380"/>
      <c r="I83" s="1659">
        <f>E83-E84</f>
        <v>3950</v>
      </c>
      <c r="J83" s="1660"/>
      <c r="K83" s="1661"/>
      <c r="L83" s="1185"/>
      <c r="O83" s="1654" t="s">
        <v>603</v>
      </c>
    </row>
    <row r="84" spans="1:15" ht="27.95" customHeight="1">
      <c r="A84" s="1669"/>
      <c r="B84" s="1655"/>
      <c r="C84" s="1389"/>
      <c r="D84" s="1657"/>
      <c r="E84" s="1658">
        <f>BS!E45</f>
        <v>0</v>
      </c>
      <c r="F84" s="1658"/>
      <c r="G84" s="1659"/>
      <c r="H84" s="1374"/>
      <c r="I84" s="1379"/>
      <c r="J84" s="1659">
        <f>BS!G45</f>
        <v>3887</v>
      </c>
      <c r="K84" s="1660"/>
      <c r="L84" s="1662"/>
      <c r="O84" s="1655"/>
    </row>
    <row r="85" spans="1:15" ht="27.95" customHeight="1">
      <c r="A85" s="1669" t="s">
        <v>535</v>
      </c>
      <c r="B85" s="1654" t="s">
        <v>605</v>
      </c>
      <c r="C85" s="1388"/>
      <c r="D85" s="1656" t="s">
        <v>612</v>
      </c>
      <c r="E85" s="1658">
        <f>BS!D46</f>
        <v>2326</v>
      </c>
      <c r="F85" s="1658"/>
      <c r="G85" s="1659"/>
      <c r="H85" s="1380"/>
      <c r="I85" s="1659">
        <f>E85-E86</f>
        <v>2326</v>
      </c>
      <c r="J85" s="1660"/>
      <c r="K85" s="1661"/>
      <c r="L85" s="1185"/>
      <c r="O85" s="1654" t="s">
        <v>605</v>
      </c>
    </row>
    <row r="86" spans="1:15" ht="27.95" customHeight="1">
      <c r="A86" s="1669"/>
      <c r="B86" s="1655"/>
      <c r="C86" s="1389"/>
      <c r="D86" s="1657"/>
      <c r="E86" s="1658">
        <f>BS!E46</f>
        <v>0</v>
      </c>
      <c r="F86" s="1658"/>
      <c r="G86" s="1659"/>
      <c r="H86" s="1374"/>
      <c r="I86" s="1379"/>
      <c r="J86" s="1659">
        <f>BS!G46</f>
        <v>2797</v>
      </c>
      <c r="K86" s="1660"/>
      <c r="L86" s="1662"/>
      <c r="O86" s="1655"/>
    </row>
    <row r="87" spans="1:15" ht="27.95" customHeight="1">
      <c r="A87" s="1669" t="s">
        <v>538</v>
      </c>
      <c r="B87" s="1654" t="s">
        <v>607</v>
      </c>
      <c r="C87" s="1388"/>
      <c r="D87" s="1656" t="s">
        <v>615</v>
      </c>
      <c r="E87" s="1658">
        <f>BS!D47</f>
        <v>0</v>
      </c>
      <c r="F87" s="1658"/>
      <c r="G87" s="1659"/>
      <c r="H87" s="1380"/>
      <c r="I87" s="1659">
        <f>E87-E88</f>
        <v>0</v>
      </c>
      <c r="J87" s="1660"/>
      <c r="K87" s="1661"/>
      <c r="L87" s="1185"/>
      <c r="O87" s="1654" t="s">
        <v>607</v>
      </c>
    </row>
    <row r="88" spans="1:15" ht="27.95" customHeight="1">
      <c r="A88" s="1669"/>
      <c r="B88" s="1655"/>
      <c r="C88" s="1389"/>
      <c r="D88" s="1657"/>
      <c r="E88" s="1658">
        <f>BS!E47</f>
        <v>0</v>
      </c>
      <c r="F88" s="1658"/>
      <c r="G88" s="1659"/>
      <c r="H88" s="1374"/>
      <c r="I88" s="1379"/>
      <c r="J88" s="1659">
        <f>BS!G47</f>
        <v>0</v>
      </c>
      <c r="K88" s="1660"/>
      <c r="L88" s="1662"/>
      <c r="O88" s="1655"/>
    </row>
    <row r="89" spans="1:15" s="1187" customFormat="1" ht="27.95" customHeight="1">
      <c r="A89" s="1669" t="s">
        <v>541</v>
      </c>
      <c r="B89" s="1654" t="s">
        <v>2687</v>
      </c>
      <c r="C89" s="1388"/>
      <c r="D89" s="1656" t="s">
        <v>618</v>
      </c>
      <c r="E89" s="1658">
        <f>BS!D48</f>
        <v>535203</v>
      </c>
      <c r="F89" s="1658"/>
      <c r="G89" s="1659"/>
      <c r="H89" s="1380"/>
      <c r="I89" s="1659">
        <f>E89-E90</f>
        <v>535203</v>
      </c>
      <c r="J89" s="1660"/>
      <c r="K89" s="1661"/>
      <c r="L89" s="1185"/>
      <c r="O89" s="1654" t="s">
        <v>2267</v>
      </c>
    </row>
    <row r="90" spans="1:15" s="1187" customFormat="1" ht="27.95" customHeight="1">
      <c r="A90" s="1669"/>
      <c r="B90" s="1655"/>
      <c r="C90" s="1389"/>
      <c r="D90" s="1657"/>
      <c r="E90" s="1658">
        <f>BS!E48</f>
        <v>0</v>
      </c>
      <c r="F90" s="1658"/>
      <c r="G90" s="1659"/>
      <c r="H90" s="1374"/>
      <c r="I90" s="1379"/>
      <c r="J90" s="1659">
        <f>BS!G48</f>
        <v>463834</v>
      </c>
      <c r="K90" s="1660"/>
      <c r="L90" s="1662"/>
      <c r="O90" s="1655"/>
    </row>
    <row r="91" spans="1:15" s="1187" customFormat="1" ht="27.95" customHeight="1">
      <c r="A91" s="1669" t="s">
        <v>544</v>
      </c>
      <c r="B91" s="1654" t="s">
        <v>611</v>
      </c>
      <c r="C91" s="1388"/>
      <c r="D91" s="1656" t="s">
        <v>620</v>
      </c>
      <c r="E91" s="1658">
        <f>BS!D49</f>
        <v>0</v>
      </c>
      <c r="F91" s="1658"/>
      <c r="G91" s="1659"/>
      <c r="H91" s="1380"/>
      <c r="I91" s="1659">
        <f>E91-E92</f>
        <v>0</v>
      </c>
      <c r="J91" s="1660"/>
      <c r="K91" s="1661"/>
      <c r="L91" s="1185"/>
      <c r="O91" s="1654" t="s">
        <v>611</v>
      </c>
    </row>
    <row r="92" spans="1:15" s="1187" customFormat="1" ht="27.95" customHeight="1">
      <c r="A92" s="1669"/>
      <c r="B92" s="1655"/>
      <c r="C92" s="1389"/>
      <c r="D92" s="1657"/>
      <c r="E92" s="1658">
        <f>BS!E49</f>
        <v>0</v>
      </c>
      <c r="F92" s="1658"/>
      <c r="G92" s="1659"/>
      <c r="H92" s="1374"/>
      <c r="I92" s="1379"/>
      <c r="J92" s="1659">
        <f>BS!G49</f>
        <v>0</v>
      </c>
      <c r="K92" s="1660"/>
      <c r="L92" s="1662"/>
      <c r="O92" s="1655"/>
    </row>
    <row r="93" spans="1:15" ht="27.95" customHeight="1">
      <c r="A93" s="1681" t="s">
        <v>613</v>
      </c>
      <c r="B93" s="1667" t="s">
        <v>2688</v>
      </c>
      <c r="C93" s="1391"/>
      <c r="D93" s="1624" t="s">
        <v>622</v>
      </c>
      <c r="E93" s="1626">
        <f>BS!D50</f>
        <v>0</v>
      </c>
      <c r="F93" s="1626"/>
      <c r="G93" s="1627"/>
      <c r="H93" s="1383"/>
      <c r="I93" s="1627">
        <f>E93-E94</f>
        <v>0</v>
      </c>
      <c r="J93" s="1628"/>
      <c r="K93" s="1629"/>
      <c r="L93" s="1182"/>
      <c r="O93" s="1667" t="s">
        <v>2268</v>
      </c>
    </row>
    <row r="94" spans="1:15" ht="27.95" customHeight="1">
      <c r="A94" s="1681"/>
      <c r="B94" s="1668"/>
      <c r="C94" s="1247"/>
      <c r="D94" s="1625"/>
      <c r="E94" s="1626">
        <f>BS!E50</f>
        <v>0</v>
      </c>
      <c r="F94" s="1626"/>
      <c r="G94" s="1627"/>
      <c r="H94" s="1384"/>
      <c r="I94" s="1382"/>
      <c r="J94" s="1627">
        <f>BS!G50</f>
        <v>0</v>
      </c>
      <c r="K94" s="1628"/>
      <c r="L94" s="1630"/>
      <c r="O94" s="1668"/>
    </row>
    <row r="95" spans="1:15" ht="27.95" customHeight="1">
      <c r="A95" s="1681" t="s">
        <v>616</v>
      </c>
      <c r="B95" s="1667" t="s">
        <v>2689</v>
      </c>
      <c r="C95" s="1391"/>
      <c r="D95" s="1624" t="s">
        <v>624</v>
      </c>
      <c r="E95" s="1658">
        <f>BS!D51</f>
        <v>0</v>
      </c>
      <c r="F95" s="1658"/>
      <c r="G95" s="1659"/>
      <c r="H95" s="1380"/>
      <c r="I95" s="1659">
        <f>E95-E96</f>
        <v>0</v>
      </c>
      <c r="J95" s="1660"/>
      <c r="K95" s="1661"/>
      <c r="L95" s="1185"/>
      <c r="N95" s="1179" t="s">
        <v>1093</v>
      </c>
      <c r="O95" s="1667" t="s">
        <v>2269</v>
      </c>
    </row>
    <row r="96" spans="1:15" ht="27.95" customHeight="1" thickBot="1">
      <c r="A96" s="1741"/>
      <c r="B96" s="1742"/>
      <c r="C96" s="1355"/>
      <c r="D96" s="1743"/>
      <c r="E96" s="1673">
        <f>BS!E51</f>
        <v>0</v>
      </c>
      <c r="F96" s="1673"/>
      <c r="G96" s="1674"/>
      <c r="H96" s="1373"/>
      <c r="I96" s="1381"/>
      <c r="J96" s="1674">
        <f>BS!G51</f>
        <v>0</v>
      </c>
      <c r="K96" s="1675"/>
      <c r="L96" s="1676"/>
      <c r="O96" s="1742"/>
    </row>
    <row r="97" spans="1:15" ht="11.25" customHeight="1">
      <c r="A97" s="1631" t="s">
        <v>1447</v>
      </c>
      <c r="B97" s="1633" t="s">
        <v>1448</v>
      </c>
      <c r="C97" s="2421"/>
      <c r="D97" s="2423" t="s">
        <v>1449</v>
      </c>
      <c r="E97" s="1638" t="s">
        <v>1450</v>
      </c>
      <c r="F97" s="1639"/>
      <c r="G97" s="1639"/>
      <c r="H97" s="1639"/>
      <c r="I97" s="1639"/>
      <c r="J97" s="1640"/>
      <c r="K97" s="1641" t="s">
        <v>1451</v>
      </c>
      <c r="L97" s="1642"/>
      <c r="O97" s="1633" t="s">
        <v>1448</v>
      </c>
    </row>
    <row r="98" spans="1:15" ht="11.25" customHeight="1">
      <c r="A98" s="1632"/>
      <c r="B98" s="1634"/>
      <c r="C98" s="2422"/>
      <c r="D98" s="2424"/>
      <c r="E98" s="1645">
        <v>1</v>
      </c>
      <c r="F98" s="1634" t="s">
        <v>1452</v>
      </c>
      <c r="G98" s="1620"/>
      <c r="H98" s="1408"/>
      <c r="I98" s="1691" t="s">
        <v>1453</v>
      </c>
      <c r="J98" s="1647"/>
      <c r="K98" s="1643"/>
      <c r="L98" s="1644"/>
      <c r="O98" s="1634"/>
    </row>
    <row r="99" spans="1:15" ht="12" customHeight="1">
      <c r="A99" s="1632"/>
      <c r="B99" s="1634"/>
      <c r="C99" s="2422"/>
      <c r="D99" s="2424"/>
      <c r="E99" s="1645"/>
      <c r="F99" s="1634" t="s">
        <v>1454</v>
      </c>
      <c r="G99" s="1620"/>
      <c r="H99" s="1408"/>
      <c r="I99" s="1646"/>
      <c r="J99" s="1647"/>
      <c r="K99" s="1620" t="s">
        <v>1455</v>
      </c>
      <c r="L99" s="1621"/>
      <c r="O99" s="1634"/>
    </row>
    <row r="100" spans="1:15" ht="27.95" customHeight="1">
      <c r="A100" s="1669" t="s">
        <v>2270</v>
      </c>
      <c r="B100" s="1654" t="s">
        <v>2690</v>
      </c>
      <c r="C100" s="1249"/>
      <c r="D100" s="1656" t="s">
        <v>626</v>
      </c>
      <c r="E100" s="1658">
        <f>BS!D52</f>
        <v>0</v>
      </c>
      <c r="F100" s="1658"/>
      <c r="G100" s="1659"/>
      <c r="H100" s="1380"/>
      <c r="I100" s="1659">
        <f>E100-E101</f>
        <v>0</v>
      </c>
      <c r="J100" s="1660"/>
      <c r="K100" s="1661"/>
      <c r="L100" s="1185"/>
      <c r="O100" s="1654" t="s">
        <v>2646</v>
      </c>
    </row>
    <row r="101" spans="1:15" ht="27.95" customHeight="1">
      <c r="A101" s="1669"/>
      <c r="B101" s="1655"/>
      <c r="C101" s="1222"/>
      <c r="D101" s="1657"/>
      <c r="E101" s="1658">
        <f>BS!E52</f>
        <v>0</v>
      </c>
      <c r="F101" s="1658"/>
      <c r="G101" s="1659"/>
      <c r="H101" s="1374"/>
      <c r="I101" s="1379"/>
      <c r="J101" s="1659">
        <f>BS!G52</f>
        <v>0</v>
      </c>
      <c r="K101" s="1660"/>
      <c r="L101" s="1662"/>
      <c r="O101" s="1655"/>
    </row>
    <row r="102" spans="1:15" ht="27.95" customHeight="1">
      <c r="A102" s="1669" t="s">
        <v>2271</v>
      </c>
      <c r="B102" s="1654" t="s">
        <v>2691</v>
      </c>
      <c r="C102" s="1388"/>
      <c r="D102" s="1656" t="s">
        <v>628</v>
      </c>
      <c r="E102" s="1658">
        <f>BS!D53</f>
        <v>0</v>
      </c>
      <c r="F102" s="1658"/>
      <c r="G102" s="1659"/>
      <c r="H102" s="1380"/>
      <c r="I102" s="1659">
        <f>E102-E103</f>
        <v>0</v>
      </c>
      <c r="J102" s="1660"/>
      <c r="K102" s="1661"/>
      <c r="L102" s="1185"/>
      <c r="O102" s="1654" t="s">
        <v>2647</v>
      </c>
    </row>
    <row r="103" spans="1:15" ht="42" customHeight="1">
      <c r="A103" s="1669"/>
      <c r="B103" s="1655"/>
      <c r="C103" s="1389"/>
      <c r="D103" s="1657"/>
      <c r="E103" s="1658">
        <f>BS!E53</f>
        <v>0</v>
      </c>
      <c r="F103" s="1658"/>
      <c r="G103" s="1659"/>
      <c r="H103" s="1374"/>
      <c r="I103" s="1379"/>
      <c r="J103" s="1659">
        <f>BS!G53</f>
        <v>0</v>
      </c>
      <c r="K103" s="1660"/>
      <c r="L103" s="1662"/>
      <c r="O103" s="1655"/>
    </row>
    <row r="104" spans="1:15" ht="27.95" customHeight="1">
      <c r="A104" s="1669" t="s">
        <v>2272</v>
      </c>
      <c r="B104" s="1654" t="s">
        <v>2692</v>
      </c>
      <c r="C104" s="1388"/>
      <c r="D104" s="1656" t="s">
        <v>630</v>
      </c>
      <c r="E104" s="1658">
        <f>BS!D54</f>
        <v>0</v>
      </c>
      <c r="F104" s="1658"/>
      <c r="G104" s="1659"/>
      <c r="H104" s="1380"/>
      <c r="I104" s="1659">
        <f>E104-E105</f>
        <v>0</v>
      </c>
      <c r="J104" s="1660"/>
      <c r="K104" s="1661"/>
      <c r="L104" s="1185"/>
      <c r="O104" s="1654" t="s">
        <v>2273</v>
      </c>
    </row>
    <row r="105" spans="1:15" ht="27.95" customHeight="1">
      <c r="A105" s="1669"/>
      <c r="B105" s="1655"/>
      <c r="C105" s="1389"/>
      <c r="D105" s="1657"/>
      <c r="E105" s="1658">
        <f>BS!E54</f>
        <v>0</v>
      </c>
      <c r="F105" s="1658"/>
      <c r="G105" s="1659"/>
      <c r="H105" s="1374"/>
      <c r="I105" s="1379"/>
      <c r="J105" s="1659">
        <f>BS!G54</f>
        <v>0</v>
      </c>
      <c r="K105" s="1660"/>
      <c r="L105" s="1662"/>
      <c r="O105" s="1655"/>
    </row>
    <row r="106" spans="1:15" ht="27.95" customHeight="1">
      <c r="A106" s="1669" t="s">
        <v>532</v>
      </c>
      <c r="B106" s="1682" t="s">
        <v>619</v>
      </c>
      <c r="C106" s="1245"/>
      <c r="D106" s="1656" t="s">
        <v>633</v>
      </c>
      <c r="E106" s="1658">
        <f>BS!D55</f>
        <v>0</v>
      </c>
      <c r="F106" s="1658"/>
      <c r="G106" s="1659"/>
      <c r="H106" s="1380"/>
      <c r="I106" s="1659">
        <f>E106-E107</f>
        <v>0</v>
      </c>
      <c r="J106" s="1660"/>
      <c r="K106" s="1661"/>
      <c r="L106" s="1185"/>
      <c r="O106" s="1682" t="s">
        <v>619</v>
      </c>
    </row>
    <row r="107" spans="1:15" ht="27.95" customHeight="1">
      <c r="A107" s="1669"/>
      <c r="B107" s="1683"/>
      <c r="C107" s="1246"/>
      <c r="D107" s="1657"/>
      <c r="E107" s="1658">
        <f>BS!E55</f>
        <v>0</v>
      </c>
      <c r="F107" s="1658"/>
      <c r="G107" s="1659"/>
      <c r="H107" s="1374"/>
      <c r="I107" s="1379"/>
      <c r="J107" s="1659">
        <f>BS!G55</f>
        <v>0</v>
      </c>
      <c r="K107" s="1660"/>
      <c r="L107" s="1662"/>
      <c r="O107" s="1683"/>
    </row>
    <row r="108" spans="1:15" s="1187" customFormat="1" ht="27.95" customHeight="1">
      <c r="A108" s="1669" t="s">
        <v>535</v>
      </c>
      <c r="B108" s="1654" t="s">
        <v>2661</v>
      </c>
      <c r="C108" s="1388"/>
      <c r="D108" s="1656" t="s">
        <v>636</v>
      </c>
      <c r="E108" s="1658">
        <f>BS!D56</f>
        <v>0</v>
      </c>
      <c r="F108" s="1658"/>
      <c r="G108" s="1659"/>
      <c r="H108" s="1380"/>
      <c r="I108" s="1659">
        <f>E108-E109</f>
        <v>0</v>
      </c>
      <c r="J108" s="1660"/>
      <c r="K108" s="1661"/>
      <c r="L108" s="1185"/>
      <c r="O108" s="1654" t="s">
        <v>2661</v>
      </c>
    </row>
    <row r="109" spans="1:15" s="1187" customFormat="1" ht="27.95" customHeight="1">
      <c r="A109" s="1669"/>
      <c r="B109" s="1655"/>
      <c r="C109" s="1389"/>
      <c r="D109" s="1657"/>
      <c r="E109" s="1658">
        <f>BS!E56</f>
        <v>0</v>
      </c>
      <c r="F109" s="1658"/>
      <c r="G109" s="1659"/>
      <c r="H109" s="1374"/>
      <c r="I109" s="1379"/>
      <c r="J109" s="1659">
        <f>BS!G56</f>
        <v>0</v>
      </c>
      <c r="K109" s="1660"/>
      <c r="L109" s="1662"/>
      <c r="O109" s="1655"/>
    </row>
    <row r="110" spans="1:15" s="1187" customFormat="1" ht="27.95" customHeight="1">
      <c r="A110" s="1669" t="s">
        <v>538</v>
      </c>
      <c r="B110" s="1654" t="s">
        <v>2662</v>
      </c>
      <c r="C110" s="1388"/>
      <c r="D110" s="1656" t="s">
        <v>637</v>
      </c>
      <c r="E110" s="1658">
        <f>BS!D57</f>
        <v>0</v>
      </c>
      <c r="F110" s="1658"/>
      <c r="G110" s="1659"/>
      <c r="H110" s="1380"/>
      <c r="I110" s="1659">
        <f>E110-E111</f>
        <v>0</v>
      </c>
      <c r="J110" s="1660"/>
      <c r="K110" s="1661"/>
      <c r="L110" s="1185"/>
      <c r="O110" s="1654" t="s">
        <v>2662</v>
      </c>
    </row>
    <row r="111" spans="1:15" s="1187" customFormat="1" ht="27.95" customHeight="1">
      <c r="A111" s="1669"/>
      <c r="B111" s="1655"/>
      <c r="C111" s="1389"/>
      <c r="D111" s="1657"/>
      <c r="E111" s="1658">
        <f>BS!E57</f>
        <v>0</v>
      </c>
      <c r="F111" s="1658"/>
      <c r="G111" s="1659"/>
      <c r="H111" s="1374"/>
      <c r="I111" s="1379"/>
      <c r="J111" s="1659">
        <f>BS!G57</f>
        <v>0</v>
      </c>
      <c r="K111" s="1660"/>
      <c r="L111" s="1662"/>
      <c r="O111" s="1655"/>
    </row>
    <row r="112" spans="1:15" ht="27.95" customHeight="1">
      <c r="A112" s="1669" t="s">
        <v>541</v>
      </c>
      <c r="B112" s="1654" t="s">
        <v>625</v>
      </c>
      <c r="C112" s="1388"/>
      <c r="D112" s="1656" t="s">
        <v>639</v>
      </c>
      <c r="E112" s="1658">
        <f>BS!D58</f>
        <v>0</v>
      </c>
      <c r="F112" s="1658"/>
      <c r="G112" s="1659"/>
      <c r="H112" s="1380"/>
      <c r="I112" s="1659">
        <f>E112-E113</f>
        <v>0</v>
      </c>
      <c r="J112" s="1660"/>
      <c r="K112" s="1661"/>
      <c r="L112" s="1185"/>
      <c r="O112" s="1654" t="s">
        <v>625</v>
      </c>
    </row>
    <row r="113" spans="1:15" ht="27.95" customHeight="1">
      <c r="A113" s="1669"/>
      <c r="B113" s="1655"/>
      <c r="C113" s="1389"/>
      <c r="D113" s="1657"/>
      <c r="E113" s="1658">
        <f>BS!E58</f>
        <v>0</v>
      </c>
      <c r="F113" s="1658"/>
      <c r="G113" s="1659"/>
      <c r="H113" s="1374"/>
      <c r="I113" s="1379"/>
      <c r="J113" s="1659">
        <f>BS!G58</f>
        <v>0</v>
      </c>
      <c r="K113" s="1660"/>
      <c r="L113" s="1662"/>
      <c r="O113" s="1655"/>
    </row>
    <row r="114" spans="1:15" ht="27.95" customHeight="1">
      <c r="A114" s="1669" t="s">
        <v>544</v>
      </c>
      <c r="B114" s="1654" t="s">
        <v>2693</v>
      </c>
      <c r="C114" s="1388"/>
      <c r="D114" s="1656" t="s">
        <v>640</v>
      </c>
      <c r="E114" s="1658">
        <f>BS!D59</f>
        <v>0</v>
      </c>
      <c r="F114" s="1658"/>
      <c r="G114" s="1659"/>
      <c r="H114" s="1380"/>
      <c r="I114" s="1659">
        <f>E114-E115</f>
        <v>0</v>
      </c>
      <c r="J114" s="1660"/>
      <c r="K114" s="1661"/>
      <c r="L114" s="1185"/>
      <c r="O114" s="1654" t="s">
        <v>2274</v>
      </c>
    </row>
    <row r="115" spans="1:15" ht="27.95" customHeight="1">
      <c r="A115" s="1669"/>
      <c r="B115" s="1655"/>
      <c r="C115" s="1389"/>
      <c r="D115" s="1657"/>
      <c r="E115" s="1658">
        <f>BS!E59</f>
        <v>0</v>
      </c>
      <c r="F115" s="1658"/>
      <c r="G115" s="1659"/>
      <c r="H115" s="1374"/>
      <c r="I115" s="1379"/>
      <c r="J115" s="1659">
        <f>BS!G59</f>
        <v>0</v>
      </c>
      <c r="K115" s="1660"/>
      <c r="L115" s="1662"/>
      <c r="O115" s="1655"/>
    </row>
    <row r="116" spans="1:15" ht="27.95" customHeight="1">
      <c r="A116" s="1669" t="s">
        <v>547</v>
      </c>
      <c r="B116" s="1654" t="s">
        <v>2275</v>
      </c>
      <c r="C116" s="1388"/>
      <c r="D116" s="1656" t="s">
        <v>642</v>
      </c>
      <c r="E116" s="1658">
        <f>BS!D60</f>
        <v>0</v>
      </c>
      <c r="F116" s="1658"/>
      <c r="G116" s="1659"/>
      <c r="H116" s="1380"/>
      <c r="I116" s="1659">
        <f>E116-E117</f>
        <v>0</v>
      </c>
      <c r="J116" s="1660"/>
      <c r="K116" s="1661"/>
      <c r="L116" s="1185"/>
      <c r="O116" s="1654" t="s">
        <v>2275</v>
      </c>
    </row>
    <row r="117" spans="1:15" ht="27.95" customHeight="1">
      <c r="A117" s="1669"/>
      <c r="B117" s="1655"/>
      <c r="C117" s="1389"/>
      <c r="D117" s="1657"/>
      <c r="E117" s="1658">
        <f>BS!E60</f>
        <v>0</v>
      </c>
      <c r="F117" s="1658"/>
      <c r="G117" s="1659"/>
      <c r="H117" s="1374"/>
      <c r="I117" s="1379"/>
      <c r="J117" s="1659">
        <f>BS!G60</f>
        <v>0</v>
      </c>
      <c r="K117" s="1660"/>
      <c r="L117" s="1662"/>
      <c r="O117" s="1655"/>
    </row>
    <row r="118" spans="1:15" ht="27.95" customHeight="1">
      <c r="A118" s="1669" t="s">
        <v>568</v>
      </c>
      <c r="B118" s="1654" t="s">
        <v>629</v>
      </c>
      <c r="C118" s="1388"/>
      <c r="D118" s="1656" t="s">
        <v>644</v>
      </c>
      <c r="E118" s="1658">
        <f>BS!D61</f>
        <v>0</v>
      </c>
      <c r="F118" s="1658"/>
      <c r="G118" s="1659"/>
      <c r="H118" s="1380"/>
      <c r="I118" s="1659">
        <f>E118-E119</f>
        <v>0</v>
      </c>
      <c r="J118" s="1660"/>
      <c r="K118" s="1661"/>
      <c r="L118" s="1185"/>
      <c r="O118" s="1654" t="s">
        <v>629</v>
      </c>
    </row>
    <row r="119" spans="1:15" ht="27.95" customHeight="1">
      <c r="A119" s="1669"/>
      <c r="B119" s="1655"/>
      <c r="C119" s="1389"/>
      <c r="D119" s="1657"/>
      <c r="E119" s="1658">
        <f>BS!E61</f>
        <v>0</v>
      </c>
      <c r="F119" s="1658"/>
      <c r="G119" s="1659"/>
      <c r="H119" s="1374"/>
      <c r="I119" s="1379"/>
      <c r="J119" s="1659">
        <f>BS!G61</f>
        <v>0</v>
      </c>
      <c r="K119" s="1660"/>
      <c r="L119" s="1662"/>
      <c r="O119" s="1655"/>
    </row>
    <row r="120" spans="1:15" ht="27.95" customHeight="1">
      <c r="A120" s="1681" t="s">
        <v>631</v>
      </c>
      <c r="B120" s="1667" t="s">
        <v>2694</v>
      </c>
      <c r="C120" s="1391"/>
      <c r="D120" s="1624" t="s">
        <v>646</v>
      </c>
      <c r="E120" s="1626">
        <f>BS!D62</f>
        <v>1450453</v>
      </c>
      <c r="F120" s="1626"/>
      <c r="G120" s="1627"/>
      <c r="H120" s="1383"/>
      <c r="I120" s="1627">
        <f>E120-E121</f>
        <v>1440723</v>
      </c>
      <c r="J120" s="1628"/>
      <c r="K120" s="1629"/>
      <c r="L120" s="1182"/>
      <c r="O120" s="1667" t="s">
        <v>2276</v>
      </c>
    </row>
    <row r="121" spans="1:15" ht="27.95" customHeight="1">
      <c r="A121" s="1681"/>
      <c r="B121" s="1668"/>
      <c r="C121" s="1392"/>
      <c r="D121" s="1625"/>
      <c r="E121" s="1626">
        <f>BS!E62</f>
        <v>9730</v>
      </c>
      <c r="F121" s="1626"/>
      <c r="G121" s="1627"/>
      <c r="H121" s="1384"/>
      <c r="I121" s="1382"/>
      <c r="J121" s="1627">
        <f>BS!G62</f>
        <v>1072219</v>
      </c>
      <c r="K121" s="1628"/>
      <c r="L121" s="1630"/>
      <c r="O121" s="1668"/>
    </row>
    <row r="122" spans="1:15" ht="27.95" customHeight="1">
      <c r="A122" s="1681" t="s">
        <v>634</v>
      </c>
      <c r="B122" s="1667" t="s">
        <v>2695</v>
      </c>
      <c r="C122" s="1391"/>
      <c r="D122" s="1624" t="s">
        <v>648</v>
      </c>
      <c r="E122" s="1658">
        <f>BS!D63</f>
        <v>1395498</v>
      </c>
      <c r="F122" s="1658"/>
      <c r="G122" s="1659"/>
      <c r="H122" s="1380"/>
      <c r="I122" s="1659">
        <f>E122-E123</f>
        <v>1395498</v>
      </c>
      <c r="J122" s="1660"/>
      <c r="K122" s="1661"/>
      <c r="L122" s="1185"/>
      <c r="O122" s="1667" t="s">
        <v>2277</v>
      </c>
    </row>
    <row r="123" spans="1:15" ht="27.95" customHeight="1">
      <c r="A123" s="1681"/>
      <c r="B123" s="1668"/>
      <c r="C123" s="1392"/>
      <c r="D123" s="1625"/>
      <c r="E123" s="1658">
        <f>BS!E63</f>
        <v>0</v>
      </c>
      <c r="F123" s="1658"/>
      <c r="G123" s="1659"/>
      <c r="H123" s="1374"/>
      <c r="I123" s="1379"/>
      <c r="J123" s="1659">
        <f>BS!G63</f>
        <v>1026423</v>
      </c>
      <c r="K123" s="1660"/>
      <c r="L123" s="1662"/>
      <c r="O123" s="1668"/>
    </row>
    <row r="124" spans="1:15" ht="27.95" customHeight="1">
      <c r="A124" s="1669" t="s">
        <v>2270</v>
      </c>
      <c r="B124" s="1682" t="s">
        <v>2690</v>
      </c>
      <c r="C124" s="1245"/>
      <c r="D124" s="1656" t="s">
        <v>651</v>
      </c>
      <c r="E124" s="1658">
        <f>BS!D64</f>
        <v>134342</v>
      </c>
      <c r="F124" s="1658"/>
      <c r="G124" s="1659"/>
      <c r="H124" s="1380"/>
      <c r="I124" s="1659">
        <f>E124-E125</f>
        <v>134342</v>
      </c>
      <c r="J124" s="1660"/>
      <c r="K124" s="1661"/>
      <c r="L124" s="1185"/>
      <c r="O124" s="1682" t="s">
        <v>2646</v>
      </c>
    </row>
    <row r="125" spans="1:15" ht="27.95" customHeight="1">
      <c r="A125" s="1669"/>
      <c r="B125" s="1683"/>
      <c r="C125" s="1246"/>
      <c r="D125" s="1657"/>
      <c r="E125" s="1658">
        <f>BS!E64</f>
        <v>0</v>
      </c>
      <c r="F125" s="1658"/>
      <c r="G125" s="1659"/>
      <c r="H125" s="1374"/>
      <c r="I125" s="1379"/>
      <c r="J125" s="1659">
        <f>BS!G64</f>
        <v>83568</v>
      </c>
      <c r="K125" s="1660"/>
      <c r="L125" s="1662"/>
      <c r="O125" s="1683"/>
    </row>
    <row r="126" spans="1:15" s="1187" customFormat="1" ht="27.95" customHeight="1">
      <c r="A126" s="1669" t="s">
        <v>2271</v>
      </c>
      <c r="B126" s="1654" t="s">
        <v>2691</v>
      </c>
      <c r="C126" s="1388"/>
      <c r="D126" s="1656" t="s">
        <v>654</v>
      </c>
      <c r="E126" s="1658">
        <f>BS!D65</f>
        <v>0</v>
      </c>
      <c r="F126" s="1658"/>
      <c r="G126" s="1659"/>
      <c r="H126" s="1380"/>
      <c r="I126" s="1659">
        <f>E126-E127</f>
        <v>0</v>
      </c>
      <c r="J126" s="1660"/>
      <c r="K126" s="1661"/>
      <c r="L126" s="1185"/>
      <c r="O126" s="1654" t="s">
        <v>2647</v>
      </c>
    </row>
    <row r="127" spans="1:15" s="1187" customFormat="1" ht="41.25" customHeight="1" thickBot="1">
      <c r="A127" s="1670"/>
      <c r="B127" s="1671"/>
      <c r="C127" s="1397"/>
      <c r="D127" s="1672"/>
      <c r="E127" s="1673">
        <f>BS!E65</f>
        <v>0</v>
      </c>
      <c r="F127" s="1673"/>
      <c r="G127" s="1674"/>
      <c r="H127" s="1373"/>
      <c r="I127" s="1381"/>
      <c r="J127" s="1674">
        <f>BS!G65</f>
        <v>0</v>
      </c>
      <c r="K127" s="1675"/>
      <c r="L127" s="1676"/>
      <c r="O127" s="1671"/>
    </row>
    <row r="128" spans="1:15" ht="11.25" customHeight="1">
      <c r="A128" s="1631" t="s">
        <v>1447</v>
      </c>
      <c r="B128" s="1633" t="s">
        <v>1448</v>
      </c>
      <c r="C128" s="2421"/>
      <c r="D128" s="2423" t="s">
        <v>1449</v>
      </c>
      <c r="E128" s="1638" t="s">
        <v>1450</v>
      </c>
      <c r="F128" s="1639"/>
      <c r="G128" s="1639"/>
      <c r="H128" s="1639"/>
      <c r="I128" s="1639"/>
      <c r="J128" s="1640"/>
      <c r="K128" s="1641" t="s">
        <v>1451</v>
      </c>
      <c r="L128" s="1642"/>
      <c r="O128" s="1633" t="s">
        <v>1448</v>
      </c>
    </row>
    <row r="129" spans="1:15" ht="11.25" customHeight="1">
      <c r="A129" s="1632"/>
      <c r="B129" s="1634"/>
      <c r="C129" s="2422"/>
      <c r="D129" s="2424"/>
      <c r="E129" s="1645">
        <v>1</v>
      </c>
      <c r="F129" s="1634" t="s">
        <v>1452</v>
      </c>
      <c r="G129" s="1620"/>
      <c r="H129" s="1408"/>
      <c r="I129" s="1691" t="s">
        <v>1453</v>
      </c>
      <c r="J129" s="1647"/>
      <c r="K129" s="1643"/>
      <c r="L129" s="1644"/>
      <c r="O129" s="1634"/>
    </row>
    <row r="130" spans="1:15" ht="11.25" customHeight="1">
      <c r="A130" s="1632"/>
      <c r="B130" s="1634"/>
      <c r="C130" s="2422"/>
      <c r="D130" s="2424"/>
      <c r="E130" s="1645"/>
      <c r="F130" s="1634" t="s">
        <v>1454</v>
      </c>
      <c r="G130" s="1620"/>
      <c r="H130" s="1408"/>
      <c r="I130" s="1646"/>
      <c r="J130" s="1647"/>
      <c r="K130" s="1620" t="s">
        <v>1455</v>
      </c>
      <c r="L130" s="1621"/>
      <c r="O130" s="1634"/>
    </row>
    <row r="131" spans="1:15" s="1181" customFormat="1" ht="27.95" customHeight="1">
      <c r="A131" s="1669" t="s">
        <v>2272</v>
      </c>
      <c r="B131" s="1654" t="s">
        <v>2692</v>
      </c>
      <c r="C131" s="1388"/>
      <c r="D131" s="1656" t="s">
        <v>656</v>
      </c>
      <c r="E131" s="1658">
        <f>BS!D66</f>
        <v>1261156</v>
      </c>
      <c r="F131" s="1658"/>
      <c r="G131" s="1659"/>
      <c r="H131" s="1380"/>
      <c r="I131" s="1659">
        <f>E131-E132</f>
        <v>1261156</v>
      </c>
      <c r="J131" s="1660"/>
      <c r="K131" s="1661"/>
      <c r="L131" s="1185"/>
      <c r="O131" s="1654" t="s">
        <v>2273</v>
      </c>
    </row>
    <row r="132" spans="1:15" s="1181" customFormat="1" ht="27.95" customHeight="1">
      <c r="A132" s="1669"/>
      <c r="B132" s="1655"/>
      <c r="C132" s="1389"/>
      <c r="D132" s="1657"/>
      <c r="E132" s="1658">
        <f>BS!E66</f>
        <v>0</v>
      </c>
      <c r="F132" s="1658"/>
      <c r="G132" s="1659"/>
      <c r="H132" s="1374"/>
      <c r="I132" s="1379"/>
      <c r="J132" s="1659">
        <f>BS!G66</f>
        <v>942855</v>
      </c>
      <c r="K132" s="1660"/>
      <c r="L132" s="1662"/>
      <c r="O132" s="1655"/>
    </row>
    <row r="133" spans="1:15" s="1181" customFormat="1" ht="27.95" customHeight="1">
      <c r="A133" s="1669" t="s">
        <v>532</v>
      </c>
      <c r="B133" s="1654" t="s">
        <v>619</v>
      </c>
      <c r="C133" s="1388"/>
      <c r="D133" s="1656" t="s">
        <v>658</v>
      </c>
      <c r="E133" s="1658">
        <f>BS!D67</f>
        <v>0</v>
      </c>
      <c r="F133" s="1658"/>
      <c r="G133" s="1659"/>
      <c r="H133" s="1380"/>
      <c r="I133" s="1659">
        <f>E133-E134</f>
        <v>0</v>
      </c>
      <c r="J133" s="1660"/>
      <c r="K133" s="1661"/>
      <c r="L133" s="1185"/>
      <c r="O133" s="1654" t="s">
        <v>619</v>
      </c>
    </row>
    <row r="134" spans="1:15" ht="27.95" customHeight="1">
      <c r="A134" s="1669"/>
      <c r="B134" s="1655"/>
      <c r="C134" s="1389"/>
      <c r="D134" s="1657"/>
      <c r="E134" s="1658">
        <f>BS!E67</f>
        <v>0</v>
      </c>
      <c r="F134" s="1658"/>
      <c r="G134" s="1659"/>
      <c r="H134" s="1374"/>
      <c r="I134" s="1379"/>
      <c r="J134" s="1659">
        <f>BS!G67</f>
        <v>0</v>
      </c>
      <c r="K134" s="1660"/>
      <c r="L134" s="1662"/>
      <c r="O134" s="1655"/>
    </row>
    <row r="135" spans="1:15" ht="27.95" customHeight="1">
      <c r="A135" s="1669" t="s">
        <v>535</v>
      </c>
      <c r="B135" s="1654" t="s">
        <v>2661</v>
      </c>
      <c r="C135" s="1388"/>
      <c r="D135" s="1656" t="s">
        <v>660</v>
      </c>
      <c r="E135" s="1658">
        <f>BS!D68</f>
        <v>0</v>
      </c>
      <c r="F135" s="1658"/>
      <c r="G135" s="1659"/>
      <c r="H135" s="1380"/>
      <c r="I135" s="1659">
        <f>E135-E136</f>
        <v>0</v>
      </c>
      <c r="J135" s="1660"/>
      <c r="K135" s="1661"/>
      <c r="L135" s="1185"/>
      <c r="O135" s="1654" t="s">
        <v>2661</v>
      </c>
    </row>
    <row r="136" spans="1:15" ht="27.95" customHeight="1">
      <c r="A136" s="1669"/>
      <c r="B136" s="1655"/>
      <c r="C136" s="1389"/>
      <c r="D136" s="1657"/>
      <c r="E136" s="1658">
        <f>BS!E68</f>
        <v>0</v>
      </c>
      <c r="F136" s="1658"/>
      <c r="G136" s="1659"/>
      <c r="H136" s="1374"/>
      <c r="I136" s="1379"/>
      <c r="J136" s="1659">
        <f>BS!G68</f>
        <v>0</v>
      </c>
      <c r="K136" s="1660"/>
      <c r="L136" s="1662"/>
      <c r="O136" s="1655"/>
    </row>
    <row r="137" spans="1:15" ht="27.95" customHeight="1">
      <c r="A137" s="1669" t="s">
        <v>538</v>
      </c>
      <c r="B137" s="1654" t="s">
        <v>2662</v>
      </c>
      <c r="C137" s="1388"/>
      <c r="D137" s="1656" t="s">
        <v>662</v>
      </c>
      <c r="E137" s="1658">
        <f>BS!D69</f>
        <v>0</v>
      </c>
      <c r="F137" s="1658"/>
      <c r="G137" s="1659"/>
      <c r="H137" s="1380"/>
      <c r="I137" s="1659">
        <f>E137-E138</f>
        <v>0</v>
      </c>
      <c r="J137" s="1660"/>
      <c r="K137" s="1661"/>
      <c r="L137" s="1185"/>
      <c r="O137" s="1654" t="s">
        <v>2662</v>
      </c>
    </row>
    <row r="138" spans="1:15" ht="27.95" customHeight="1">
      <c r="A138" s="1669"/>
      <c r="B138" s="1655"/>
      <c r="C138" s="1389"/>
      <c r="D138" s="1657"/>
      <c r="E138" s="1658">
        <f>BS!E69</f>
        <v>0</v>
      </c>
      <c r="F138" s="1658"/>
      <c r="G138" s="1659"/>
      <c r="H138" s="1374"/>
      <c r="I138" s="1379"/>
      <c r="J138" s="1659">
        <f>BS!G69</f>
        <v>0</v>
      </c>
      <c r="K138" s="1660"/>
      <c r="L138" s="1662"/>
      <c r="O138" s="1655"/>
    </row>
    <row r="139" spans="1:15" ht="27.95" customHeight="1">
      <c r="A139" s="1669" t="s">
        <v>541</v>
      </c>
      <c r="B139" s="1654" t="s">
        <v>641</v>
      </c>
      <c r="C139" s="1388"/>
      <c r="D139" s="1656" t="s">
        <v>665</v>
      </c>
      <c r="E139" s="1658">
        <f>BS!D70</f>
        <v>0</v>
      </c>
      <c r="F139" s="1658"/>
      <c r="G139" s="1659"/>
      <c r="H139" s="1380"/>
      <c r="I139" s="1659">
        <f>E139-E140</f>
        <v>0</v>
      </c>
      <c r="J139" s="1660"/>
      <c r="K139" s="1661"/>
      <c r="L139" s="1185"/>
      <c r="O139" s="1654" t="s">
        <v>641</v>
      </c>
    </row>
    <row r="140" spans="1:15" ht="27.95" customHeight="1">
      <c r="A140" s="1669"/>
      <c r="B140" s="1655"/>
      <c r="C140" s="1389"/>
      <c r="D140" s="1657"/>
      <c r="E140" s="1658">
        <f>BS!E70</f>
        <v>0</v>
      </c>
      <c r="F140" s="1658"/>
      <c r="G140" s="1659"/>
      <c r="H140" s="1374"/>
      <c r="I140" s="1379"/>
      <c r="J140" s="1659">
        <f>BS!G70</f>
        <v>0</v>
      </c>
      <c r="K140" s="1660"/>
      <c r="L140" s="1662"/>
      <c r="O140" s="1655"/>
    </row>
    <row r="141" spans="1:15" ht="27.95" customHeight="1">
      <c r="A141" s="1669" t="s">
        <v>544</v>
      </c>
      <c r="B141" s="1654" t="s">
        <v>2278</v>
      </c>
      <c r="C141" s="1388"/>
      <c r="D141" s="1656" t="s">
        <v>668</v>
      </c>
      <c r="E141" s="1658">
        <f>BS!D71</f>
        <v>0</v>
      </c>
      <c r="F141" s="1658"/>
      <c r="G141" s="1659"/>
      <c r="H141" s="1380"/>
      <c r="I141" s="1659">
        <f>E141-E142</f>
        <v>0</v>
      </c>
      <c r="J141" s="1660"/>
      <c r="K141" s="1661"/>
      <c r="L141" s="1185"/>
      <c r="O141" s="1654" t="s">
        <v>2278</v>
      </c>
    </row>
    <row r="142" spans="1:15" ht="27.95" customHeight="1">
      <c r="A142" s="1669"/>
      <c r="B142" s="1655"/>
      <c r="C142" s="1389"/>
      <c r="D142" s="1657"/>
      <c r="E142" s="1658">
        <f>BS!E71</f>
        <v>0</v>
      </c>
      <c r="F142" s="1658"/>
      <c r="G142" s="1659"/>
      <c r="H142" s="1374"/>
      <c r="I142" s="1379"/>
      <c r="J142" s="1659">
        <f>BS!G71</f>
        <v>0</v>
      </c>
      <c r="K142" s="1660"/>
      <c r="L142" s="1662"/>
      <c r="O142" s="1655"/>
    </row>
    <row r="143" spans="1:15" ht="27.95" customHeight="1">
      <c r="A143" s="1669" t="s">
        <v>547</v>
      </c>
      <c r="B143" s="1654" t="s">
        <v>2279</v>
      </c>
      <c r="C143" s="1388"/>
      <c r="D143" s="1656" t="s">
        <v>670</v>
      </c>
      <c r="E143" s="1658">
        <f>BS!D72</f>
        <v>41600</v>
      </c>
      <c r="F143" s="1658"/>
      <c r="G143" s="1659"/>
      <c r="H143" s="1380"/>
      <c r="I143" s="1659">
        <f>E143-E144</f>
        <v>41600</v>
      </c>
      <c r="J143" s="1660"/>
      <c r="K143" s="1661"/>
      <c r="L143" s="1185"/>
      <c r="O143" s="1654" t="s">
        <v>2279</v>
      </c>
    </row>
    <row r="144" spans="1:15" s="1187" customFormat="1" ht="27.95" customHeight="1">
      <c r="A144" s="1669"/>
      <c r="B144" s="1655"/>
      <c r="C144" s="1389"/>
      <c r="D144" s="1657"/>
      <c r="E144" s="1658">
        <f>BS!E72</f>
        <v>0</v>
      </c>
      <c r="F144" s="1658"/>
      <c r="G144" s="1659"/>
      <c r="H144" s="1374"/>
      <c r="I144" s="1379"/>
      <c r="J144" s="1659">
        <f>BS!G72</f>
        <v>34426</v>
      </c>
      <c r="K144" s="1660"/>
      <c r="L144" s="1662"/>
      <c r="O144" s="1655"/>
    </row>
    <row r="145" spans="1:15" s="1187" customFormat="1" ht="27.95" customHeight="1">
      <c r="A145" s="1669" t="s">
        <v>568</v>
      </c>
      <c r="B145" s="1654" t="s">
        <v>2274</v>
      </c>
      <c r="C145" s="1388"/>
      <c r="D145" s="1656" t="s">
        <v>672</v>
      </c>
      <c r="E145" s="1658">
        <f>BS!D73</f>
        <v>0</v>
      </c>
      <c r="F145" s="1658"/>
      <c r="G145" s="1659"/>
      <c r="H145" s="1380"/>
      <c r="I145" s="1659">
        <f>E145-E146</f>
        <v>0</v>
      </c>
      <c r="J145" s="1660"/>
      <c r="K145" s="1661"/>
      <c r="L145" s="1185"/>
      <c r="O145" s="1654" t="s">
        <v>2274</v>
      </c>
    </row>
    <row r="146" spans="1:15" ht="27.95" customHeight="1">
      <c r="A146" s="1669"/>
      <c r="B146" s="1655"/>
      <c r="C146" s="1389"/>
      <c r="D146" s="1657"/>
      <c r="E146" s="1658">
        <f>BS!E73</f>
        <v>0</v>
      </c>
      <c r="F146" s="1658"/>
      <c r="G146" s="1659"/>
      <c r="H146" s="1374"/>
      <c r="I146" s="1379"/>
      <c r="J146" s="1659">
        <f>BS!G73</f>
        <v>0</v>
      </c>
      <c r="K146" s="1660"/>
      <c r="L146" s="1662"/>
      <c r="O146" s="1655"/>
    </row>
    <row r="147" spans="1:15" ht="27.95" customHeight="1">
      <c r="A147" s="1669" t="s">
        <v>571</v>
      </c>
      <c r="B147" s="2438" t="s">
        <v>2280</v>
      </c>
      <c r="C147" s="1399"/>
      <c r="D147" s="1656" t="s">
        <v>674</v>
      </c>
      <c r="E147" s="1658">
        <f>BS!D74</f>
        <v>13355</v>
      </c>
      <c r="F147" s="1658"/>
      <c r="G147" s="1659"/>
      <c r="H147" s="1380"/>
      <c r="I147" s="1659">
        <f>E147-E148</f>
        <v>3625</v>
      </c>
      <c r="J147" s="1660"/>
      <c r="K147" s="1661"/>
      <c r="L147" s="1185"/>
      <c r="O147" s="2438" t="s">
        <v>2280</v>
      </c>
    </row>
    <row r="148" spans="1:15" s="1188" customFormat="1" ht="27.95" customHeight="1">
      <c r="A148" s="1669"/>
      <c r="B148" s="2439"/>
      <c r="C148" s="1400"/>
      <c r="D148" s="1657"/>
      <c r="E148" s="1658">
        <f>BS!E74</f>
        <v>9730</v>
      </c>
      <c r="F148" s="1658"/>
      <c r="G148" s="1659"/>
      <c r="H148" s="1374"/>
      <c r="I148" s="1379"/>
      <c r="J148" s="1659">
        <f>BS!G74</f>
        <v>11370</v>
      </c>
      <c r="K148" s="1660"/>
      <c r="L148" s="1662"/>
      <c r="O148" s="2439"/>
    </row>
    <row r="149" spans="1:15" s="1181" customFormat="1" ht="27.95" customHeight="1">
      <c r="A149" s="1681" t="s">
        <v>649</v>
      </c>
      <c r="B149" s="1667" t="s">
        <v>2696</v>
      </c>
      <c r="C149" s="1391"/>
      <c r="D149" s="1624" t="s">
        <v>681</v>
      </c>
      <c r="E149" s="1626">
        <f>BS!D75</f>
        <v>0</v>
      </c>
      <c r="F149" s="1626"/>
      <c r="G149" s="1627"/>
      <c r="H149" s="1383"/>
      <c r="I149" s="1627">
        <f>E149-E150</f>
        <v>0</v>
      </c>
      <c r="J149" s="1628"/>
      <c r="K149" s="1629"/>
      <c r="L149" s="1182"/>
      <c r="O149" s="1667" t="s">
        <v>2281</v>
      </c>
    </row>
    <row r="150" spans="1:15" s="1181" customFormat="1" ht="27.95" customHeight="1">
      <c r="A150" s="1681"/>
      <c r="B150" s="1668"/>
      <c r="C150" s="1392"/>
      <c r="D150" s="1625"/>
      <c r="E150" s="1626">
        <f>BS!E75</f>
        <v>0</v>
      </c>
      <c r="F150" s="1626"/>
      <c r="G150" s="1627"/>
      <c r="H150" s="1384"/>
      <c r="I150" s="1382"/>
      <c r="J150" s="1627">
        <f>BS!G75</f>
        <v>0</v>
      </c>
      <c r="K150" s="1628"/>
      <c r="L150" s="1630"/>
      <c r="O150" s="1668"/>
    </row>
    <row r="151" spans="1:15" s="1181" customFormat="1" ht="27.95" customHeight="1">
      <c r="A151" s="1669" t="s">
        <v>652</v>
      </c>
      <c r="B151" s="1654" t="s">
        <v>2697</v>
      </c>
      <c r="C151" s="1388"/>
      <c r="D151" s="1656" t="s">
        <v>683</v>
      </c>
      <c r="E151" s="1658">
        <f>BS!D76</f>
        <v>0</v>
      </c>
      <c r="F151" s="1658"/>
      <c r="G151" s="1659"/>
      <c r="H151" s="1380"/>
      <c r="I151" s="1659">
        <f>E151-E152</f>
        <v>0</v>
      </c>
      <c r="J151" s="1660"/>
      <c r="K151" s="1661"/>
      <c r="L151" s="1185"/>
      <c r="O151" s="1654" t="s">
        <v>2663</v>
      </c>
    </row>
    <row r="152" spans="1:15" ht="27.95" customHeight="1">
      <c r="A152" s="1669"/>
      <c r="B152" s="1655"/>
      <c r="C152" s="1389"/>
      <c r="D152" s="1657"/>
      <c r="E152" s="1658">
        <f>BS!E76</f>
        <v>0</v>
      </c>
      <c r="F152" s="1658"/>
      <c r="G152" s="1659"/>
      <c r="H152" s="1374"/>
      <c r="I152" s="1379"/>
      <c r="J152" s="1659">
        <f>BS!G76</f>
        <v>0</v>
      </c>
      <c r="K152" s="1660"/>
      <c r="L152" s="1662"/>
      <c r="O152" s="1655"/>
    </row>
    <row r="153" spans="1:15" ht="27.95" customHeight="1">
      <c r="A153" s="1669" t="s">
        <v>532</v>
      </c>
      <c r="B153" s="1654" t="s">
        <v>2698</v>
      </c>
      <c r="C153" s="1388"/>
      <c r="D153" s="1656" t="s">
        <v>685</v>
      </c>
      <c r="E153" s="1658">
        <f>BS!D77</f>
        <v>0</v>
      </c>
      <c r="F153" s="1658"/>
      <c r="G153" s="1659"/>
      <c r="H153" s="1380"/>
      <c r="I153" s="1659">
        <f>E153-E154</f>
        <v>0</v>
      </c>
      <c r="J153" s="1660"/>
      <c r="K153" s="1661"/>
      <c r="L153" s="1185"/>
      <c r="O153" s="1654" t="s">
        <v>2664</v>
      </c>
    </row>
    <row r="154" spans="1:15" ht="27.95" customHeight="1">
      <c r="A154" s="1669"/>
      <c r="B154" s="1655"/>
      <c r="C154" s="1389"/>
      <c r="D154" s="1657"/>
      <c r="E154" s="1658">
        <f>BS!E78</f>
        <v>0</v>
      </c>
      <c r="F154" s="1658"/>
      <c r="G154" s="1659"/>
      <c r="H154" s="1374"/>
      <c r="I154" s="1379"/>
      <c r="J154" s="1659">
        <f>BS!G77</f>
        <v>0</v>
      </c>
      <c r="K154" s="1660"/>
      <c r="L154" s="1662"/>
      <c r="O154" s="1655"/>
    </row>
    <row r="155" spans="1:15" ht="27.95" customHeight="1">
      <c r="A155" s="1669" t="s">
        <v>535</v>
      </c>
      <c r="B155" s="1654" t="s">
        <v>2282</v>
      </c>
      <c r="C155" s="1388"/>
      <c r="D155" s="1656" t="s">
        <v>687</v>
      </c>
      <c r="E155" s="1658">
        <f>BS!D78</f>
        <v>0</v>
      </c>
      <c r="F155" s="1658"/>
      <c r="G155" s="1659"/>
      <c r="H155" s="1380"/>
      <c r="I155" s="1659">
        <f>E155-E156</f>
        <v>0</v>
      </c>
      <c r="J155" s="1660"/>
      <c r="K155" s="1661"/>
      <c r="L155" s="1185"/>
      <c r="O155" s="1654" t="s">
        <v>2282</v>
      </c>
    </row>
    <row r="156" spans="1:15" ht="27.95" customHeight="1">
      <c r="A156" s="1669"/>
      <c r="B156" s="1655"/>
      <c r="C156" s="1389"/>
      <c r="D156" s="1657"/>
      <c r="E156" s="1658">
        <f>BS!E78</f>
        <v>0</v>
      </c>
      <c r="F156" s="1658"/>
      <c r="G156" s="1659"/>
      <c r="H156" s="1374"/>
      <c r="I156" s="1379"/>
      <c r="J156" s="1659">
        <f>BS!G78</f>
        <v>0</v>
      </c>
      <c r="K156" s="1660"/>
      <c r="L156" s="1662"/>
      <c r="O156" s="1655"/>
    </row>
    <row r="157" spans="1:15" ht="27.95" customHeight="1">
      <c r="A157" s="1669" t="s">
        <v>538</v>
      </c>
      <c r="B157" s="1654" t="s">
        <v>2283</v>
      </c>
      <c r="C157" s="1388"/>
      <c r="D157" s="1656" t="s">
        <v>689</v>
      </c>
      <c r="E157" s="1658">
        <f>BS!D79</f>
        <v>0</v>
      </c>
      <c r="F157" s="1658"/>
      <c r="G157" s="1659"/>
      <c r="H157" s="1380"/>
      <c r="I157" s="1659">
        <f>E157-E158</f>
        <v>0</v>
      </c>
      <c r="J157" s="1660"/>
      <c r="K157" s="1661"/>
      <c r="L157" s="1185"/>
      <c r="O157" s="1654" t="s">
        <v>2283</v>
      </c>
    </row>
    <row r="158" spans="1:15" ht="27.95" customHeight="1" thickBot="1">
      <c r="A158" s="1670"/>
      <c r="B158" s="1671"/>
      <c r="C158" s="1397"/>
      <c r="D158" s="1672"/>
      <c r="E158" s="1673">
        <f>BS!E79</f>
        <v>0</v>
      </c>
      <c r="F158" s="1673"/>
      <c r="G158" s="1674"/>
      <c r="H158" s="1373"/>
      <c r="I158" s="1381"/>
      <c r="J158" s="1674">
        <f>BS!G79</f>
        <v>0</v>
      </c>
      <c r="K158" s="1675"/>
      <c r="L158" s="1676"/>
      <c r="O158" s="1671"/>
    </row>
    <row r="159" spans="1:15" ht="11.25" customHeight="1">
      <c r="A159" s="1631" t="s">
        <v>1447</v>
      </c>
      <c r="B159" s="1633" t="s">
        <v>1448</v>
      </c>
      <c r="C159" s="2421"/>
      <c r="D159" s="2423" t="s">
        <v>1449</v>
      </c>
      <c r="E159" s="1638" t="s">
        <v>1450</v>
      </c>
      <c r="F159" s="1639"/>
      <c r="G159" s="1639"/>
      <c r="H159" s="1639"/>
      <c r="I159" s="1639"/>
      <c r="J159" s="1640"/>
      <c r="K159" s="1641" t="s">
        <v>1451</v>
      </c>
      <c r="L159" s="1642"/>
      <c r="O159" s="1633" t="s">
        <v>1448</v>
      </c>
    </row>
    <row r="160" spans="1:15" ht="11.25" customHeight="1">
      <c r="A160" s="1632"/>
      <c r="B160" s="1634"/>
      <c r="C160" s="2422"/>
      <c r="D160" s="2424"/>
      <c r="E160" s="1645">
        <v>1</v>
      </c>
      <c r="F160" s="1634" t="s">
        <v>1452</v>
      </c>
      <c r="G160" s="1620"/>
      <c r="H160" s="1408"/>
      <c r="I160" s="1691" t="s">
        <v>1453</v>
      </c>
      <c r="J160" s="1647"/>
      <c r="K160" s="1643"/>
      <c r="L160" s="1644"/>
      <c r="O160" s="1634"/>
    </row>
    <row r="161" spans="1:15" ht="12" customHeight="1">
      <c r="A161" s="1632"/>
      <c r="B161" s="1634"/>
      <c r="C161" s="2422"/>
      <c r="D161" s="2424"/>
      <c r="E161" s="1645"/>
      <c r="F161" s="1634" t="s">
        <v>1454</v>
      </c>
      <c r="G161" s="1620"/>
      <c r="H161" s="1408"/>
      <c r="I161" s="1646"/>
      <c r="J161" s="1647"/>
      <c r="K161" s="1620" t="s">
        <v>1455</v>
      </c>
      <c r="L161" s="1621"/>
      <c r="O161" s="1634"/>
    </row>
    <row r="162" spans="1:15" ht="27.95" customHeight="1">
      <c r="A162" s="1681" t="s">
        <v>787</v>
      </c>
      <c r="B162" s="1667" t="s">
        <v>2699</v>
      </c>
      <c r="C162" s="1391"/>
      <c r="D162" s="1624" t="s">
        <v>691</v>
      </c>
      <c r="E162" s="1626">
        <f>BS!D80</f>
        <v>299913</v>
      </c>
      <c r="F162" s="1626"/>
      <c r="G162" s="1627"/>
      <c r="H162" s="1383"/>
      <c r="I162" s="1627">
        <f>E162-E163</f>
        <v>299913</v>
      </c>
      <c r="J162" s="1628"/>
      <c r="K162" s="1629"/>
      <c r="L162" s="1182"/>
      <c r="O162" s="1667" t="s">
        <v>2284</v>
      </c>
    </row>
    <row r="163" spans="1:15" ht="27.95" customHeight="1">
      <c r="A163" s="1681"/>
      <c r="B163" s="2440"/>
      <c r="C163" s="1392"/>
      <c r="D163" s="1625"/>
      <c r="E163" s="1710">
        <f>BS!E80</f>
        <v>0</v>
      </c>
      <c r="F163" s="1710"/>
      <c r="G163" s="1711"/>
      <c r="H163" s="1258"/>
      <c r="I163" s="1395"/>
      <c r="J163" s="1627">
        <f>BS!G80</f>
        <v>768310</v>
      </c>
      <c r="K163" s="1628"/>
      <c r="L163" s="1630"/>
      <c r="O163" s="2440"/>
    </row>
    <row r="164" spans="1:15" ht="27.95" customHeight="1">
      <c r="A164" s="1669" t="s">
        <v>790</v>
      </c>
      <c r="B164" s="1654" t="s">
        <v>653</v>
      </c>
      <c r="C164" s="1388"/>
      <c r="D164" s="1656" t="s">
        <v>693</v>
      </c>
      <c r="E164" s="1658">
        <f>BS!D81</f>
        <v>1088</v>
      </c>
      <c r="F164" s="1658"/>
      <c r="G164" s="1659"/>
      <c r="H164" s="1380"/>
      <c r="I164" s="1659">
        <f>E164-E165</f>
        <v>1088</v>
      </c>
      <c r="J164" s="1708"/>
      <c r="K164" s="1709"/>
      <c r="L164" s="1185"/>
      <c r="O164" s="1654" t="s">
        <v>653</v>
      </c>
    </row>
    <row r="165" spans="1:15" s="1187" customFormat="1" ht="27.95" customHeight="1">
      <c r="A165" s="1669"/>
      <c r="B165" s="1655"/>
      <c r="C165" s="1389"/>
      <c r="D165" s="1657"/>
      <c r="E165" s="1658">
        <f>BS!E81</f>
        <v>0</v>
      </c>
      <c r="F165" s="1658"/>
      <c r="G165" s="1659"/>
      <c r="H165" s="1374"/>
      <c r="I165" s="1379"/>
      <c r="J165" s="1659">
        <f>BS!G81</f>
        <v>961</v>
      </c>
      <c r="K165" s="1660"/>
      <c r="L165" s="1662"/>
      <c r="O165" s="1655"/>
    </row>
    <row r="166" spans="1:15" s="1187" customFormat="1" ht="27.95" customHeight="1">
      <c r="A166" s="1669" t="s">
        <v>532</v>
      </c>
      <c r="B166" s="1654" t="s">
        <v>655</v>
      </c>
      <c r="C166" s="1388"/>
      <c r="D166" s="1656" t="s">
        <v>695</v>
      </c>
      <c r="E166" s="1658">
        <f>BS!D82</f>
        <v>298825</v>
      </c>
      <c r="F166" s="1658"/>
      <c r="G166" s="1659"/>
      <c r="H166" s="1380"/>
      <c r="I166" s="1659">
        <f>E166-E167</f>
        <v>298825</v>
      </c>
      <c r="J166" s="1660"/>
      <c r="K166" s="1661"/>
      <c r="L166" s="1185"/>
      <c r="O166" s="1654" t="s">
        <v>655</v>
      </c>
    </row>
    <row r="167" spans="1:15" ht="27.95" customHeight="1">
      <c r="A167" s="1669"/>
      <c r="B167" s="1655"/>
      <c r="C167" s="1389"/>
      <c r="D167" s="1657"/>
      <c r="E167" s="1658">
        <f>BS!E82</f>
        <v>0</v>
      </c>
      <c r="F167" s="1658"/>
      <c r="G167" s="1659"/>
      <c r="H167" s="1374"/>
      <c r="I167" s="1379"/>
      <c r="J167" s="1659">
        <f>BS!G82</f>
        <v>767349</v>
      </c>
      <c r="K167" s="1660"/>
      <c r="L167" s="1662"/>
      <c r="O167" s="1655"/>
    </row>
    <row r="168" spans="1:15" ht="27.95" customHeight="1">
      <c r="A168" s="1681" t="s">
        <v>663</v>
      </c>
      <c r="B168" s="1667" t="s">
        <v>2700</v>
      </c>
      <c r="C168" s="1391"/>
      <c r="D168" s="1624" t="s">
        <v>697</v>
      </c>
      <c r="E168" s="1626">
        <f>BS!D83</f>
        <v>6058</v>
      </c>
      <c r="F168" s="1626"/>
      <c r="G168" s="1627"/>
      <c r="H168" s="1383"/>
      <c r="I168" s="1627">
        <f>E168-E169</f>
        <v>6058</v>
      </c>
      <c r="J168" s="1628"/>
      <c r="K168" s="1629"/>
      <c r="L168" s="1182"/>
      <c r="O168" s="1667" t="s">
        <v>2285</v>
      </c>
    </row>
    <row r="169" spans="1:15" s="1188" customFormat="1" ht="27.95" customHeight="1">
      <c r="A169" s="1681"/>
      <c r="B169" s="1668"/>
      <c r="C169" s="1392"/>
      <c r="D169" s="1625"/>
      <c r="E169" s="1626">
        <f>BS!E83</f>
        <v>0</v>
      </c>
      <c r="F169" s="1626"/>
      <c r="G169" s="1627"/>
      <c r="H169" s="1384"/>
      <c r="I169" s="1382"/>
      <c r="J169" s="1627">
        <f>BS!G83</f>
        <v>4637</v>
      </c>
      <c r="K169" s="1628"/>
      <c r="L169" s="1630"/>
      <c r="O169" s="1668"/>
    </row>
    <row r="170" spans="1:15" ht="27.95" customHeight="1">
      <c r="A170" s="1669" t="s">
        <v>666</v>
      </c>
      <c r="B170" s="1654" t="s">
        <v>667</v>
      </c>
      <c r="C170" s="1388"/>
      <c r="D170" s="1656" t="s">
        <v>699</v>
      </c>
      <c r="E170" s="1658">
        <f>BS!D84</f>
        <v>0</v>
      </c>
      <c r="F170" s="1658"/>
      <c r="G170" s="1659"/>
      <c r="H170" s="1380"/>
      <c r="I170" s="1659">
        <f>E170-E171</f>
        <v>0</v>
      </c>
      <c r="J170" s="1660"/>
      <c r="K170" s="1661"/>
      <c r="L170" s="1185"/>
      <c r="O170" s="1654" t="s">
        <v>667</v>
      </c>
    </row>
    <row r="171" spans="1:15" s="1187" customFormat="1" ht="27.95" customHeight="1">
      <c r="A171" s="1669"/>
      <c r="B171" s="1655"/>
      <c r="C171" s="1389"/>
      <c r="D171" s="1657"/>
      <c r="E171" s="1658">
        <f>BS!E84</f>
        <v>0</v>
      </c>
      <c r="F171" s="1658"/>
      <c r="G171" s="1659"/>
      <c r="H171" s="1374"/>
      <c r="I171" s="1379"/>
      <c r="J171" s="1659">
        <f>BS!G84</f>
        <v>0</v>
      </c>
      <c r="K171" s="1660"/>
      <c r="L171" s="1662"/>
      <c r="O171" s="1655"/>
    </row>
    <row r="172" spans="1:15" s="1187" customFormat="1" ht="27.95" customHeight="1">
      <c r="A172" s="1669" t="s">
        <v>532</v>
      </c>
      <c r="B172" s="1654" t="s">
        <v>669</v>
      </c>
      <c r="C172" s="1388"/>
      <c r="D172" s="1656" t="s">
        <v>701</v>
      </c>
      <c r="E172" s="1658">
        <f>BS!D85</f>
        <v>6058</v>
      </c>
      <c r="F172" s="1658"/>
      <c r="G172" s="1659"/>
      <c r="H172" s="1380"/>
      <c r="I172" s="1659">
        <f>E172-E173</f>
        <v>6058</v>
      </c>
      <c r="J172" s="1660"/>
      <c r="K172" s="1661"/>
      <c r="L172" s="1185"/>
      <c r="O172" s="1654" t="s">
        <v>669</v>
      </c>
    </row>
    <row r="173" spans="1:15" ht="27.95" customHeight="1">
      <c r="A173" s="1669"/>
      <c r="B173" s="1655"/>
      <c r="C173" s="1389"/>
      <c r="D173" s="1657"/>
      <c r="E173" s="1658">
        <f>BS!E85</f>
        <v>0</v>
      </c>
      <c r="F173" s="1658"/>
      <c r="G173" s="1659"/>
      <c r="H173" s="1374"/>
      <c r="I173" s="1379"/>
      <c r="J173" s="1659">
        <f>BS!G85</f>
        <v>4637</v>
      </c>
      <c r="K173" s="1660"/>
      <c r="L173" s="1662"/>
      <c r="O173" s="1655"/>
    </row>
    <row r="174" spans="1:15" ht="27.95" customHeight="1">
      <c r="A174" s="1669" t="s">
        <v>535</v>
      </c>
      <c r="B174" s="1654" t="s">
        <v>671</v>
      </c>
      <c r="C174" s="1388"/>
      <c r="D174" s="1656" t="s">
        <v>703</v>
      </c>
      <c r="E174" s="1658">
        <f>BS!D86</f>
        <v>0</v>
      </c>
      <c r="F174" s="1658"/>
      <c r="G174" s="1659"/>
      <c r="H174" s="1380"/>
      <c r="I174" s="1659">
        <f>E174-E175</f>
        <v>0</v>
      </c>
      <c r="J174" s="1660"/>
      <c r="K174" s="1661"/>
      <c r="L174" s="1185"/>
      <c r="O174" s="1654" t="s">
        <v>671</v>
      </c>
    </row>
    <row r="175" spans="1:15" s="1188" customFormat="1" ht="27.95" customHeight="1">
      <c r="A175" s="1669"/>
      <c r="B175" s="1655"/>
      <c r="C175" s="1389"/>
      <c r="D175" s="1657"/>
      <c r="E175" s="1658">
        <f>BS!E86</f>
        <v>0</v>
      </c>
      <c r="F175" s="1658"/>
      <c r="G175" s="1659"/>
      <c r="H175" s="1374"/>
      <c r="I175" s="1379"/>
      <c r="J175" s="1659">
        <f>BS!G86</f>
        <v>0</v>
      </c>
      <c r="K175" s="1660"/>
      <c r="L175" s="1662"/>
      <c r="O175" s="1655"/>
    </row>
    <row r="176" spans="1:15" ht="27.95" customHeight="1">
      <c r="A176" s="1669" t="s">
        <v>538</v>
      </c>
      <c r="B176" s="1654" t="s">
        <v>673</v>
      </c>
      <c r="C176" s="1388"/>
      <c r="D176" s="1656" t="s">
        <v>705</v>
      </c>
      <c r="E176" s="1658">
        <f>BS!D87</f>
        <v>0</v>
      </c>
      <c r="F176" s="1658"/>
      <c r="G176" s="1659"/>
      <c r="H176" s="1380"/>
      <c r="I176" s="1659">
        <f>E176-E177</f>
        <v>0</v>
      </c>
      <c r="J176" s="1660"/>
      <c r="K176" s="1661"/>
      <c r="L176" s="1185"/>
      <c r="O176" s="1654" t="s">
        <v>673</v>
      </c>
    </row>
    <row r="177" spans="1:25" s="1187" customFormat="1" ht="27.95" customHeight="1">
      <c r="A177" s="1669"/>
      <c r="B177" s="1655"/>
      <c r="C177" s="1222"/>
      <c r="D177" s="1657"/>
      <c r="E177" s="1658">
        <f>BS!E87</f>
        <v>0</v>
      </c>
      <c r="F177" s="1658"/>
      <c r="G177" s="1659"/>
      <c r="H177" s="1374"/>
      <c r="I177" s="1379"/>
      <c r="J177" s="1659">
        <f>BS!G87</f>
        <v>0</v>
      </c>
      <c r="K177" s="1660"/>
      <c r="L177" s="1662"/>
      <c r="O177" s="1655"/>
    </row>
    <row r="178" spans="1:25" s="1187" customFormat="1" ht="2.25" customHeight="1">
      <c r="A178" s="1252"/>
      <c r="B178" s="1222"/>
      <c r="C178" s="1222"/>
      <c r="D178" s="1259"/>
      <c r="E178" s="1394"/>
      <c r="F178" s="1380"/>
      <c r="G178" s="1394"/>
      <c r="H178" s="1380"/>
      <c r="I178" s="1394"/>
      <c r="J178" s="1394"/>
      <c r="K178" s="1394"/>
      <c r="L178" s="1375"/>
      <c r="O178" s="1222"/>
    </row>
    <row r="179" spans="1:25" s="1188" customFormat="1" ht="30" customHeight="1">
      <c r="A179" s="1194" t="s">
        <v>1447</v>
      </c>
      <c r="B179" s="1643" t="s">
        <v>1511</v>
      </c>
      <c r="C179" s="1704"/>
      <c r="D179" s="1704"/>
      <c r="E179" s="1704"/>
      <c r="F179" s="1705"/>
      <c r="G179" s="1206" t="s">
        <v>1449</v>
      </c>
      <c r="H179" s="1260"/>
      <c r="I179" s="1620" t="s">
        <v>1512</v>
      </c>
      <c r="J179" s="2441"/>
      <c r="K179" s="1620" t="s">
        <v>1513</v>
      </c>
      <c r="L179" s="1621"/>
    </row>
    <row r="180" spans="1:25" s="1188" customFormat="1" ht="27.75" customHeight="1">
      <c r="A180" s="1195"/>
      <c r="B180" s="1623" t="str">
        <f>V180</f>
        <v>SHAREHOLDERS' EQUITY AND LIABILITIES TOTAL l. 080 + l. 101 + l. 141</v>
      </c>
      <c r="C180" s="1623"/>
      <c r="D180" s="1716"/>
      <c r="E180" s="1716"/>
      <c r="F180" s="1716"/>
      <c r="G180" s="1207" t="s">
        <v>707</v>
      </c>
      <c r="H180" s="1261"/>
      <c r="I180" s="1627">
        <f>BS!D94</f>
        <v>4805868</v>
      </c>
      <c r="J180" s="1629"/>
      <c r="K180" s="1627">
        <f>BS!E94</f>
        <v>4632339</v>
      </c>
      <c r="L180" s="1630"/>
      <c r="Q180" s="1712"/>
      <c r="R180" s="1713"/>
      <c r="S180" s="2442"/>
      <c r="T180" s="2442"/>
      <c r="U180" s="2443"/>
      <c r="V180" s="2448" t="s">
        <v>2287</v>
      </c>
      <c r="W180" s="2449"/>
      <c r="X180" s="2449"/>
      <c r="Y180" s="2449"/>
    </row>
    <row r="181" spans="1:25" s="1188" customFormat="1" ht="27.75" customHeight="1">
      <c r="A181" s="1195" t="s">
        <v>523</v>
      </c>
      <c r="B181" s="1712" t="str">
        <f t="shared" ref="B181:B190" si="0">V181</f>
        <v>Shareholders' equity l. 081+ l. 085+ l. 086 + l. 087+ l. 090 + l. 093 + l. 097 +  l. 100</v>
      </c>
      <c r="C181" s="1713"/>
      <c r="D181" s="1713"/>
      <c r="E181" s="1713"/>
      <c r="F181" s="1714"/>
      <c r="G181" s="1208" t="s">
        <v>709</v>
      </c>
      <c r="H181" s="1250"/>
      <c r="I181" s="1627">
        <f>BS!D95</f>
        <v>3192339</v>
      </c>
      <c r="J181" s="1629"/>
      <c r="K181" s="1627">
        <f>BS!E95</f>
        <v>3147399</v>
      </c>
      <c r="L181" s="1630"/>
      <c r="Q181" s="1712"/>
      <c r="R181" s="1713"/>
      <c r="S181" s="1713"/>
      <c r="T181" s="1713"/>
      <c r="U181" s="1714"/>
      <c r="V181" s="2448" t="s">
        <v>2701</v>
      </c>
      <c r="W181" s="2449"/>
      <c r="X181" s="2449"/>
      <c r="Y181" s="2449"/>
    </row>
    <row r="182" spans="1:25" ht="27.75" customHeight="1">
      <c r="A182" s="1195" t="s">
        <v>526</v>
      </c>
      <c r="B182" s="1712" t="str">
        <f t="shared" si="0"/>
        <v>Registered capital total (l. 082 to l. 084)</v>
      </c>
      <c r="C182" s="1713"/>
      <c r="D182" s="1713"/>
      <c r="E182" s="1713"/>
      <c r="F182" s="1714"/>
      <c r="G182" s="1208" t="s">
        <v>711</v>
      </c>
      <c r="H182" s="1250"/>
      <c r="I182" s="1627">
        <f>BS!D96</f>
        <v>2506390</v>
      </c>
      <c r="J182" s="1629"/>
      <c r="K182" s="1627">
        <f>BS!E96</f>
        <v>2506390</v>
      </c>
      <c r="L182" s="1630"/>
      <c r="Q182" s="1712"/>
      <c r="R182" s="1713"/>
      <c r="S182" s="1713"/>
      <c r="T182" s="1713"/>
      <c r="U182" s="1714"/>
      <c r="V182" s="2448" t="s">
        <v>2702</v>
      </c>
      <c r="W182" s="2449"/>
      <c r="X182" s="2449"/>
      <c r="Y182" s="2449"/>
    </row>
    <row r="183" spans="1:25" s="1187" customFormat="1" ht="27.75" customHeight="1">
      <c r="A183" s="1197" t="s">
        <v>529</v>
      </c>
      <c r="B183" s="1717" t="str">
        <f t="shared" si="0"/>
        <v>Share capital (411 alebo +/- 491)</v>
      </c>
      <c r="C183" s="1718"/>
      <c r="D183" s="1718"/>
      <c r="E183" s="1718"/>
      <c r="F183" s="1719"/>
      <c r="G183" s="1209" t="s">
        <v>713</v>
      </c>
      <c r="H183" s="1251"/>
      <c r="I183" s="1659">
        <f>BS!D97</f>
        <v>2506390</v>
      </c>
      <c r="J183" s="1661"/>
      <c r="K183" s="1659">
        <f>BS!E97</f>
        <v>2506390</v>
      </c>
      <c r="L183" s="1662"/>
      <c r="Q183" s="1717"/>
      <c r="R183" s="1718"/>
      <c r="S183" s="1718"/>
      <c r="T183" s="1718"/>
      <c r="U183" s="1719"/>
      <c r="V183" s="2448" t="s">
        <v>686</v>
      </c>
      <c r="W183" s="2449"/>
      <c r="X183" s="2449"/>
      <c r="Y183" s="2449"/>
    </row>
    <row r="184" spans="1:25" s="1187" customFormat="1" ht="27.75" customHeight="1">
      <c r="A184" s="1195" t="s">
        <v>532</v>
      </c>
      <c r="B184" s="1717" t="str">
        <f t="shared" si="0"/>
        <v>Change in share capital +/- 419</v>
      </c>
      <c r="C184" s="1718"/>
      <c r="D184" s="1718"/>
      <c r="E184" s="1718"/>
      <c r="F184" s="1719"/>
      <c r="G184" s="1209" t="s">
        <v>715</v>
      </c>
      <c r="H184" s="1251"/>
      <c r="I184" s="1659">
        <f>BS!D98</f>
        <v>0</v>
      </c>
      <c r="J184" s="1661"/>
      <c r="K184" s="1659">
        <f>BS!E98</f>
        <v>0</v>
      </c>
      <c r="L184" s="1662"/>
      <c r="Q184" s="1717"/>
      <c r="R184" s="1718"/>
      <c r="S184" s="1718"/>
      <c r="T184" s="1718"/>
      <c r="U184" s="1719"/>
      <c r="V184" s="2448" t="s">
        <v>690</v>
      </c>
      <c r="W184" s="2449"/>
      <c r="X184" s="2449"/>
      <c r="Y184" s="2449"/>
    </row>
    <row r="185" spans="1:25" s="1187" customFormat="1" ht="27.75" customHeight="1">
      <c r="A185" s="1195" t="s">
        <v>535</v>
      </c>
      <c r="B185" s="1717" t="str">
        <f t="shared" si="0"/>
        <v>Receivables for subscribed share capital (/-/353)</v>
      </c>
      <c r="C185" s="1718"/>
      <c r="D185" s="1718"/>
      <c r="E185" s="1718"/>
      <c r="F185" s="1719"/>
      <c r="G185" s="1209" t="s">
        <v>718</v>
      </c>
      <c r="H185" s="1251"/>
      <c r="I185" s="1659">
        <f>BS!D99</f>
        <v>0</v>
      </c>
      <c r="J185" s="1661"/>
      <c r="K185" s="1659">
        <f>BS!E99</f>
        <v>0</v>
      </c>
      <c r="L185" s="1662"/>
      <c r="Q185" s="1717"/>
      <c r="R185" s="1718"/>
      <c r="S185" s="1718"/>
      <c r="T185" s="1718"/>
      <c r="U185" s="1719"/>
      <c r="V185" s="2448" t="s">
        <v>692</v>
      </c>
      <c r="W185" s="2449"/>
      <c r="X185" s="2449"/>
      <c r="Y185" s="2449"/>
    </row>
    <row r="186" spans="1:25" ht="27.75" customHeight="1">
      <c r="A186" s="1195" t="s">
        <v>550</v>
      </c>
      <c r="B186" s="1712" t="str">
        <f t="shared" si="0"/>
        <v>Share premium (412)</v>
      </c>
      <c r="C186" s="1713"/>
      <c r="D186" s="1713"/>
      <c r="E186" s="1713"/>
      <c r="F186" s="1714"/>
      <c r="G186" s="1208" t="s">
        <v>721</v>
      </c>
      <c r="H186" s="1250"/>
      <c r="I186" s="1627">
        <f>BS!D100</f>
        <v>0</v>
      </c>
      <c r="J186" s="1629"/>
      <c r="K186" s="1627">
        <f>BS!E100</f>
        <v>0</v>
      </c>
      <c r="L186" s="1630"/>
      <c r="Q186" s="1712"/>
      <c r="R186" s="1713"/>
      <c r="S186" s="1713"/>
      <c r="T186" s="1713"/>
      <c r="U186" s="1714"/>
      <c r="V186" s="2448" t="s">
        <v>696</v>
      </c>
      <c r="W186" s="2449"/>
      <c r="X186" s="2449"/>
      <c r="Y186" s="2449"/>
    </row>
    <row r="187" spans="1:25" ht="27.75" customHeight="1">
      <c r="A187" s="1195" t="s">
        <v>574</v>
      </c>
      <c r="B187" s="1712" t="str">
        <f t="shared" si="0"/>
        <v>Other capital funds (413)</v>
      </c>
      <c r="C187" s="1713"/>
      <c r="D187" s="1713"/>
      <c r="E187" s="1713"/>
      <c r="F187" s="1714"/>
      <c r="G187" s="1208" t="s">
        <v>723</v>
      </c>
      <c r="H187" s="1250"/>
      <c r="I187" s="1627">
        <f>BS!D101</f>
        <v>0</v>
      </c>
      <c r="J187" s="1629"/>
      <c r="K187" s="1627">
        <f>BS!E101</f>
        <v>0</v>
      </c>
      <c r="L187" s="1630"/>
      <c r="Q187" s="1712"/>
      <c r="R187" s="1713"/>
      <c r="S187" s="1713"/>
      <c r="T187" s="1713"/>
      <c r="U187" s="1714"/>
      <c r="V187" s="2448" t="s">
        <v>698</v>
      </c>
      <c r="W187" s="2449"/>
      <c r="X187" s="2449"/>
      <c r="Y187" s="2449"/>
    </row>
    <row r="188" spans="1:25" ht="27.75" customHeight="1">
      <c r="A188" s="1195" t="s">
        <v>716</v>
      </c>
      <c r="B188" s="1712" t="str">
        <f t="shared" si="0"/>
        <v>Legal reserve funds l. 088 + l. 089</v>
      </c>
      <c r="C188" s="1713"/>
      <c r="D188" s="1713"/>
      <c r="E188" s="1713"/>
      <c r="F188" s="1714"/>
      <c r="G188" s="1208" t="s">
        <v>726</v>
      </c>
      <c r="H188" s="1250"/>
      <c r="I188" s="1627">
        <f>BS!D102</f>
        <v>107571</v>
      </c>
      <c r="J188" s="1629"/>
      <c r="K188" s="1627">
        <f>BS!E102</f>
        <v>87866</v>
      </c>
      <c r="L188" s="1630"/>
      <c r="Q188" s="1712"/>
      <c r="R188" s="1713"/>
      <c r="S188" s="1713"/>
      <c r="T188" s="1713"/>
      <c r="U188" s="1714"/>
      <c r="V188" s="2448" t="s">
        <v>2290</v>
      </c>
      <c r="W188" s="2449"/>
      <c r="X188" s="2449"/>
      <c r="Y188" s="2449"/>
    </row>
    <row r="189" spans="1:25" ht="27.75" customHeight="1">
      <c r="A189" s="1197" t="s">
        <v>719</v>
      </c>
      <c r="B189" s="1717" t="str">
        <f t="shared" si="0"/>
        <v>Legal reserve fund  and non-distributable fund (417A, 418, 421A, 422)</v>
      </c>
      <c r="C189" s="1718"/>
      <c r="D189" s="1718"/>
      <c r="E189" s="1718"/>
      <c r="F189" s="1719"/>
      <c r="G189" s="1209" t="s">
        <v>728</v>
      </c>
      <c r="H189" s="1251"/>
      <c r="I189" s="1659">
        <f>BS!D103</f>
        <v>107571</v>
      </c>
      <c r="J189" s="1661"/>
      <c r="K189" s="1659">
        <f>BS!E103</f>
        <v>87866</v>
      </c>
      <c r="L189" s="1662"/>
      <c r="Q189" s="1717"/>
      <c r="R189" s="1718"/>
      <c r="S189" s="1718"/>
      <c r="T189" s="1718"/>
      <c r="U189" s="1719"/>
      <c r="V189" s="2448" t="s">
        <v>2291</v>
      </c>
      <c r="W189" s="2449"/>
      <c r="X189" s="2449"/>
      <c r="Y189" s="2449"/>
    </row>
    <row r="190" spans="1:25" s="1187" customFormat="1" ht="27.75" customHeight="1" thickBot="1">
      <c r="A190" s="1364" t="s">
        <v>532</v>
      </c>
      <c r="B190" s="1720" t="str">
        <f t="shared" si="0"/>
        <v>Reserve fund on own shares and interests (417A, 421A)</v>
      </c>
      <c r="C190" s="1721"/>
      <c r="D190" s="1721"/>
      <c r="E190" s="1721"/>
      <c r="F190" s="1722"/>
      <c r="G190" s="1365" t="s">
        <v>730</v>
      </c>
      <c r="H190" s="1366"/>
      <c r="I190" s="1674">
        <f>BS!D104</f>
        <v>0</v>
      </c>
      <c r="J190" s="1723"/>
      <c r="K190" s="1674">
        <f>BS!E104</f>
        <v>0</v>
      </c>
      <c r="L190" s="1676"/>
      <c r="Q190" s="1720"/>
      <c r="R190" s="1721"/>
      <c r="S190" s="1721"/>
      <c r="T190" s="1721"/>
      <c r="U190" s="1722"/>
      <c r="V190" s="2448" t="s">
        <v>2292</v>
      </c>
      <c r="W190" s="2449"/>
      <c r="X190" s="2449"/>
      <c r="Y190" s="2449"/>
    </row>
    <row r="191" spans="1:25" s="1187" customFormat="1" ht="27.75" customHeight="1">
      <c r="A191" s="1361" t="s">
        <v>1447</v>
      </c>
      <c r="B191" s="1638" t="s">
        <v>1511</v>
      </c>
      <c r="C191" s="1639"/>
      <c r="D191" s="1639"/>
      <c r="E191" s="1639"/>
      <c r="F191" s="1640"/>
      <c r="G191" s="1362" t="s">
        <v>1449</v>
      </c>
      <c r="H191" s="1363"/>
      <c r="I191" s="1638" t="s">
        <v>1512</v>
      </c>
      <c r="J191" s="1640"/>
      <c r="K191" s="1638" t="s">
        <v>1513</v>
      </c>
      <c r="L191" s="1715"/>
      <c r="Q191" s="1638" t="s">
        <v>1511</v>
      </c>
      <c r="R191" s="1639"/>
      <c r="S191" s="1639"/>
      <c r="T191" s="1639"/>
      <c r="U191" s="1640"/>
      <c r="V191" s="2448"/>
      <c r="W191" s="2449"/>
      <c r="X191" s="2449"/>
      <c r="Y191" s="2449"/>
    </row>
    <row r="192" spans="1:25" ht="27.75" customHeight="1">
      <c r="A192" s="1195" t="s">
        <v>724</v>
      </c>
      <c r="B192" s="1712" t="str">
        <f>V192</f>
        <v>Funds created from profit total (l. 091 + l. 092)</v>
      </c>
      <c r="C192" s="1713"/>
      <c r="D192" s="1713"/>
      <c r="E192" s="1713"/>
      <c r="F192" s="1714"/>
      <c r="G192" s="1208" t="s">
        <v>732</v>
      </c>
      <c r="H192" s="1250"/>
      <c r="I192" s="1627">
        <f>BS!D105</f>
        <v>0</v>
      </c>
      <c r="J192" s="1629"/>
      <c r="K192" s="1627">
        <f>BS!E105</f>
        <v>0</v>
      </c>
      <c r="L192" s="1630"/>
      <c r="Q192" s="1712"/>
      <c r="R192" s="1713"/>
      <c r="S192" s="1713"/>
      <c r="T192" s="1713"/>
      <c r="U192" s="1714"/>
      <c r="V192" s="2448" t="s">
        <v>2293</v>
      </c>
      <c r="W192" s="2449"/>
      <c r="X192" s="2449"/>
      <c r="Y192" s="2449"/>
    </row>
    <row r="193" spans="1:25" ht="27.75" customHeight="1">
      <c r="A193" s="1197" t="s">
        <v>2294</v>
      </c>
      <c r="B193" s="1717" t="str">
        <f t="shared" ref="B193:B219" si="1">V193</f>
        <v>Statutory funds (423, 42X)</v>
      </c>
      <c r="C193" s="1718"/>
      <c r="D193" s="1718"/>
      <c r="E193" s="1718"/>
      <c r="F193" s="1719"/>
      <c r="G193" s="1209" t="s">
        <v>734</v>
      </c>
      <c r="H193" s="1251"/>
      <c r="I193" s="1659">
        <f>BS!D106</f>
        <v>0</v>
      </c>
      <c r="J193" s="1661"/>
      <c r="K193" s="1659">
        <f>BS!E106</f>
        <v>0</v>
      </c>
      <c r="L193" s="1662"/>
      <c r="Q193" s="1717"/>
      <c r="R193" s="1718"/>
      <c r="S193" s="1718"/>
      <c r="T193" s="1718"/>
      <c r="U193" s="1719"/>
      <c r="V193" s="2448" t="s">
        <v>2295</v>
      </c>
      <c r="W193" s="2449"/>
      <c r="X193" s="2449"/>
      <c r="Y193" s="2449"/>
    </row>
    <row r="194" spans="1:25" ht="27.75" customHeight="1">
      <c r="A194" s="1195" t="s">
        <v>532</v>
      </c>
      <c r="B194" s="1717" t="str">
        <f t="shared" si="1"/>
        <v>Other funds (427, 42X)</v>
      </c>
      <c r="C194" s="1718"/>
      <c r="D194" s="1718"/>
      <c r="E194" s="1718"/>
      <c r="F194" s="1719"/>
      <c r="G194" s="1209" t="s">
        <v>736</v>
      </c>
      <c r="H194" s="1251"/>
      <c r="I194" s="1659">
        <f>BS!D107</f>
        <v>0</v>
      </c>
      <c r="J194" s="1661"/>
      <c r="K194" s="1659">
        <f>BS!E107</f>
        <v>0</v>
      </c>
      <c r="L194" s="1662"/>
      <c r="Q194" s="1717"/>
      <c r="R194" s="1718"/>
      <c r="S194" s="1718"/>
      <c r="T194" s="1718"/>
      <c r="U194" s="1719"/>
      <c r="V194" s="2448" t="s">
        <v>2296</v>
      </c>
      <c r="W194" s="2449"/>
      <c r="X194" s="2449"/>
      <c r="Y194" s="2449"/>
    </row>
    <row r="195" spans="1:25" ht="27.75" customHeight="1">
      <c r="A195" s="1195" t="s">
        <v>2297</v>
      </c>
      <c r="B195" s="1712" t="str">
        <f t="shared" si="1"/>
        <v>Revaluation reserves total (l. 094 to l. 096)</v>
      </c>
      <c r="C195" s="1713"/>
      <c r="D195" s="1713"/>
      <c r="E195" s="1713"/>
      <c r="F195" s="1714"/>
      <c r="G195" s="1208" t="s">
        <v>738</v>
      </c>
      <c r="H195" s="1250"/>
      <c r="I195" s="1627">
        <f>BS!D108</f>
        <v>0</v>
      </c>
      <c r="J195" s="1629"/>
      <c r="K195" s="1627">
        <f>BS!E108</f>
        <v>0</v>
      </c>
      <c r="L195" s="1630"/>
      <c r="Q195" s="1712"/>
      <c r="R195" s="1713"/>
      <c r="S195" s="1713"/>
      <c r="T195" s="1713"/>
      <c r="U195" s="1714"/>
      <c r="V195" s="2448" t="s">
        <v>2298</v>
      </c>
      <c r="W195" s="2449"/>
      <c r="X195" s="2449"/>
      <c r="Y195" s="2449"/>
    </row>
    <row r="196" spans="1:25" ht="27.75" customHeight="1">
      <c r="A196" s="1197" t="s">
        <v>2299</v>
      </c>
      <c r="B196" s="1717" t="str">
        <f t="shared" si="1"/>
        <v>Revaluation reserve from valuation of assets and liabilities (+/- 414)</v>
      </c>
      <c r="C196" s="1718"/>
      <c r="D196" s="1718"/>
      <c r="E196" s="1718"/>
      <c r="F196" s="1719"/>
      <c r="G196" s="1209" t="s">
        <v>740</v>
      </c>
      <c r="H196" s="1251"/>
      <c r="I196" s="1659">
        <f>BS!D109</f>
        <v>0</v>
      </c>
      <c r="J196" s="1661"/>
      <c r="K196" s="1659">
        <f>BS!E109</f>
        <v>0</v>
      </c>
      <c r="L196" s="1662"/>
      <c r="Q196" s="1717"/>
      <c r="R196" s="1718"/>
      <c r="S196" s="1718"/>
      <c r="T196" s="1718"/>
      <c r="U196" s="1719"/>
      <c r="V196" s="2448" t="s">
        <v>2300</v>
      </c>
      <c r="W196" s="2449"/>
      <c r="X196" s="2449"/>
      <c r="Y196" s="2449"/>
    </row>
    <row r="197" spans="1:25" ht="27.75" customHeight="1">
      <c r="A197" s="1197" t="s">
        <v>532</v>
      </c>
      <c r="B197" s="1717" t="str">
        <f t="shared" si="1"/>
        <v>Investments revaluation reserve  (+/- 415)</v>
      </c>
      <c r="C197" s="1718"/>
      <c r="D197" s="1718"/>
      <c r="E197" s="1718"/>
      <c r="F197" s="1719"/>
      <c r="G197" s="1209" t="s">
        <v>742</v>
      </c>
      <c r="H197" s="1251"/>
      <c r="I197" s="1659">
        <f>BS!D110</f>
        <v>0</v>
      </c>
      <c r="J197" s="1661"/>
      <c r="K197" s="1659">
        <f>BS!E110</f>
        <v>0</v>
      </c>
      <c r="L197" s="1662"/>
      <c r="Q197" s="1717"/>
      <c r="R197" s="1718"/>
      <c r="S197" s="1718"/>
      <c r="T197" s="1718"/>
      <c r="U197" s="1719"/>
      <c r="V197" s="2448" t="s">
        <v>704</v>
      </c>
      <c r="W197" s="2449"/>
      <c r="X197" s="2449"/>
      <c r="Y197" s="2449"/>
    </row>
    <row r="198" spans="1:25" s="1187" customFormat="1" ht="27.75" customHeight="1">
      <c r="A198" s="1197" t="s">
        <v>535</v>
      </c>
      <c r="B198" s="1717" t="str">
        <f t="shared" si="1"/>
        <v>Revaluation reserve for mergers and demergers (+/-416)</v>
      </c>
      <c r="C198" s="1718"/>
      <c r="D198" s="1718"/>
      <c r="E198" s="1718"/>
      <c r="F198" s="1719"/>
      <c r="G198" s="1209" t="s">
        <v>743</v>
      </c>
      <c r="H198" s="1251"/>
      <c r="I198" s="1659">
        <f>BS!D111</f>
        <v>0</v>
      </c>
      <c r="J198" s="1661"/>
      <c r="K198" s="1659">
        <f>BS!E111</f>
        <v>0</v>
      </c>
      <c r="L198" s="1662"/>
      <c r="Q198" s="1717"/>
      <c r="R198" s="1718"/>
      <c r="S198" s="1718"/>
      <c r="T198" s="1718"/>
      <c r="U198" s="1719"/>
      <c r="V198" s="2448" t="s">
        <v>706</v>
      </c>
      <c r="W198" s="2449"/>
      <c r="X198" s="2449"/>
      <c r="Y198" s="2449"/>
    </row>
    <row r="199" spans="1:25" ht="27.75" customHeight="1">
      <c r="A199" s="1195" t="s">
        <v>2301</v>
      </c>
      <c r="B199" s="1712" t="str">
        <f t="shared" si="1"/>
        <v>Retained earnings l. 098+ l. 099</v>
      </c>
      <c r="C199" s="1713"/>
      <c r="D199" s="1713"/>
      <c r="E199" s="1713"/>
      <c r="F199" s="1714"/>
      <c r="G199" s="1208" t="s">
        <v>745</v>
      </c>
      <c r="H199" s="1250"/>
      <c r="I199" s="1627">
        <f>BS!D112</f>
        <v>418803</v>
      </c>
      <c r="J199" s="1629"/>
      <c r="K199" s="1627">
        <f>BS!E112</f>
        <v>279707</v>
      </c>
      <c r="L199" s="1630"/>
      <c r="Q199" s="1712"/>
      <c r="R199" s="1713"/>
      <c r="S199" s="1713"/>
      <c r="T199" s="1713"/>
      <c r="U199" s="1714"/>
      <c r="V199" s="2448" t="s">
        <v>2703</v>
      </c>
      <c r="W199" s="2449"/>
      <c r="X199" s="2449"/>
      <c r="Y199" s="2449"/>
    </row>
    <row r="200" spans="1:25" ht="27.75" customHeight="1">
      <c r="A200" s="1197" t="s">
        <v>2303</v>
      </c>
      <c r="B200" s="1717" t="str">
        <f t="shared" si="1"/>
        <v>Retained profits from previous years (428)</v>
      </c>
      <c r="C200" s="1718"/>
      <c r="D200" s="1718"/>
      <c r="E200" s="1718"/>
      <c r="F200" s="1719"/>
      <c r="G200" s="1209" t="s">
        <v>747</v>
      </c>
      <c r="H200" s="1251"/>
      <c r="I200" s="1659">
        <f>BS!D113</f>
        <v>418803</v>
      </c>
      <c r="J200" s="1661"/>
      <c r="K200" s="1659">
        <f>BS!E113</f>
        <v>279707</v>
      </c>
      <c r="L200" s="1662"/>
      <c r="Q200" s="1717"/>
      <c r="R200" s="1718"/>
      <c r="S200" s="1718"/>
      <c r="T200" s="1718"/>
      <c r="U200" s="1719"/>
      <c r="V200" s="2448" t="s">
        <v>720</v>
      </c>
      <c r="W200" s="2449"/>
      <c r="X200" s="2449"/>
      <c r="Y200" s="2449"/>
    </row>
    <row r="201" spans="1:25" ht="27.75" customHeight="1">
      <c r="A201" s="1197" t="s">
        <v>532</v>
      </c>
      <c r="B201" s="1717" t="str">
        <f t="shared" si="1"/>
        <v>Accumulated loss carried forward (/-/429)</v>
      </c>
      <c r="C201" s="1718"/>
      <c r="D201" s="1718"/>
      <c r="E201" s="1718"/>
      <c r="F201" s="1719"/>
      <c r="G201" s="1209" t="s">
        <v>749</v>
      </c>
      <c r="H201" s="1251"/>
      <c r="I201" s="1659">
        <f>BS!D114</f>
        <v>0</v>
      </c>
      <c r="J201" s="1661"/>
      <c r="K201" s="1659">
        <f>BS!E114</f>
        <v>0</v>
      </c>
      <c r="L201" s="1662"/>
      <c r="Q201" s="1717"/>
      <c r="R201" s="1718"/>
      <c r="S201" s="1718"/>
      <c r="T201" s="1718"/>
      <c r="U201" s="1719"/>
      <c r="V201" s="2448" t="s">
        <v>722</v>
      </c>
      <c r="W201" s="2449"/>
      <c r="X201" s="2449"/>
      <c r="Y201" s="2449"/>
    </row>
    <row r="202" spans="1:25" s="1187" customFormat="1" ht="31.5" customHeight="1">
      <c r="A202" s="1195" t="s">
        <v>2304</v>
      </c>
      <c r="B202" s="1712" t="str">
        <f t="shared" si="1"/>
        <v>Profit or loss from current period /+-/ l. 001 - (l. 081 + l. 085 + l. 086 + l. 087 + l. 090 + l. 093 + l. 097 + l. 101 + l. 141)</v>
      </c>
      <c r="C202" s="1713"/>
      <c r="D202" s="1713"/>
      <c r="E202" s="1713"/>
      <c r="F202" s="1714"/>
      <c r="G202" s="1208" t="s">
        <v>751</v>
      </c>
      <c r="H202" s="1250"/>
      <c r="I202" s="1627">
        <f>BS!D115</f>
        <v>159575</v>
      </c>
      <c r="J202" s="1629"/>
      <c r="K202" s="1627">
        <f>BS!E115</f>
        <v>273436</v>
      </c>
      <c r="L202" s="1630"/>
      <c r="Q202" s="1712"/>
      <c r="R202" s="1713"/>
      <c r="S202" s="1713"/>
      <c r="T202" s="1713"/>
      <c r="U202" s="1714"/>
      <c r="V202" s="2448" t="s">
        <v>2704</v>
      </c>
      <c r="W202" s="2449"/>
      <c r="X202" s="2449"/>
      <c r="Y202" s="2449"/>
    </row>
    <row r="203" spans="1:25" ht="27.75" customHeight="1">
      <c r="A203" s="1195" t="s">
        <v>594</v>
      </c>
      <c r="B203" s="1712" t="str">
        <f t="shared" si="1"/>
        <v>Liabilities l. 102 + l. 118 + l. 121 + l. 122 + l. 136 + l. 139 + l. 140</v>
      </c>
      <c r="C203" s="1713"/>
      <c r="D203" s="1713"/>
      <c r="E203" s="1713"/>
      <c r="F203" s="1714"/>
      <c r="G203" s="1208" t="s">
        <v>753</v>
      </c>
      <c r="H203" s="1250"/>
      <c r="I203" s="1627">
        <f>BS!D116</f>
        <v>1613529</v>
      </c>
      <c r="J203" s="1629"/>
      <c r="K203" s="1627">
        <f>BS!E116</f>
        <v>1484940</v>
      </c>
      <c r="L203" s="1630"/>
      <c r="Q203" s="1712"/>
      <c r="R203" s="1713"/>
      <c r="S203" s="1713"/>
      <c r="T203" s="1713"/>
      <c r="U203" s="1714"/>
      <c r="V203" s="2448" t="s">
        <v>2705</v>
      </c>
      <c r="W203" s="2449"/>
      <c r="X203" s="2449"/>
      <c r="Y203" s="2449"/>
    </row>
    <row r="204" spans="1:25" ht="27.75" customHeight="1">
      <c r="A204" s="1195" t="s">
        <v>597</v>
      </c>
      <c r="B204" s="1712" t="str">
        <f t="shared" si="1"/>
        <v>Non-current liabilities total (l. 103 + l. 107 to l. 117)</v>
      </c>
      <c r="C204" s="1713"/>
      <c r="D204" s="1713"/>
      <c r="E204" s="1713"/>
      <c r="F204" s="1714"/>
      <c r="G204" s="1208" t="s">
        <v>755</v>
      </c>
      <c r="H204" s="1250"/>
      <c r="I204" s="1627">
        <f>BS!D117</f>
        <v>314230</v>
      </c>
      <c r="J204" s="1629"/>
      <c r="K204" s="1627">
        <f>BS!E117</f>
        <v>391400</v>
      </c>
      <c r="L204" s="1630"/>
      <c r="Q204" s="1712"/>
      <c r="R204" s="1713"/>
      <c r="S204" s="1713"/>
      <c r="T204" s="1713"/>
      <c r="U204" s="1714"/>
      <c r="V204" s="2448" t="s">
        <v>2706</v>
      </c>
      <c r="W204" s="2449"/>
      <c r="X204" s="2449"/>
      <c r="Y204" s="2449"/>
    </row>
    <row r="205" spans="1:25" s="1187" customFormat="1" ht="27.75" customHeight="1">
      <c r="A205" s="1195" t="s">
        <v>600</v>
      </c>
      <c r="B205" s="1712" t="str">
        <f t="shared" si="1"/>
        <v>Non-current trade liabilities total (l. 104 to l. 106)</v>
      </c>
      <c r="C205" s="1713"/>
      <c r="D205" s="1713"/>
      <c r="E205" s="1713"/>
      <c r="F205" s="1714"/>
      <c r="G205" s="1208" t="s">
        <v>757</v>
      </c>
      <c r="H205" s="1251"/>
      <c r="I205" s="1659">
        <f>BS!D118</f>
        <v>0</v>
      </c>
      <c r="J205" s="1661"/>
      <c r="K205" s="1659">
        <f>BS!E118</f>
        <v>0</v>
      </c>
      <c r="L205" s="1662"/>
      <c r="Q205" s="1712"/>
      <c r="R205" s="1713"/>
      <c r="S205" s="1713"/>
      <c r="T205" s="1713"/>
      <c r="U205" s="1714"/>
      <c r="V205" s="2448" t="s">
        <v>2707</v>
      </c>
      <c r="W205" s="2449"/>
      <c r="X205" s="2449"/>
      <c r="Y205" s="2449"/>
    </row>
    <row r="206" spans="1:25" s="1187" customFormat="1" ht="27.75" customHeight="1">
      <c r="A206" s="1197" t="s">
        <v>2270</v>
      </c>
      <c r="B206" s="1717" t="str">
        <f t="shared" si="1"/>
        <v>Trade payables to connected entities (321A, 475A, 476A)</v>
      </c>
      <c r="C206" s="1718"/>
      <c r="D206" s="1718"/>
      <c r="E206" s="1718"/>
      <c r="F206" s="1719"/>
      <c r="G206" s="1209" t="s">
        <v>760</v>
      </c>
      <c r="H206" s="1251"/>
      <c r="I206" s="1659">
        <f>BS!D119</f>
        <v>0</v>
      </c>
      <c r="J206" s="1661"/>
      <c r="K206" s="1659">
        <f>BS!E119</f>
        <v>0</v>
      </c>
      <c r="L206" s="1662"/>
      <c r="Q206" s="1717"/>
      <c r="R206" s="1718"/>
      <c r="S206" s="1718"/>
      <c r="T206" s="1718"/>
      <c r="U206" s="1719"/>
      <c r="V206" s="2448" t="s">
        <v>2665</v>
      </c>
      <c r="W206" s="2449"/>
      <c r="X206" s="2449"/>
      <c r="Y206" s="2449"/>
    </row>
    <row r="207" spans="1:25" s="1187" customFormat="1" ht="31.5" customHeight="1">
      <c r="A207" s="1197" t="s">
        <v>2271</v>
      </c>
      <c r="B207" s="1717" t="str">
        <f t="shared" si="1"/>
        <v>Trade payables to group except for connected entities (321A, 475A, 476A)</v>
      </c>
      <c r="C207" s="1718"/>
      <c r="D207" s="1718"/>
      <c r="E207" s="1718"/>
      <c r="F207" s="1719"/>
      <c r="G207" s="1209" t="s">
        <v>763</v>
      </c>
      <c r="H207" s="1251"/>
      <c r="I207" s="1659">
        <f>BS!D120</f>
        <v>0</v>
      </c>
      <c r="J207" s="1661"/>
      <c r="K207" s="1659">
        <f>BS!E120</f>
        <v>0</v>
      </c>
      <c r="L207" s="1662"/>
      <c r="Q207" s="1717"/>
      <c r="R207" s="1718"/>
      <c r="S207" s="1718"/>
      <c r="T207" s="1718"/>
      <c r="U207" s="1719"/>
      <c r="V207" s="2448" t="s">
        <v>2666</v>
      </c>
      <c r="W207" s="2449"/>
      <c r="X207" s="2449"/>
      <c r="Y207" s="2449"/>
    </row>
    <row r="208" spans="1:25" ht="27.75" customHeight="1">
      <c r="A208" s="1197" t="s">
        <v>2272</v>
      </c>
      <c r="B208" s="1717" t="str">
        <f t="shared" si="1"/>
        <v>Other trade payables (321A, 475A, 476A)</v>
      </c>
      <c r="C208" s="1718"/>
      <c r="D208" s="1718"/>
      <c r="E208" s="1718"/>
      <c r="F208" s="1719"/>
      <c r="G208" s="1209" t="s">
        <v>765</v>
      </c>
      <c r="H208" s="1251"/>
      <c r="I208" s="1659">
        <f>BS!D121</f>
        <v>0</v>
      </c>
      <c r="J208" s="1661"/>
      <c r="K208" s="1659">
        <f>BS!E121</f>
        <v>0</v>
      </c>
      <c r="L208" s="1662"/>
      <c r="Q208" s="1717"/>
      <c r="R208" s="1718"/>
      <c r="S208" s="1718"/>
      <c r="T208" s="1718"/>
      <c r="U208" s="1719"/>
      <c r="V208" s="2448" t="s">
        <v>2309</v>
      </c>
      <c r="W208" s="2449"/>
      <c r="X208" s="2449"/>
      <c r="Y208" s="2449"/>
    </row>
    <row r="209" spans="1:25" ht="25.5" customHeight="1">
      <c r="A209" s="1197" t="s">
        <v>532</v>
      </c>
      <c r="B209" s="1717" t="str">
        <f t="shared" si="1"/>
        <v>Net value of construction contracts (316A)</v>
      </c>
      <c r="C209" s="1718"/>
      <c r="D209" s="1718"/>
      <c r="E209" s="1718"/>
      <c r="F209" s="1719"/>
      <c r="G209" s="1208" t="s">
        <v>767</v>
      </c>
      <c r="H209" s="1250"/>
      <c r="I209" s="1659">
        <f>BS!D122</f>
        <v>0</v>
      </c>
      <c r="J209" s="1661"/>
      <c r="K209" s="1659">
        <f>BS!E122</f>
        <v>0</v>
      </c>
      <c r="L209" s="1662"/>
      <c r="Q209" s="1717"/>
      <c r="R209" s="1718"/>
      <c r="S209" s="1718"/>
      <c r="T209" s="1718"/>
      <c r="U209" s="1719"/>
      <c r="V209" s="2448" t="s">
        <v>619</v>
      </c>
      <c r="W209" s="2449"/>
      <c r="X209" s="2449"/>
      <c r="Y209" s="2449"/>
    </row>
    <row r="210" spans="1:25" ht="27.75" customHeight="1">
      <c r="A210" s="1402" t="s">
        <v>535</v>
      </c>
      <c r="B210" s="1717" t="str">
        <f t="shared" si="1"/>
        <v>Other long-term liabilities to connected entities (471A, 47XA)</v>
      </c>
      <c r="C210" s="1718"/>
      <c r="D210" s="1718"/>
      <c r="E210" s="1718"/>
      <c r="F210" s="1719"/>
      <c r="G210" s="1262" t="s">
        <v>768</v>
      </c>
      <c r="H210" s="1259"/>
      <c r="I210" s="1725">
        <f>BS!D123</f>
        <v>279</v>
      </c>
      <c r="J210" s="1709"/>
      <c r="K210" s="1725">
        <f>BS!E123</f>
        <v>279</v>
      </c>
      <c r="L210" s="1726"/>
      <c r="Q210" s="1717"/>
      <c r="R210" s="1718"/>
      <c r="S210" s="2444"/>
      <c r="T210" s="2444"/>
      <c r="U210" s="2445"/>
      <c r="V210" s="2448" t="s">
        <v>2667</v>
      </c>
      <c r="W210" s="2449"/>
      <c r="X210" s="2449"/>
      <c r="Y210" s="2449"/>
    </row>
    <row r="211" spans="1:25" ht="32.25" customHeight="1">
      <c r="A211" s="1199" t="s">
        <v>538</v>
      </c>
      <c r="B211" s="1717" t="str">
        <f t="shared" si="1"/>
        <v>Other long-term liabilities within group except for connected entities (471A, 47XA)</v>
      </c>
      <c r="C211" s="1718"/>
      <c r="D211" s="1718"/>
      <c r="E211" s="1718"/>
      <c r="F211" s="1719"/>
      <c r="G211" s="1209" t="s">
        <v>770</v>
      </c>
      <c r="H211" s="1251"/>
      <c r="I211" s="1659">
        <f>BS!D124</f>
        <v>0</v>
      </c>
      <c r="J211" s="1661"/>
      <c r="K211" s="1659">
        <f>BS!E124</f>
        <v>0</v>
      </c>
      <c r="L211" s="1662"/>
      <c r="Q211" s="1717"/>
      <c r="R211" s="1718"/>
      <c r="S211" s="1718"/>
      <c r="T211" s="1718"/>
      <c r="U211" s="1719"/>
      <c r="V211" s="2448" t="s">
        <v>2668</v>
      </c>
      <c r="W211" s="2449"/>
      <c r="X211" s="2449"/>
      <c r="Y211" s="2449"/>
    </row>
    <row r="212" spans="1:25" s="1187" customFormat="1" ht="27.75" customHeight="1">
      <c r="A212" s="1199" t="s">
        <v>541</v>
      </c>
      <c r="B212" s="1717" t="str">
        <f t="shared" si="1"/>
        <v>Other long-term liabilities (479A, 47XA)</v>
      </c>
      <c r="C212" s="1718"/>
      <c r="D212" s="1718"/>
      <c r="E212" s="1718"/>
      <c r="F212" s="1719"/>
      <c r="G212" s="1209" t="s">
        <v>772</v>
      </c>
      <c r="H212" s="1251"/>
      <c r="I212" s="1659">
        <f>BS!D125</f>
        <v>0</v>
      </c>
      <c r="J212" s="1661"/>
      <c r="K212" s="1659">
        <f>BS!E125</f>
        <v>0</v>
      </c>
      <c r="L212" s="1662"/>
      <c r="Q212" s="1717"/>
      <c r="R212" s="1718"/>
      <c r="S212" s="1718"/>
      <c r="T212" s="1718"/>
      <c r="U212" s="1719"/>
      <c r="V212" s="2448" t="s">
        <v>2310</v>
      </c>
      <c r="W212" s="2449"/>
      <c r="X212" s="2449"/>
      <c r="Y212" s="2449"/>
    </row>
    <row r="213" spans="1:25" ht="27.75" customHeight="1">
      <c r="A213" s="1199" t="s">
        <v>544</v>
      </c>
      <c r="B213" s="1717" t="str">
        <f t="shared" si="1"/>
        <v>Long-term advance payaments received (475A)</v>
      </c>
      <c r="C213" s="1718"/>
      <c r="D213" s="1718"/>
      <c r="E213" s="1718"/>
      <c r="F213" s="1719"/>
      <c r="G213" s="1209" t="s">
        <v>774</v>
      </c>
      <c r="H213" s="1251"/>
      <c r="I213" s="1659">
        <f>BS!D126</f>
        <v>0</v>
      </c>
      <c r="J213" s="1661"/>
      <c r="K213" s="1659">
        <f>BS!E126</f>
        <v>0</v>
      </c>
      <c r="L213" s="1662"/>
      <c r="Q213" s="1717"/>
      <c r="R213" s="1718"/>
      <c r="S213" s="1718"/>
      <c r="T213" s="1718"/>
      <c r="U213" s="1719"/>
      <c r="V213" s="2448" t="s">
        <v>750</v>
      </c>
      <c r="W213" s="2449"/>
      <c r="X213" s="2449"/>
      <c r="Y213" s="2449"/>
    </row>
    <row r="214" spans="1:25" ht="27.75" customHeight="1">
      <c r="A214" s="1199" t="s">
        <v>547</v>
      </c>
      <c r="B214" s="1717" t="str">
        <f t="shared" si="1"/>
        <v>Long-term bills of exchange payable (478A)</v>
      </c>
      <c r="C214" s="1718"/>
      <c r="D214" s="1718"/>
      <c r="E214" s="1718"/>
      <c r="F214" s="1719"/>
      <c r="G214" s="1209" t="s">
        <v>776</v>
      </c>
      <c r="H214" s="1251"/>
      <c r="I214" s="1659">
        <f>BS!D127</f>
        <v>0</v>
      </c>
      <c r="J214" s="1661"/>
      <c r="K214" s="1659">
        <f>BS!E127</f>
        <v>0</v>
      </c>
      <c r="L214" s="1662"/>
      <c r="Q214" s="1717"/>
      <c r="R214" s="1718"/>
      <c r="S214" s="1718"/>
      <c r="T214" s="1718"/>
      <c r="U214" s="1719"/>
      <c r="V214" s="2448" t="s">
        <v>752</v>
      </c>
      <c r="W214" s="2449"/>
      <c r="X214" s="2449"/>
      <c r="Y214" s="2449"/>
    </row>
    <row r="215" spans="1:25" ht="27.75" customHeight="1">
      <c r="A215" s="1199" t="s">
        <v>568</v>
      </c>
      <c r="B215" s="1717" t="str">
        <f t="shared" si="1"/>
        <v>Bonds and debentures issued (473A/-/255A)</v>
      </c>
      <c r="C215" s="1718"/>
      <c r="D215" s="1718"/>
      <c r="E215" s="1718"/>
      <c r="F215" s="1719"/>
      <c r="G215" s="1209" t="s">
        <v>778</v>
      </c>
      <c r="H215" s="1251"/>
      <c r="I215" s="1659">
        <f>BS!D128</f>
        <v>0</v>
      </c>
      <c r="J215" s="1661"/>
      <c r="K215" s="1659">
        <f>BS!E128</f>
        <v>0</v>
      </c>
      <c r="L215" s="1662"/>
      <c r="Q215" s="1717"/>
      <c r="R215" s="1718"/>
      <c r="S215" s="1718"/>
      <c r="T215" s="1718"/>
      <c r="U215" s="1719"/>
      <c r="V215" s="2448" t="s">
        <v>754</v>
      </c>
      <c r="W215" s="2449"/>
      <c r="X215" s="2449"/>
      <c r="Y215" s="2449"/>
    </row>
    <row r="216" spans="1:25" ht="27.75" customHeight="1">
      <c r="A216" s="1199" t="s">
        <v>571</v>
      </c>
      <c r="B216" s="1717" t="str">
        <f t="shared" si="1"/>
        <v>Social fund payable (472)</v>
      </c>
      <c r="C216" s="1718"/>
      <c r="D216" s="1718"/>
      <c r="E216" s="1718"/>
      <c r="F216" s="1719"/>
      <c r="G216" s="1209" t="s">
        <v>780</v>
      </c>
      <c r="H216" s="1251"/>
      <c r="I216" s="1659">
        <f>BS!D129</f>
        <v>12927</v>
      </c>
      <c r="J216" s="1661"/>
      <c r="K216" s="1659">
        <f>BS!E129</f>
        <v>18257</v>
      </c>
      <c r="L216" s="1662"/>
      <c r="Q216" s="1717"/>
      <c r="R216" s="1718"/>
      <c r="S216" s="1718"/>
      <c r="T216" s="1718"/>
      <c r="U216" s="1719"/>
      <c r="V216" s="2448" t="s">
        <v>756</v>
      </c>
      <c r="W216" s="2449"/>
      <c r="X216" s="2449"/>
      <c r="Y216" s="2449"/>
    </row>
    <row r="217" spans="1:25" ht="27.75" customHeight="1">
      <c r="A217" s="1199" t="s">
        <v>758</v>
      </c>
      <c r="B217" s="1717" t="str">
        <f t="shared" si="1"/>
        <v>Other non-current liabilities (336A, 372A, 474A, 47XA)</v>
      </c>
      <c r="C217" s="1718"/>
      <c r="D217" s="1718"/>
      <c r="E217" s="1718"/>
      <c r="F217" s="1719"/>
      <c r="G217" s="1209" t="s">
        <v>782</v>
      </c>
      <c r="H217" s="1251"/>
      <c r="I217" s="1659">
        <f>BS!D130</f>
        <v>0</v>
      </c>
      <c r="J217" s="1661"/>
      <c r="K217" s="1659">
        <f>BS!E130</f>
        <v>0</v>
      </c>
      <c r="L217" s="1662"/>
      <c r="Q217" s="1717"/>
      <c r="R217" s="1718"/>
      <c r="S217" s="1718"/>
      <c r="T217" s="1718"/>
      <c r="U217" s="1719"/>
      <c r="V217" s="2448" t="s">
        <v>2311</v>
      </c>
      <c r="W217" s="2449"/>
      <c r="X217" s="2449"/>
      <c r="Y217" s="2449"/>
    </row>
    <row r="218" spans="1:25" ht="27.75" customHeight="1">
      <c r="A218" s="1199" t="s">
        <v>761</v>
      </c>
      <c r="B218" s="1717" t="str">
        <f t="shared" si="1"/>
        <v>Long-term liabilities from derivative operations (373A, 377A)</v>
      </c>
      <c r="C218" s="1718"/>
      <c r="D218" s="1718"/>
      <c r="E218" s="1718"/>
      <c r="F218" s="1719"/>
      <c r="G218" s="1209" t="s">
        <v>784</v>
      </c>
      <c r="H218" s="1251"/>
      <c r="I218" s="1659">
        <f>BS!D131</f>
        <v>0</v>
      </c>
      <c r="J218" s="1661"/>
      <c r="K218" s="1659">
        <f>BS!E131</f>
        <v>0</v>
      </c>
      <c r="L218" s="1662"/>
      <c r="Q218" s="1717"/>
      <c r="R218" s="1718"/>
      <c r="S218" s="1718"/>
      <c r="T218" s="1718"/>
      <c r="U218" s="1719"/>
      <c r="V218" s="2448" t="s">
        <v>2312</v>
      </c>
      <c r="W218" s="2449"/>
      <c r="X218" s="2449"/>
      <c r="Y218" s="2449"/>
    </row>
    <row r="219" spans="1:25" ht="27.75" customHeight="1" thickBot="1">
      <c r="A219" s="1367" t="s">
        <v>2313</v>
      </c>
      <c r="B219" s="1720" t="str">
        <f t="shared" si="1"/>
        <v>Deferred tax liability (481A)</v>
      </c>
      <c r="C219" s="1721"/>
      <c r="D219" s="1721"/>
      <c r="E219" s="1721"/>
      <c r="F219" s="1722"/>
      <c r="G219" s="1365" t="s">
        <v>786</v>
      </c>
      <c r="H219" s="1366"/>
      <c r="I219" s="1674">
        <f>BS!D132</f>
        <v>301024</v>
      </c>
      <c r="J219" s="1723"/>
      <c r="K219" s="1674">
        <f>BS!E132</f>
        <v>372864</v>
      </c>
      <c r="L219" s="1676"/>
      <c r="Q219" s="1720"/>
      <c r="R219" s="1721"/>
      <c r="S219" s="1721"/>
      <c r="T219" s="1721"/>
      <c r="U219" s="1722"/>
      <c r="V219" s="2448" t="s">
        <v>762</v>
      </c>
      <c r="W219" s="2449"/>
      <c r="X219" s="2449"/>
      <c r="Y219" s="2449"/>
    </row>
    <row r="220" spans="1:25" ht="27.75" customHeight="1">
      <c r="A220" s="1361" t="s">
        <v>1447</v>
      </c>
      <c r="B220" s="1638" t="s">
        <v>1511</v>
      </c>
      <c r="C220" s="1639"/>
      <c r="D220" s="1639"/>
      <c r="E220" s="1639"/>
      <c r="F220" s="1640"/>
      <c r="G220" s="1362" t="s">
        <v>1449</v>
      </c>
      <c r="H220" s="1363"/>
      <c r="I220" s="1638" t="s">
        <v>1512</v>
      </c>
      <c r="J220" s="1640"/>
      <c r="K220" s="1638" t="s">
        <v>1513</v>
      </c>
      <c r="L220" s="1715"/>
      <c r="Q220" s="1638" t="s">
        <v>1511</v>
      </c>
      <c r="R220" s="1639"/>
      <c r="S220" s="1639"/>
      <c r="T220" s="1639"/>
      <c r="U220" s="1640"/>
      <c r="V220" s="2448"/>
      <c r="W220" s="2449"/>
      <c r="X220" s="2449"/>
      <c r="Y220" s="2449"/>
    </row>
    <row r="221" spans="1:25" ht="27.75" customHeight="1">
      <c r="A221" s="1404" t="s">
        <v>613</v>
      </c>
      <c r="B221" s="1712" t="str">
        <f>V221</f>
        <v>Non-current provisions total (l. 119 to l. 120)</v>
      </c>
      <c r="C221" s="1713"/>
      <c r="D221" s="1713"/>
      <c r="E221" s="1713"/>
      <c r="F221" s="1714"/>
      <c r="G221" s="1208" t="s">
        <v>789</v>
      </c>
      <c r="H221" s="1250"/>
      <c r="I221" s="1627">
        <f>BS!D133</f>
        <v>0</v>
      </c>
      <c r="J221" s="1629"/>
      <c r="K221" s="1627">
        <f>BS!E133</f>
        <v>0</v>
      </c>
      <c r="L221" s="1630"/>
      <c r="Q221" s="1712"/>
      <c r="R221" s="1713"/>
      <c r="S221" s="1713"/>
      <c r="T221" s="1713"/>
      <c r="U221" s="1714"/>
      <c r="V221" s="2448" t="s">
        <v>2708</v>
      </c>
      <c r="W221" s="2449"/>
      <c r="X221" s="2449"/>
      <c r="Y221" s="2449"/>
    </row>
    <row r="222" spans="1:25" ht="27.75" customHeight="1">
      <c r="A222" s="1199" t="s">
        <v>616</v>
      </c>
      <c r="B222" s="1717" t="str">
        <f t="shared" ref="B222:B248" si="2">V222</f>
        <v>Legal provisions long term (451A)</v>
      </c>
      <c r="C222" s="1718"/>
      <c r="D222" s="1718"/>
      <c r="E222" s="1718"/>
      <c r="F222" s="1719"/>
      <c r="G222" s="1209" t="s">
        <v>792</v>
      </c>
      <c r="H222" s="1251"/>
      <c r="I222" s="1659">
        <f>BS!D134</f>
        <v>0</v>
      </c>
      <c r="J222" s="1661"/>
      <c r="K222" s="1659">
        <f>BS!E134</f>
        <v>0</v>
      </c>
      <c r="L222" s="1662"/>
      <c r="Q222" s="1717"/>
      <c r="R222" s="1718"/>
      <c r="S222" s="1718"/>
      <c r="T222" s="1718"/>
      <c r="U222" s="1719"/>
      <c r="V222" s="2448" t="s">
        <v>731</v>
      </c>
      <c r="W222" s="2449"/>
      <c r="X222" s="2449"/>
      <c r="Y222" s="2449"/>
    </row>
    <row r="223" spans="1:25" ht="27.75" customHeight="1">
      <c r="A223" s="1199" t="s">
        <v>532</v>
      </c>
      <c r="B223" s="1717" t="str">
        <f t="shared" si="2"/>
        <v>Other long-term provisions (459A, 45XA)</v>
      </c>
      <c r="C223" s="1718"/>
      <c r="D223" s="1718"/>
      <c r="E223" s="1718"/>
      <c r="F223" s="1719"/>
      <c r="G223" s="1209" t="s">
        <v>794</v>
      </c>
      <c r="H223" s="1251"/>
      <c r="I223" s="1659">
        <f>BS!D135</f>
        <v>0</v>
      </c>
      <c r="J223" s="1661"/>
      <c r="K223" s="1659">
        <f>BS!E135</f>
        <v>0</v>
      </c>
      <c r="L223" s="1662"/>
      <c r="Q223" s="1717"/>
      <c r="R223" s="1718"/>
      <c r="S223" s="1718"/>
      <c r="T223" s="1718"/>
      <c r="U223" s="1719"/>
      <c r="V223" s="2448" t="s">
        <v>735</v>
      </c>
      <c r="W223" s="2449"/>
      <c r="X223" s="2449"/>
      <c r="Y223" s="2449"/>
    </row>
    <row r="224" spans="1:25" ht="27.75" customHeight="1">
      <c r="A224" s="1404" t="s">
        <v>631</v>
      </c>
      <c r="B224" s="1712" t="str">
        <f t="shared" si="2"/>
        <v>Long-term bank loans (461A, 46XA)</v>
      </c>
      <c r="C224" s="1713"/>
      <c r="D224" s="1713"/>
      <c r="E224" s="1713"/>
      <c r="F224" s="1714"/>
      <c r="G224" s="1208" t="s">
        <v>796</v>
      </c>
      <c r="H224" s="1250"/>
      <c r="I224" s="1627">
        <f>BS!D136</f>
        <v>0</v>
      </c>
      <c r="J224" s="1629"/>
      <c r="K224" s="1627">
        <f>BS!E136</f>
        <v>0</v>
      </c>
      <c r="L224" s="1630"/>
      <c r="Q224" s="1712"/>
      <c r="R224" s="1713"/>
      <c r="S224" s="1713"/>
      <c r="T224" s="1713"/>
      <c r="U224" s="1714"/>
      <c r="V224" s="2448" t="s">
        <v>791</v>
      </c>
      <c r="W224" s="2449"/>
      <c r="X224" s="2449"/>
      <c r="Y224" s="2449"/>
    </row>
    <row r="225" spans="1:25" ht="27.75" customHeight="1">
      <c r="A225" s="1404" t="s">
        <v>649</v>
      </c>
      <c r="B225" s="1712" t="str">
        <f t="shared" si="2"/>
        <v>Current liabilities  total (l. 123 + l. 127 to l. 135)</v>
      </c>
      <c r="C225" s="1713"/>
      <c r="D225" s="1713"/>
      <c r="E225" s="1713"/>
      <c r="F225" s="1714"/>
      <c r="G225" s="1208" t="s">
        <v>798</v>
      </c>
      <c r="H225" s="1250"/>
      <c r="I225" s="1627">
        <f>BS!D137</f>
        <v>1181891</v>
      </c>
      <c r="J225" s="1629"/>
      <c r="K225" s="1627">
        <f>BS!E137</f>
        <v>988127</v>
      </c>
      <c r="L225" s="1630"/>
      <c r="Q225" s="1712"/>
      <c r="R225" s="1713"/>
      <c r="S225" s="1713"/>
      <c r="T225" s="1713"/>
      <c r="U225" s="1714"/>
      <c r="V225" s="2448" t="s">
        <v>2315</v>
      </c>
      <c r="W225" s="2449"/>
      <c r="X225" s="2449"/>
      <c r="Y225" s="2449"/>
    </row>
    <row r="226" spans="1:25" s="1187" customFormat="1" ht="27.75" customHeight="1">
      <c r="A226" s="1404" t="s">
        <v>652</v>
      </c>
      <c r="B226" s="1712" t="str">
        <f t="shared" si="2"/>
        <v>Current trade payables (l. 124 to l. 126)</v>
      </c>
      <c r="C226" s="1713"/>
      <c r="D226" s="1713"/>
      <c r="E226" s="1713"/>
      <c r="F226" s="1714"/>
      <c r="G226" s="1208" t="s">
        <v>800</v>
      </c>
      <c r="H226" s="1251"/>
      <c r="I226" s="1627">
        <f>BS!D138</f>
        <v>1079736</v>
      </c>
      <c r="J226" s="1629"/>
      <c r="K226" s="1627">
        <f>BS!E138</f>
        <v>767767</v>
      </c>
      <c r="L226" s="1630"/>
      <c r="Q226" s="1712"/>
      <c r="R226" s="1713"/>
      <c r="S226" s="1713"/>
      <c r="T226" s="1713"/>
      <c r="U226" s="1714"/>
      <c r="V226" s="2448" t="s">
        <v>2316</v>
      </c>
      <c r="W226" s="2449"/>
      <c r="X226" s="2449"/>
      <c r="Y226" s="2449"/>
    </row>
    <row r="227" spans="1:25" ht="31.5" customHeight="1">
      <c r="A227" s="1199" t="s">
        <v>2270</v>
      </c>
      <c r="B227" s="1717" t="str">
        <f t="shared" si="2"/>
        <v>Trade payables to connected entities (321A, 322A, 324A, 325A, 326A, 32XA, 475A, 476A, 478A, 47XA)</v>
      </c>
      <c r="C227" s="1718"/>
      <c r="D227" s="1718"/>
      <c r="E227" s="1718"/>
      <c r="F227" s="1719"/>
      <c r="G227" s="1209" t="s">
        <v>802</v>
      </c>
      <c r="H227" s="1251"/>
      <c r="I227" s="1659">
        <f>BS!D139</f>
        <v>19992</v>
      </c>
      <c r="J227" s="1661"/>
      <c r="K227" s="1659">
        <f>BS!E139</f>
        <v>4427</v>
      </c>
      <c r="L227" s="1662"/>
      <c r="Q227" s="1717"/>
      <c r="R227" s="1718"/>
      <c r="S227" s="1718"/>
      <c r="T227" s="1718"/>
      <c r="U227" s="1719"/>
      <c r="V227" s="2448" t="s">
        <v>2669</v>
      </c>
      <c r="W227" s="2449"/>
      <c r="X227" s="2449"/>
      <c r="Y227" s="2449"/>
    </row>
    <row r="228" spans="1:25" ht="30.75" customHeight="1">
      <c r="A228" s="1199" t="s">
        <v>2271</v>
      </c>
      <c r="B228" s="1717" t="str">
        <f t="shared" si="2"/>
        <v>Trade payables to group except for connected entities (321A, 322A, 324A, 325A, 326A, 32XA, 475A, 476A, 478A, 47XA)</v>
      </c>
      <c r="C228" s="1718"/>
      <c r="D228" s="1718"/>
      <c r="E228" s="1718"/>
      <c r="F228" s="1719"/>
      <c r="G228" s="1209" t="s">
        <v>804</v>
      </c>
      <c r="H228" s="1251"/>
      <c r="I228" s="1659">
        <f>BS!D140</f>
        <v>0</v>
      </c>
      <c r="J228" s="1661"/>
      <c r="K228" s="1659">
        <f>BS!E140</f>
        <v>0</v>
      </c>
      <c r="L228" s="1662"/>
      <c r="Q228" s="1717"/>
      <c r="R228" s="1718"/>
      <c r="S228" s="1718"/>
      <c r="T228" s="1718"/>
      <c r="U228" s="1719"/>
      <c r="V228" s="2448" t="s">
        <v>2670</v>
      </c>
      <c r="W228" s="2449"/>
      <c r="X228" s="2449"/>
      <c r="Y228" s="2449"/>
    </row>
    <row r="229" spans="1:25" ht="31.5" customHeight="1">
      <c r="A229" s="1199" t="s">
        <v>2272</v>
      </c>
      <c r="B229" s="1717" t="str">
        <f t="shared" si="2"/>
        <v>Other trade payables (321A, 322A, 324A, 325A, 326A, 32XA, 475A, 476A, 478A, 47XA)</v>
      </c>
      <c r="C229" s="1718"/>
      <c r="D229" s="1718"/>
      <c r="E229" s="1718"/>
      <c r="F229" s="1719"/>
      <c r="G229" s="1209" t="s">
        <v>2318</v>
      </c>
      <c r="H229" s="1251"/>
      <c r="I229" s="1659">
        <f>BS!D141</f>
        <v>1059744</v>
      </c>
      <c r="J229" s="1661"/>
      <c r="K229" s="1659">
        <f>BS!E141</f>
        <v>763340</v>
      </c>
      <c r="L229" s="1662"/>
      <c r="Q229" s="1717"/>
      <c r="R229" s="1718"/>
      <c r="S229" s="1718"/>
      <c r="T229" s="1718"/>
      <c r="U229" s="1719"/>
      <c r="V229" s="2448" t="s">
        <v>2317</v>
      </c>
      <c r="W229" s="2449"/>
      <c r="X229" s="2449"/>
      <c r="Y229" s="2449"/>
    </row>
    <row r="230" spans="1:25" ht="27.75" customHeight="1">
      <c r="A230" s="1199" t="s">
        <v>532</v>
      </c>
      <c r="B230" s="1717" t="str">
        <f t="shared" si="2"/>
        <v>Net value of construction contracts (316A)</v>
      </c>
      <c r="C230" s="1718"/>
      <c r="D230" s="1718"/>
      <c r="E230" s="1718"/>
      <c r="F230" s="1719"/>
      <c r="G230" s="1209" t="s">
        <v>2319</v>
      </c>
      <c r="H230" s="1251"/>
      <c r="I230" s="1659">
        <f>BS!D142</f>
        <v>0</v>
      </c>
      <c r="J230" s="1661"/>
      <c r="K230" s="1659">
        <f>BS!E142</f>
        <v>0</v>
      </c>
      <c r="L230" s="1662"/>
      <c r="Q230" s="1717"/>
      <c r="R230" s="1718"/>
      <c r="S230" s="1718"/>
      <c r="T230" s="1718"/>
      <c r="U230" s="1719"/>
      <c r="V230" s="2448" t="s">
        <v>619</v>
      </c>
      <c r="W230" s="2449"/>
      <c r="X230" s="2449"/>
      <c r="Y230" s="2449"/>
    </row>
    <row r="231" spans="1:25" ht="27.75" customHeight="1">
      <c r="A231" s="1199" t="s">
        <v>535</v>
      </c>
      <c r="B231" s="1717" t="str">
        <f t="shared" si="2"/>
        <v>Payables to connected entities (361A, 36XA, 471A, 47XA)</v>
      </c>
      <c r="C231" s="1718"/>
      <c r="D231" s="1718"/>
      <c r="E231" s="1718"/>
      <c r="F231" s="1719"/>
      <c r="G231" s="1209" t="s">
        <v>2320</v>
      </c>
      <c r="H231" s="1251"/>
      <c r="I231" s="1659">
        <f>BS!D143</f>
        <v>0</v>
      </c>
      <c r="J231" s="1661"/>
      <c r="K231" s="1659">
        <f>BS!E143</f>
        <v>0</v>
      </c>
      <c r="L231" s="1662"/>
      <c r="Q231" s="1717"/>
      <c r="R231" s="1718"/>
      <c r="S231" s="1718"/>
      <c r="T231" s="1718"/>
      <c r="U231" s="1719"/>
      <c r="V231" s="2448" t="s">
        <v>2671</v>
      </c>
      <c r="W231" s="2449"/>
      <c r="X231" s="2449"/>
      <c r="Y231" s="2449"/>
    </row>
    <row r="232" spans="1:25" ht="30.75" customHeight="1">
      <c r="A232" s="1199" t="s">
        <v>538</v>
      </c>
      <c r="B232" s="1717" t="str">
        <f t="shared" si="2"/>
        <v>Other liabilities within group except for connected entities (361A, 36XA, 471A, 47XA)</v>
      </c>
      <c r="C232" s="1718"/>
      <c r="D232" s="1718"/>
      <c r="E232" s="1718"/>
      <c r="F232" s="1719"/>
      <c r="G232" s="1209" t="s">
        <v>2321</v>
      </c>
      <c r="H232" s="1251"/>
      <c r="I232" s="1659">
        <f>BS!D144</f>
        <v>0</v>
      </c>
      <c r="J232" s="1661"/>
      <c r="K232" s="1659">
        <f>BS!E144</f>
        <v>0</v>
      </c>
      <c r="L232" s="1662"/>
      <c r="Q232" s="1717"/>
      <c r="R232" s="1718"/>
      <c r="S232" s="1718"/>
      <c r="T232" s="1718"/>
      <c r="U232" s="1719"/>
      <c r="V232" s="2448" t="s">
        <v>2672</v>
      </c>
      <c r="W232" s="2449"/>
      <c r="X232" s="2449"/>
      <c r="Y232" s="2449"/>
    </row>
    <row r="233" spans="1:25" ht="27.75" customHeight="1">
      <c r="A233" s="1199" t="s">
        <v>541</v>
      </c>
      <c r="B233" s="1717" t="str">
        <f t="shared" si="2"/>
        <v>Payables to partners and consortium members (364, 365, 366, 367, 368, 398A, 478A, 479A)</v>
      </c>
      <c r="C233" s="1718"/>
      <c r="D233" s="1718"/>
      <c r="E233" s="1718"/>
      <c r="F233" s="1719"/>
      <c r="G233" s="1209" t="s">
        <v>2322</v>
      </c>
      <c r="H233" s="1251"/>
      <c r="I233" s="1659">
        <f>BS!D145</f>
        <v>0</v>
      </c>
      <c r="J233" s="1661"/>
      <c r="K233" s="1659">
        <f>BS!E145</f>
        <v>0</v>
      </c>
      <c r="L233" s="1662"/>
      <c r="Q233" s="1717"/>
      <c r="R233" s="1718"/>
      <c r="S233" s="1718"/>
      <c r="T233" s="1718"/>
      <c r="U233" s="1719"/>
      <c r="V233" s="2448" t="s">
        <v>775</v>
      </c>
      <c r="W233" s="2449"/>
      <c r="X233" s="2449"/>
      <c r="Y233" s="2449"/>
    </row>
    <row r="234" spans="1:25" ht="27.75" customHeight="1">
      <c r="A234" s="1199" t="s">
        <v>544</v>
      </c>
      <c r="B234" s="1717" t="str">
        <f t="shared" si="2"/>
        <v>Payables to employees (331, 333, 33X, 479A)</v>
      </c>
      <c r="C234" s="1718"/>
      <c r="D234" s="1718"/>
      <c r="E234" s="1718"/>
      <c r="F234" s="1719"/>
      <c r="G234" s="1209" t="s">
        <v>2323</v>
      </c>
      <c r="H234" s="1251"/>
      <c r="I234" s="1659">
        <f>BS!D146</f>
        <v>47382</v>
      </c>
      <c r="J234" s="1661"/>
      <c r="K234" s="1659">
        <f>BS!E146</f>
        <v>46090</v>
      </c>
      <c r="L234" s="1662"/>
      <c r="Q234" s="1717"/>
      <c r="R234" s="1718"/>
      <c r="S234" s="1718"/>
      <c r="T234" s="1718"/>
      <c r="U234" s="1719"/>
      <c r="V234" s="2448" t="s">
        <v>777</v>
      </c>
      <c r="W234" s="2449"/>
      <c r="X234" s="2449"/>
      <c r="Y234" s="2449"/>
    </row>
    <row r="235" spans="1:25" ht="27.75" customHeight="1">
      <c r="A235" s="1199" t="s">
        <v>547</v>
      </c>
      <c r="B235" s="1717" t="str">
        <f t="shared" si="2"/>
        <v>Social security payables (336A)</v>
      </c>
      <c r="C235" s="1718"/>
      <c r="D235" s="1718"/>
      <c r="E235" s="1718"/>
      <c r="F235" s="1719"/>
      <c r="G235" s="1209" t="s">
        <v>2325</v>
      </c>
      <c r="H235" s="1251"/>
      <c r="I235" s="1659">
        <f>BS!D147</f>
        <v>31104</v>
      </c>
      <c r="J235" s="1661"/>
      <c r="K235" s="1659">
        <f>BS!E147</f>
        <v>28038</v>
      </c>
      <c r="L235" s="1662"/>
      <c r="Q235" s="1717"/>
      <c r="R235" s="1718"/>
      <c r="S235" s="1718"/>
      <c r="T235" s="1718"/>
      <c r="U235" s="1719"/>
      <c r="V235" s="2448" t="s">
        <v>2324</v>
      </c>
      <c r="W235" s="2449"/>
      <c r="X235" s="2449"/>
      <c r="Y235" s="2449"/>
    </row>
    <row r="236" spans="1:25" s="1187" customFormat="1" ht="27.75" customHeight="1">
      <c r="A236" s="1199" t="s">
        <v>568</v>
      </c>
      <c r="B236" s="1717" t="str">
        <f t="shared" si="2"/>
        <v>Tax liabilities and subsidies (341, 342, 343, 345, 346, 347, 34X)</v>
      </c>
      <c r="C236" s="1718"/>
      <c r="D236" s="1718"/>
      <c r="E236" s="1718"/>
      <c r="F236" s="1719"/>
      <c r="G236" s="1209" t="s">
        <v>2326</v>
      </c>
      <c r="H236" s="1251"/>
      <c r="I236" s="1659">
        <f>BS!D148</f>
        <v>8319</v>
      </c>
      <c r="J236" s="1661"/>
      <c r="K236" s="1659">
        <f>BS!E148</f>
        <v>142188</v>
      </c>
      <c r="L236" s="1662"/>
      <c r="Q236" s="1717"/>
      <c r="R236" s="1718"/>
      <c r="S236" s="1718"/>
      <c r="T236" s="1718"/>
      <c r="U236" s="1719"/>
      <c r="V236" s="2448" t="s">
        <v>781</v>
      </c>
      <c r="W236" s="2449"/>
      <c r="X236" s="2449"/>
      <c r="Y236" s="2449"/>
    </row>
    <row r="237" spans="1:25" ht="27.75" customHeight="1">
      <c r="A237" s="1199" t="s">
        <v>571</v>
      </c>
      <c r="B237" s="1717" t="str">
        <f t="shared" si="2"/>
        <v>Payables from derivative operations (373A, 377A)</v>
      </c>
      <c r="C237" s="1718"/>
      <c r="D237" s="1718"/>
      <c r="E237" s="1718"/>
      <c r="F237" s="1719"/>
      <c r="G237" s="1209" t="s">
        <v>2328</v>
      </c>
      <c r="H237" s="1251"/>
      <c r="I237" s="1659">
        <f>BS!D149</f>
        <v>0</v>
      </c>
      <c r="J237" s="1661"/>
      <c r="K237" s="1659">
        <f>BS!E149</f>
        <v>0</v>
      </c>
      <c r="L237" s="1662"/>
      <c r="Q237" s="1717"/>
      <c r="R237" s="1718"/>
      <c r="S237" s="1718"/>
      <c r="T237" s="1718"/>
      <c r="U237" s="1719"/>
      <c r="V237" s="2448" t="s">
        <v>2327</v>
      </c>
      <c r="W237" s="2449"/>
      <c r="X237" s="2449"/>
      <c r="Y237" s="2449"/>
    </row>
    <row r="238" spans="1:25" ht="27.75" customHeight="1">
      <c r="A238" s="1199" t="s">
        <v>758</v>
      </c>
      <c r="B238" s="1717" t="str">
        <f t="shared" si="2"/>
        <v>Other short-term liabilities (372A, 379A, 474A, 475A, 479A, 47XA)</v>
      </c>
      <c r="C238" s="1718"/>
      <c r="D238" s="1718"/>
      <c r="E238" s="1718"/>
      <c r="F238" s="1719"/>
      <c r="G238" s="1209" t="s">
        <v>2330</v>
      </c>
      <c r="H238" s="1251"/>
      <c r="I238" s="1659">
        <f>BS!D150</f>
        <v>15350</v>
      </c>
      <c r="J238" s="1661"/>
      <c r="K238" s="1659">
        <f>BS!E150</f>
        <v>4044</v>
      </c>
      <c r="L238" s="1662"/>
      <c r="Q238" s="1717"/>
      <c r="R238" s="1718"/>
      <c r="S238" s="1718"/>
      <c r="T238" s="1718"/>
      <c r="U238" s="1719"/>
      <c r="V238" s="2448" t="s">
        <v>2329</v>
      </c>
      <c r="W238" s="2449"/>
      <c r="X238" s="2449"/>
      <c r="Y238" s="2449"/>
    </row>
    <row r="239" spans="1:25" ht="27.75" customHeight="1">
      <c r="A239" s="1404" t="s">
        <v>787</v>
      </c>
      <c r="B239" s="1712" t="str">
        <f t="shared" si="2"/>
        <v>Current provisions total (l. 137 + l. 138)</v>
      </c>
      <c r="C239" s="1713"/>
      <c r="D239" s="1713"/>
      <c r="E239" s="1713"/>
      <c r="F239" s="1714"/>
      <c r="G239" s="1208" t="s">
        <v>2332</v>
      </c>
      <c r="H239" s="1250"/>
      <c r="I239" s="1627">
        <f>BS!D151</f>
        <v>113122</v>
      </c>
      <c r="J239" s="1629"/>
      <c r="K239" s="1627">
        <f>BS!E151</f>
        <v>102437</v>
      </c>
      <c r="L239" s="1630"/>
      <c r="Q239" s="1712"/>
      <c r="R239" s="1713"/>
      <c r="S239" s="1713"/>
      <c r="T239" s="1713"/>
      <c r="U239" s="1714"/>
      <c r="V239" s="2448" t="s">
        <v>2331</v>
      </c>
      <c r="W239" s="2449"/>
      <c r="X239" s="2449"/>
      <c r="Y239" s="2449"/>
    </row>
    <row r="240" spans="1:25" s="1187" customFormat="1" ht="27.75" customHeight="1">
      <c r="A240" s="1199" t="s">
        <v>790</v>
      </c>
      <c r="B240" s="1717" t="str">
        <f t="shared" si="2"/>
        <v>Legal provisions short term (323A, 451A)</v>
      </c>
      <c r="C240" s="1718"/>
      <c r="D240" s="1718"/>
      <c r="E240" s="1718"/>
      <c r="F240" s="1719"/>
      <c r="G240" s="1209" t="s">
        <v>2333</v>
      </c>
      <c r="H240" s="1251"/>
      <c r="I240" s="1659">
        <f>BS!D152</f>
        <v>42770</v>
      </c>
      <c r="J240" s="1661"/>
      <c r="K240" s="1659">
        <f>BS!E152</f>
        <v>34294</v>
      </c>
      <c r="L240" s="1662"/>
      <c r="Q240" s="1717"/>
      <c r="R240" s="1718"/>
      <c r="S240" s="1718"/>
      <c r="T240" s="1718"/>
      <c r="U240" s="1719"/>
      <c r="V240" s="2448" t="s">
        <v>733</v>
      </c>
      <c r="W240" s="2449"/>
      <c r="X240" s="2449"/>
      <c r="Y240" s="2449"/>
    </row>
    <row r="241" spans="1:25" s="1187" customFormat="1" ht="27.75" customHeight="1">
      <c r="A241" s="1199" t="s">
        <v>532</v>
      </c>
      <c r="B241" s="1717" t="str">
        <f t="shared" si="2"/>
        <v>Other short term provisions (323, 32X, 459A, 45XA)</v>
      </c>
      <c r="C241" s="1718"/>
      <c r="D241" s="1718"/>
      <c r="E241" s="1718"/>
      <c r="F241" s="1719"/>
      <c r="G241" s="1209" t="s">
        <v>2334</v>
      </c>
      <c r="H241" s="1251"/>
      <c r="I241" s="1659">
        <f>BS!D153</f>
        <v>70352</v>
      </c>
      <c r="J241" s="1661"/>
      <c r="K241" s="1659">
        <f>BS!E153</f>
        <v>68143</v>
      </c>
      <c r="L241" s="1662"/>
      <c r="Q241" s="1717"/>
      <c r="R241" s="1718"/>
      <c r="S241" s="1718"/>
      <c r="T241" s="1718"/>
      <c r="U241" s="1719"/>
      <c r="V241" s="2448" t="s">
        <v>2709</v>
      </c>
      <c r="W241" s="2449"/>
      <c r="X241" s="2449"/>
      <c r="Y241" s="2449"/>
    </row>
    <row r="242" spans="1:25" s="1187" customFormat="1" ht="27.75" customHeight="1">
      <c r="A242" s="1401" t="s">
        <v>2335</v>
      </c>
      <c r="B242" s="1712" t="str">
        <f t="shared" si="2"/>
        <v>Current bank loans (221A, 231, 232, 23X, 461A, 46XA)</v>
      </c>
      <c r="C242" s="1713"/>
      <c r="D242" s="1713"/>
      <c r="E242" s="1713"/>
      <c r="F242" s="1714"/>
      <c r="G242" s="1263" t="s">
        <v>2336</v>
      </c>
      <c r="H242" s="1264"/>
      <c r="I242" s="1728">
        <f>BS!D154</f>
        <v>4286</v>
      </c>
      <c r="J242" s="1729"/>
      <c r="K242" s="1728">
        <f>BS!E154</f>
        <v>2976</v>
      </c>
      <c r="L242" s="1730"/>
      <c r="Q242" s="1712"/>
      <c r="R242" s="1713"/>
      <c r="S242" s="2446"/>
      <c r="T242" s="2446"/>
      <c r="U242" s="2447"/>
      <c r="V242" s="2448" t="s">
        <v>793</v>
      </c>
      <c r="W242" s="2449"/>
      <c r="X242" s="2449"/>
      <c r="Y242" s="2449"/>
    </row>
    <row r="243" spans="1:25" s="1187" customFormat="1" ht="27.75" customHeight="1">
      <c r="A243" s="1378" t="s">
        <v>2337</v>
      </c>
      <c r="B243" s="1712" t="str">
        <f t="shared" si="2"/>
        <v>Short term financial borrowings (241, 249, 24x, 473A, /-/255A)</v>
      </c>
      <c r="C243" s="1713"/>
      <c r="D243" s="1713"/>
      <c r="E243" s="1713"/>
      <c r="F243" s="1714"/>
      <c r="G243" s="1208" t="s">
        <v>2338</v>
      </c>
      <c r="H243" s="1250"/>
      <c r="I243" s="1627">
        <f>BS!D155</f>
        <v>0</v>
      </c>
      <c r="J243" s="1629"/>
      <c r="K243" s="1627">
        <f>BS!E155</f>
        <v>0</v>
      </c>
      <c r="L243" s="1630"/>
      <c r="Q243" s="1712"/>
      <c r="R243" s="1713"/>
      <c r="S243" s="1713"/>
      <c r="T243" s="1713"/>
      <c r="U243" s="1714"/>
      <c r="V243" s="2448" t="s">
        <v>785</v>
      </c>
      <c r="W243" s="2449"/>
      <c r="X243" s="2449"/>
      <c r="Y243" s="2449"/>
    </row>
    <row r="244" spans="1:25" s="1187" customFormat="1" ht="27.75" customHeight="1">
      <c r="A244" s="1378" t="s">
        <v>663</v>
      </c>
      <c r="B244" s="1712" t="str">
        <f t="shared" si="2"/>
        <v>Accruals and deferred income - total (l. 142 to l. 145)</v>
      </c>
      <c r="C244" s="1713"/>
      <c r="D244" s="1713"/>
      <c r="E244" s="1713"/>
      <c r="F244" s="1714"/>
      <c r="G244" s="1208" t="s">
        <v>2340</v>
      </c>
      <c r="H244" s="1250"/>
      <c r="I244" s="1627">
        <f>BS!D156</f>
        <v>0</v>
      </c>
      <c r="J244" s="1629"/>
      <c r="K244" s="1627">
        <f>BS!E156</f>
        <v>0</v>
      </c>
      <c r="L244" s="1630"/>
      <c r="Q244" s="1712"/>
      <c r="R244" s="1713"/>
      <c r="S244" s="1713"/>
      <c r="T244" s="1713"/>
      <c r="U244" s="1714"/>
      <c r="V244" s="2448" t="s">
        <v>2710</v>
      </c>
      <c r="W244" s="2449"/>
      <c r="X244" s="2449"/>
      <c r="Y244" s="2449"/>
    </row>
    <row r="245" spans="1:25" s="1187" customFormat="1" ht="27.75" customHeight="1">
      <c r="A245" s="1387" t="s">
        <v>666</v>
      </c>
      <c r="B245" s="1717" t="str">
        <f t="shared" si="2"/>
        <v>Accruals long term (383A)</v>
      </c>
      <c r="C245" s="1718"/>
      <c r="D245" s="1718"/>
      <c r="E245" s="1718"/>
      <c r="F245" s="1719"/>
      <c r="G245" s="1209" t="s">
        <v>2341</v>
      </c>
      <c r="H245" s="1251"/>
      <c r="I245" s="1659">
        <f>BS!D157</f>
        <v>0</v>
      </c>
      <c r="J245" s="1661"/>
      <c r="K245" s="1659">
        <f>BS!E157</f>
        <v>0</v>
      </c>
      <c r="L245" s="1662"/>
      <c r="Q245" s="1717"/>
      <c r="R245" s="1718"/>
      <c r="S245" s="1718"/>
      <c r="T245" s="1718"/>
      <c r="U245" s="1719"/>
      <c r="V245" s="2448" t="s">
        <v>797</v>
      </c>
      <c r="W245" s="2449"/>
      <c r="X245" s="2449"/>
      <c r="Y245" s="2449"/>
    </row>
    <row r="246" spans="1:25" s="1187" customFormat="1" ht="27.75" customHeight="1">
      <c r="A246" s="1387" t="s">
        <v>532</v>
      </c>
      <c r="B246" s="1717" t="str">
        <f t="shared" si="2"/>
        <v>Accruals short term (383A)</v>
      </c>
      <c r="C246" s="1718"/>
      <c r="D246" s="1718"/>
      <c r="E246" s="1718"/>
      <c r="F246" s="1719"/>
      <c r="G246" s="1209" t="s">
        <v>2342</v>
      </c>
      <c r="H246" s="1251"/>
      <c r="I246" s="1659">
        <f>BS!D158</f>
        <v>0</v>
      </c>
      <c r="J246" s="1661"/>
      <c r="K246" s="1659">
        <f>BS!E158</f>
        <v>0</v>
      </c>
      <c r="L246" s="1662"/>
      <c r="Q246" s="1717"/>
      <c r="R246" s="1718"/>
      <c r="S246" s="1718"/>
      <c r="T246" s="1718"/>
      <c r="U246" s="1719"/>
      <c r="V246" s="2448" t="s">
        <v>799</v>
      </c>
      <c r="W246" s="2449"/>
      <c r="X246" s="2449"/>
      <c r="Y246" s="2449"/>
    </row>
    <row r="247" spans="1:25" s="1187" customFormat="1" ht="27.75" customHeight="1">
      <c r="A247" s="1387" t="s">
        <v>535</v>
      </c>
      <c r="B247" s="1717" t="str">
        <f t="shared" si="2"/>
        <v>Deferred income long term (384A)</v>
      </c>
      <c r="C247" s="1718"/>
      <c r="D247" s="1718"/>
      <c r="E247" s="1718"/>
      <c r="F247" s="1719"/>
      <c r="G247" s="1209" t="s">
        <v>2343</v>
      </c>
      <c r="H247" s="1251"/>
      <c r="I247" s="1659">
        <f>BS!D159</f>
        <v>0</v>
      </c>
      <c r="J247" s="1661"/>
      <c r="K247" s="1659">
        <f>BS!E159</f>
        <v>0</v>
      </c>
      <c r="L247" s="1662"/>
      <c r="Q247" s="1717"/>
      <c r="R247" s="1718"/>
      <c r="S247" s="1718"/>
      <c r="T247" s="1718"/>
      <c r="U247" s="1719"/>
      <c r="V247" s="2448" t="s">
        <v>801</v>
      </c>
      <c r="W247" s="2449"/>
      <c r="X247" s="2449"/>
      <c r="Y247" s="2449"/>
    </row>
    <row r="248" spans="1:25" ht="27.75" customHeight="1" thickBot="1">
      <c r="A248" s="1396" t="s">
        <v>538</v>
      </c>
      <c r="B248" s="1720" t="str">
        <f t="shared" si="2"/>
        <v>Deferred income short term (384A)</v>
      </c>
      <c r="C248" s="1721"/>
      <c r="D248" s="1721"/>
      <c r="E248" s="1721"/>
      <c r="F248" s="1722"/>
      <c r="G248" s="1365" t="s">
        <v>2344</v>
      </c>
      <c r="H248" s="1366"/>
      <c r="I248" s="1674">
        <f>BS!D160</f>
        <v>0</v>
      </c>
      <c r="J248" s="1723"/>
      <c r="K248" s="1674">
        <f>BS!E160</f>
        <v>0</v>
      </c>
      <c r="L248" s="1676"/>
      <c r="Q248" s="1720"/>
      <c r="R248" s="1721"/>
      <c r="S248" s="1721"/>
      <c r="T248" s="1721"/>
      <c r="U248" s="1722"/>
      <c r="V248" s="2448" t="s">
        <v>803</v>
      </c>
      <c r="W248" s="2449"/>
      <c r="X248" s="2449"/>
      <c r="Y248" s="2449"/>
    </row>
    <row r="249" spans="1:25" ht="27.75" customHeight="1">
      <c r="A249" s="1190"/>
      <c r="B249" s="1191"/>
      <c r="C249" s="1191"/>
      <c r="D249" s="1201"/>
      <c r="E249" s="1201"/>
      <c r="F249" s="1201"/>
      <c r="G249" s="1192"/>
      <c r="H249" s="1192"/>
      <c r="I249" s="1193"/>
      <c r="J249" s="1193"/>
      <c r="K249" s="1193"/>
      <c r="L249" s="1193"/>
      <c r="O249" s="1191"/>
      <c r="V249" s="2448"/>
      <c r="W249" s="2449"/>
      <c r="X249" s="2449"/>
      <c r="Y249" s="2449"/>
    </row>
    <row r="250" spans="1:25" ht="24.75" customHeight="1">
      <c r="V250" s="2448"/>
      <c r="W250" s="2449"/>
      <c r="X250" s="2449"/>
      <c r="Y250" s="2449"/>
    </row>
    <row r="251" spans="1:25" ht="24.75" customHeight="1">
      <c r="V251" s="2448"/>
      <c r="W251" s="2449"/>
      <c r="X251" s="2449"/>
      <c r="Y251" s="2449"/>
    </row>
    <row r="252" spans="1:25" ht="24.75" customHeight="1">
      <c r="V252" s="2448"/>
      <c r="W252" s="2449"/>
      <c r="X252" s="2449"/>
      <c r="Y252" s="2449"/>
    </row>
  </sheetData>
  <mergeCells count="1054">
    <mergeCell ref="V252:Y252"/>
    <mergeCell ref="V243:Y243"/>
    <mergeCell ref="V244:Y244"/>
    <mergeCell ref="V245:Y245"/>
    <mergeCell ref="V246:Y246"/>
    <mergeCell ref="V247:Y247"/>
    <mergeCell ref="V248:Y248"/>
    <mergeCell ref="V249:Y249"/>
    <mergeCell ref="V250:Y250"/>
    <mergeCell ref="V251:Y251"/>
    <mergeCell ref="V234:Y234"/>
    <mergeCell ref="V235:Y235"/>
    <mergeCell ref="V236:Y236"/>
    <mergeCell ref="V237:Y237"/>
    <mergeCell ref="V238:Y238"/>
    <mergeCell ref="V239:Y239"/>
    <mergeCell ref="V240:Y240"/>
    <mergeCell ref="V241:Y241"/>
    <mergeCell ref="V242:Y242"/>
    <mergeCell ref="V225:Y225"/>
    <mergeCell ref="V226:Y226"/>
    <mergeCell ref="V227:Y227"/>
    <mergeCell ref="V228:Y228"/>
    <mergeCell ref="V229:Y229"/>
    <mergeCell ref="V230:Y230"/>
    <mergeCell ref="V231:Y231"/>
    <mergeCell ref="V232:Y232"/>
    <mergeCell ref="V233:Y233"/>
    <mergeCell ref="V216:Y216"/>
    <mergeCell ref="V217:Y217"/>
    <mergeCell ref="V218:Y218"/>
    <mergeCell ref="V219:Y219"/>
    <mergeCell ref="V220:Y220"/>
    <mergeCell ref="V221:Y221"/>
    <mergeCell ref="V222:Y222"/>
    <mergeCell ref="V223:Y223"/>
    <mergeCell ref="V224:Y224"/>
    <mergeCell ref="V207:Y207"/>
    <mergeCell ref="V208:Y208"/>
    <mergeCell ref="V209:Y209"/>
    <mergeCell ref="V210:Y210"/>
    <mergeCell ref="V211:Y211"/>
    <mergeCell ref="V212:Y212"/>
    <mergeCell ref="V213:Y213"/>
    <mergeCell ref="V214:Y214"/>
    <mergeCell ref="V215:Y215"/>
    <mergeCell ref="V198:Y198"/>
    <mergeCell ref="V199:Y199"/>
    <mergeCell ref="V200:Y200"/>
    <mergeCell ref="V201:Y201"/>
    <mergeCell ref="V202:Y202"/>
    <mergeCell ref="V203:Y203"/>
    <mergeCell ref="V204:Y204"/>
    <mergeCell ref="V205:Y205"/>
    <mergeCell ref="V206:Y206"/>
    <mergeCell ref="V189:Y189"/>
    <mergeCell ref="V190:Y190"/>
    <mergeCell ref="V191:Y191"/>
    <mergeCell ref="V192:Y192"/>
    <mergeCell ref="V193:Y193"/>
    <mergeCell ref="V194:Y194"/>
    <mergeCell ref="V195:Y195"/>
    <mergeCell ref="V196:Y196"/>
    <mergeCell ref="V197:Y197"/>
    <mergeCell ref="V180:Y180"/>
    <mergeCell ref="V181:Y181"/>
    <mergeCell ref="V182:Y182"/>
    <mergeCell ref="V183:Y183"/>
    <mergeCell ref="V184:Y184"/>
    <mergeCell ref="V185:Y185"/>
    <mergeCell ref="V186:Y186"/>
    <mergeCell ref="V187:Y187"/>
    <mergeCell ref="V188:Y188"/>
    <mergeCell ref="Q240:U240"/>
    <mergeCell ref="Q241:U241"/>
    <mergeCell ref="Q242:U242"/>
    <mergeCell ref="Q243:U243"/>
    <mergeCell ref="Q244:U244"/>
    <mergeCell ref="Q245:U245"/>
    <mergeCell ref="Q246:U246"/>
    <mergeCell ref="Q247:U247"/>
    <mergeCell ref="Q248:U248"/>
    <mergeCell ref="Q231:U231"/>
    <mergeCell ref="Q232:U232"/>
    <mergeCell ref="Q233:U233"/>
    <mergeCell ref="Q234:U234"/>
    <mergeCell ref="Q235:U235"/>
    <mergeCell ref="Q236:U236"/>
    <mergeCell ref="Q237:U237"/>
    <mergeCell ref="Q238:U238"/>
    <mergeCell ref="Q239:U239"/>
    <mergeCell ref="Q222:U222"/>
    <mergeCell ref="Q223:U223"/>
    <mergeCell ref="Q224:U224"/>
    <mergeCell ref="Q225:U225"/>
    <mergeCell ref="Q226:U226"/>
    <mergeCell ref="Q227:U227"/>
    <mergeCell ref="Q228:U228"/>
    <mergeCell ref="Q229:U229"/>
    <mergeCell ref="Q230:U230"/>
    <mergeCell ref="Q213:U213"/>
    <mergeCell ref="Q214:U214"/>
    <mergeCell ref="Q215:U215"/>
    <mergeCell ref="Q216:U216"/>
    <mergeCell ref="Q217:U217"/>
    <mergeCell ref="Q218:U218"/>
    <mergeCell ref="Q219:U219"/>
    <mergeCell ref="Q220:U220"/>
    <mergeCell ref="Q221:U221"/>
    <mergeCell ref="Q204:U204"/>
    <mergeCell ref="Q205:U205"/>
    <mergeCell ref="Q206:U206"/>
    <mergeCell ref="Q207:U207"/>
    <mergeCell ref="Q208:U208"/>
    <mergeCell ref="Q209:U209"/>
    <mergeCell ref="Q210:U210"/>
    <mergeCell ref="Q211:U211"/>
    <mergeCell ref="Q212:U212"/>
    <mergeCell ref="Q195:U195"/>
    <mergeCell ref="Q196:U196"/>
    <mergeCell ref="Q197:U197"/>
    <mergeCell ref="Q198:U198"/>
    <mergeCell ref="Q199:U199"/>
    <mergeCell ref="Q200:U200"/>
    <mergeCell ref="Q201:U201"/>
    <mergeCell ref="Q202:U202"/>
    <mergeCell ref="Q203:U203"/>
    <mergeCell ref="Q186:U186"/>
    <mergeCell ref="Q187:U187"/>
    <mergeCell ref="Q188:U188"/>
    <mergeCell ref="Q189:U189"/>
    <mergeCell ref="Q190:U190"/>
    <mergeCell ref="Q191:U191"/>
    <mergeCell ref="Q192:U192"/>
    <mergeCell ref="Q193:U193"/>
    <mergeCell ref="Q194:U194"/>
    <mergeCell ref="O172:O173"/>
    <mergeCell ref="O174:O175"/>
    <mergeCell ref="O176:O177"/>
    <mergeCell ref="Q180:U180"/>
    <mergeCell ref="Q181:U181"/>
    <mergeCell ref="Q182:U182"/>
    <mergeCell ref="Q183:U183"/>
    <mergeCell ref="Q184:U184"/>
    <mergeCell ref="Q185:U185"/>
    <mergeCell ref="O153:O154"/>
    <mergeCell ref="O155:O156"/>
    <mergeCell ref="O157:O158"/>
    <mergeCell ref="O159:O161"/>
    <mergeCell ref="O162:O163"/>
    <mergeCell ref="O164:O165"/>
    <mergeCell ref="O166:O167"/>
    <mergeCell ref="O168:O169"/>
    <mergeCell ref="O170:O171"/>
    <mergeCell ref="O135:O136"/>
    <mergeCell ref="O137:O138"/>
    <mergeCell ref="O139:O140"/>
    <mergeCell ref="O141:O142"/>
    <mergeCell ref="O143:O144"/>
    <mergeCell ref="O145:O146"/>
    <mergeCell ref="O147:O148"/>
    <mergeCell ref="O149:O150"/>
    <mergeCell ref="O151:O152"/>
    <mergeCell ref="O116:O117"/>
    <mergeCell ref="O118:O119"/>
    <mergeCell ref="O120:O121"/>
    <mergeCell ref="O122:O123"/>
    <mergeCell ref="O124:O125"/>
    <mergeCell ref="O126:O127"/>
    <mergeCell ref="O128:O130"/>
    <mergeCell ref="O131:O132"/>
    <mergeCell ref="O133:O134"/>
    <mergeCell ref="O97:O99"/>
    <mergeCell ref="O100:O101"/>
    <mergeCell ref="O102:O103"/>
    <mergeCell ref="O104:O105"/>
    <mergeCell ref="O106:O107"/>
    <mergeCell ref="O108:O109"/>
    <mergeCell ref="O110:O111"/>
    <mergeCell ref="O112:O113"/>
    <mergeCell ref="O114:O115"/>
    <mergeCell ref="O79:O80"/>
    <mergeCell ref="O81:O82"/>
    <mergeCell ref="O83:O84"/>
    <mergeCell ref="O85:O86"/>
    <mergeCell ref="O87:O88"/>
    <mergeCell ref="O89:O90"/>
    <mergeCell ref="O91:O92"/>
    <mergeCell ref="O93:O94"/>
    <mergeCell ref="O95:O96"/>
    <mergeCell ref="O60:O61"/>
    <mergeCell ref="O62:O63"/>
    <mergeCell ref="O64:O65"/>
    <mergeCell ref="O66:O68"/>
    <mergeCell ref="O69:O70"/>
    <mergeCell ref="O71:O72"/>
    <mergeCell ref="O73:O74"/>
    <mergeCell ref="O75:O76"/>
    <mergeCell ref="O77:O78"/>
    <mergeCell ref="O42:O43"/>
    <mergeCell ref="O44:O45"/>
    <mergeCell ref="O46:O47"/>
    <mergeCell ref="O48:O49"/>
    <mergeCell ref="O50:O51"/>
    <mergeCell ref="O52:O53"/>
    <mergeCell ref="O54:O55"/>
    <mergeCell ref="O56:O57"/>
    <mergeCell ref="O58:O59"/>
    <mergeCell ref="O23:O24"/>
    <mergeCell ref="O25:O26"/>
    <mergeCell ref="O27:O28"/>
    <mergeCell ref="O29:O30"/>
    <mergeCell ref="O31:O32"/>
    <mergeCell ref="O33:O34"/>
    <mergeCell ref="O35:O37"/>
    <mergeCell ref="O38:O39"/>
    <mergeCell ref="O40:O41"/>
    <mergeCell ref="O4:O6"/>
    <mergeCell ref="O7:O8"/>
    <mergeCell ref="O9:O10"/>
    <mergeCell ref="O11:O12"/>
    <mergeCell ref="O13:O14"/>
    <mergeCell ref="O15:O16"/>
    <mergeCell ref="O17:O18"/>
    <mergeCell ref="O19:O20"/>
    <mergeCell ref="O21:O22"/>
    <mergeCell ref="B247:F247"/>
    <mergeCell ref="I247:J247"/>
    <mergeCell ref="K247:L247"/>
    <mergeCell ref="B248:F248"/>
    <mergeCell ref="I248:J248"/>
    <mergeCell ref="K248:L248"/>
    <mergeCell ref="B245:F245"/>
    <mergeCell ref="I245:J245"/>
    <mergeCell ref="K245:L245"/>
    <mergeCell ref="B246:F246"/>
    <mergeCell ref="I246:J246"/>
    <mergeCell ref="K246:L246"/>
    <mergeCell ref="B243:F243"/>
    <mergeCell ref="I243:J243"/>
    <mergeCell ref="K243:L243"/>
    <mergeCell ref="B244:F244"/>
    <mergeCell ref="I244:J244"/>
    <mergeCell ref="K244:L244"/>
    <mergeCell ref="B241:F241"/>
    <mergeCell ref="I241:J241"/>
    <mergeCell ref="K241:L241"/>
    <mergeCell ref="B242:F242"/>
    <mergeCell ref="I242:J242"/>
    <mergeCell ref="K242:L242"/>
    <mergeCell ref="B239:F239"/>
    <mergeCell ref="I239:J239"/>
    <mergeCell ref="K239:L239"/>
    <mergeCell ref="B240:F240"/>
    <mergeCell ref="I240:J240"/>
    <mergeCell ref="K240:L240"/>
    <mergeCell ref="B237:F237"/>
    <mergeCell ref="I237:J237"/>
    <mergeCell ref="K237:L237"/>
    <mergeCell ref="B238:F238"/>
    <mergeCell ref="I238:J238"/>
    <mergeCell ref="K238:L238"/>
    <mergeCell ref="B235:F235"/>
    <mergeCell ref="I235:J235"/>
    <mergeCell ref="K235:L235"/>
    <mergeCell ref="B236:F236"/>
    <mergeCell ref="I236:J236"/>
    <mergeCell ref="K236:L236"/>
    <mergeCell ref="B233:F233"/>
    <mergeCell ref="I233:J233"/>
    <mergeCell ref="K233:L233"/>
    <mergeCell ref="B234:F234"/>
    <mergeCell ref="I234:J234"/>
    <mergeCell ref="K234:L234"/>
    <mergeCell ref="B231:F231"/>
    <mergeCell ref="I231:J231"/>
    <mergeCell ref="K231:L231"/>
    <mergeCell ref="B232:F232"/>
    <mergeCell ref="I232:J232"/>
    <mergeCell ref="K232:L232"/>
    <mergeCell ref="B229:F229"/>
    <mergeCell ref="I229:J229"/>
    <mergeCell ref="K229:L229"/>
    <mergeCell ref="B230:F230"/>
    <mergeCell ref="I230:J230"/>
    <mergeCell ref="K230:L230"/>
    <mergeCell ref="B227:F227"/>
    <mergeCell ref="I227:J227"/>
    <mergeCell ref="K227:L227"/>
    <mergeCell ref="B228:F228"/>
    <mergeCell ref="I228:J228"/>
    <mergeCell ref="K228:L228"/>
    <mergeCell ref="B225:F225"/>
    <mergeCell ref="I225:J225"/>
    <mergeCell ref="K225:L225"/>
    <mergeCell ref="B226:F226"/>
    <mergeCell ref="I226:J226"/>
    <mergeCell ref="K226:L226"/>
    <mergeCell ref="B223:F223"/>
    <mergeCell ref="I223:J223"/>
    <mergeCell ref="K223:L223"/>
    <mergeCell ref="B224:F224"/>
    <mergeCell ref="I224:J224"/>
    <mergeCell ref="K224:L224"/>
    <mergeCell ref="B221:F221"/>
    <mergeCell ref="I221:J221"/>
    <mergeCell ref="K221:L221"/>
    <mergeCell ref="B222:F222"/>
    <mergeCell ref="I222:J222"/>
    <mergeCell ref="K222:L222"/>
    <mergeCell ref="B219:F219"/>
    <mergeCell ref="I219:J219"/>
    <mergeCell ref="K219:L219"/>
    <mergeCell ref="B220:F220"/>
    <mergeCell ref="I220:J220"/>
    <mergeCell ref="K220:L220"/>
    <mergeCell ref="B217:F217"/>
    <mergeCell ref="I217:J217"/>
    <mergeCell ref="K217:L217"/>
    <mergeCell ref="B218:F218"/>
    <mergeCell ref="I218:J218"/>
    <mergeCell ref="K218:L218"/>
    <mergeCell ref="B215:F215"/>
    <mergeCell ref="I215:J215"/>
    <mergeCell ref="K215:L215"/>
    <mergeCell ref="B216:F216"/>
    <mergeCell ref="I216:J216"/>
    <mergeCell ref="K216:L216"/>
    <mergeCell ref="B213:F213"/>
    <mergeCell ref="I213:J213"/>
    <mergeCell ref="K213:L213"/>
    <mergeCell ref="B214:F214"/>
    <mergeCell ref="I214:J214"/>
    <mergeCell ref="K214:L214"/>
    <mergeCell ref="B211:F211"/>
    <mergeCell ref="I211:J211"/>
    <mergeCell ref="K211:L211"/>
    <mergeCell ref="B212:F212"/>
    <mergeCell ref="I212:J212"/>
    <mergeCell ref="K212:L212"/>
    <mergeCell ref="B209:F209"/>
    <mergeCell ref="I209:J209"/>
    <mergeCell ref="K209:L209"/>
    <mergeCell ref="B210:F210"/>
    <mergeCell ref="I210:J210"/>
    <mergeCell ref="K210:L210"/>
    <mergeCell ref="B207:F207"/>
    <mergeCell ref="I207:J207"/>
    <mergeCell ref="K207:L207"/>
    <mergeCell ref="B208:F208"/>
    <mergeCell ref="I208:J208"/>
    <mergeCell ref="K208:L208"/>
    <mergeCell ref="B205:F205"/>
    <mergeCell ref="I205:J205"/>
    <mergeCell ref="K205:L205"/>
    <mergeCell ref="B206:F206"/>
    <mergeCell ref="I206:J206"/>
    <mergeCell ref="K206:L206"/>
    <mergeCell ref="B203:F203"/>
    <mergeCell ref="I203:J203"/>
    <mergeCell ref="K203:L203"/>
    <mergeCell ref="B204:F204"/>
    <mergeCell ref="I204:J204"/>
    <mergeCell ref="K204:L204"/>
    <mergeCell ref="B201:F201"/>
    <mergeCell ref="I201:J201"/>
    <mergeCell ref="K201:L201"/>
    <mergeCell ref="B202:F202"/>
    <mergeCell ref="I202:J202"/>
    <mergeCell ref="K202:L202"/>
    <mergeCell ref="B199:F199"/>
    <mergeCell ref="I199:J199"/>
    <mergeCell ref="K199:L199"/>
    <mergeCell ref="B200:F200"/>
    <mergeCell ref="I200:J200"/>
    <mergeCell ref="K200:L200"/>
    <mergeCell ref="B197:F197"/>
    <mergeCell ref="I197:J197"/>
    <mergeCell ref="K197:L197"/>
    <mergeCell ref="B198:F198"/>
    <mergeCell ref="I198:J198"/>
    <mergeCell ref="K198:L198"/>
    <mergeCell ref="B195:F195"/>
    <mergeCell ref="I195:J195"/>
    <mergeCell ref="K195:L195"/>
    <mergeCell ref="B196:F196"/>
    <mergeCell ref="I196:J196"/>
    <mergeCell ref="K196:L196"/>
    <mergeCell ref="B193:F193"/>
    <mergeCell ref="I193:J193"/>
    <mergeCell ref="K193:L193"/>
    <mergeCell ref="B194:F194"/>
    <mergeCell ref="I194:J194"/>
    <mergeCell ref="K194:L194"/>
    <mergeCell ref="B191:F191"/>
    <mergeCell ref="I191:J191"/>
    <mergeCell ref="K191:L191"/>
    <mergeCell ref="B192:F192"/>
    <mergeCell ref="I192:J192"/>
    <mergeCell ref="K192:L192"/>
    <mergeCell ref="B189:F189"/>
    <mergeCell ref="I189:J189"/>
    <mergeCell ref="K189:L189"/>
    <mergeCell ref="B190:F190"/>
    <mergeCell ref="I190:J190"/>
    <mergeCell ref="K190:L190"/>
    <mergeCell ref="B187:F187"/>
    <mergeCell ref="I187:J187"/>
    <mergeCell ref="K187:L187"/>
    <mergeCell ref="B188:F188"/>
    <mergeCell ref="I188:J188"/>
    <mergeCell ref="K188:L188"/>
    <mergeCell ref="B185:F185"/>
    <mergeCell ref="I185:J185"/>
    <mergeCell ref="K185:L185"/>
    <mergeCell ref="B186:F186"/>
    <mergeCell ref="I186:J186"/>
    <mergeCell ref="K186:L186"/>
    <mergeCell ref="B183:F183"/>
    <mergeCell ref="I183:J183"/>
    <mergeCell ref="K183:L183"/>
    <mergeCell ref="B184:F184"/>
    <mergeCell ref="I184:J184"/>
    <mergeCell ref="K184:L184"/>
    <mergeCell ref="B181:F181"/>
    <mergeCell ref="I181:J181"/>
    <mergeCell ref="K181:L181"/>
    <mergeCell ref="B182:F182"/>
    <mergeCell ref="I182:J182"/>
    <mergeCell ref="K182:L182"/>
    <mergeCell ref="B179:F179"/>
    <mergeCell ref="I179:J179"/>
    <mergeCell ref="K179:L179"/>
    <mergeCell ref="B180:F180"/>
    <mergeCell ref="I180:J180"/>
    <mergeCell ref="K180:L180"/>
    <mergeCell ref="A176:A177"/>
    <mergeCell ref="B176:B177"/>
    <mergeCell ref="D176:D177"/>
    <mergeCell ref="E176:G176"/>
    <mergeCell ref="I176:K176"/>
    <mergeCell ref="E177:G177"/>
    <mergeCell ref="J177:L177"/>
    <mergeCell ref="A174:A175"/>
    <mergeCell ref="B174:B175"/>
    <mergeCell ref="D174:D175"/>
    <mergeCell ref="E174:G174"/>
    <mergeCell ref="I174:K174"/>
    <mergeCell ref="E175:G175"/>
    <mergeCell ref="J175:L175"/>
    <mergeCell ref="A172:A173"/>
    <mergeCell ref="B172:B173"/>
    <mergeCell ref="D172:D173"/>
    <mergeCell ref="E172:G172"/>
    <mergeCell ref="I172:K172"/>
    <mergeCell ref="E173:G173"/>
    <mergeCell ref="J173:L173"/>
    <mergeCell ref="A170:A171"/>
    <mergeCell ref="B170:B171"/>
    <mergeCell ref="D170:D171"/>
    <mergeCell ref="E170:G170"/>
    <mergeCell ref="I170:K170"/>
    <mergeCell ref="E171:G171"/>
    <mergeCell ref="J171:L171"/>
    <mergeCell ref="A168:A169"/>
    <mergeCell ref="B168:B169"/>
    <mergeCell ref="D168:D169"/>
    <mergeCell ref="E168:G168"/>
    <mergeCell ref="I168:K168"/>
    <mergeCell ref="E169:G169"/>
    <mergeCell ref="J169:L169"/>
    <mergeCell ref="A166:A167"/>
    <mergeCell ref="B166:B167"/>
    <mergeCell ref="D166:D167"/>
    <mergeCell ref="E166:G166"/>
    <mergeCell ref="I166:K166"/>
    <mergeCell ref="E167:G167"/>
    <mergeCell ref="J167:L167"/>
    <mergeCell ref="A164:A165"/>
    <mergeCell ref="B164:B165"/>
    <mergeCell ref="D164:D165"/>
    <mergeCell ref="E164:G164"/>
    <mergeCell ref="I164:K164"/>
    <mergeCell ref="E165:G165"/>
    <mergeCell ref="J165:L165"/>
    <mergeCell ref="I161:J161"/>
    <mergeCell ref="K161:L161"/>
    <mergeCell ref="A162:A163"/>
    <mergeCell ref="B162:B163"/>
    <mergeCell ref="D162:D163"/>
    <mergeCell ref="E162:G162"/>
    <mergeCell ref="I162:K162"/>
    <mergeCell ref="E163:G163"/>
    <mergeCell ref="J163:L163"/>
    <mergeCell ref="A159:A161"/>
    <mergeCell ref="B159:B161"/>
    <mergeCell ref="C159:C161"/>
    <mergeCell ref="D159:D161"/>
    <mergeCell ref="E159:J159"/>
    <mergeCell ref="K159:L160"/>
    <mergeCell ref="E160:E161"/>
    <mergeCell ref="F160:G160"/>
    <mergeCell ref="I160:J160"/>
    <mergeCell ref="F161:G161"/>
    <mergeCell ref="A157:A158"/>
    <mergeCell ref="B157:B158"/>
    <mergeCell ref="D157:D158"/>
    <mergeCell ref="E157:G157"/>
    <mergeCell ref="I157:K157"/>
    <mergeCell ref="E158:G158"/>
    <mergeCell ref="J158:L158"/>
    <mergeCell ref="A155:A156"/>
    <mergeCell ref="B155:B156"/>
    <mergeCell ref="D155:D156"/>
    <mergeCell ref="E155:G155"/>
    <mergeCell ref="I155:K155"/>
    <mergeCell ref="E156:G156"/>
    <mergeCell ref="J156:L156"/>
    <mergeCell ref="A153:A154"/>
    <mergeCell ref="B153:B154"/>
    <mergeCell ref="D153:D154"/>
    <mergeCell ref="E153:G153"/>
    <mergeCell ref="I153:K153"/>
    <mergeCell ref="E154:G154"/>
    <mergeCell ref="J154:L154"/>
    <mergeCell ref="A151:A152"/>
    <mergeCell ref="B151:B152"/>
    <mergeCell ref="D151:D152"/>
    <mergeCell ref="E151:G151"/>
    <mergeCell ref="I151:K151"/>
    <mergeCell ref="E152:G152"/>
    <mergeCell ref="J152:L152"/>
    <mergeCell ref="A149:A150"/>
    <mergeCell ref="B149:B150"/>
    <mergeCell ref="D149:D150"/>
    <mergeCell ref="E149:G149"/>
    <mergeCell ref="I149:K149"/>
    <mergeCell ref="E150:G150"/>
    <mergeCell ref="J150:L150"/>
    <mergeCell ref="A147:A148"/>
    <mergeCell ref="B147:B148"/>
    <mergeCell ref="D147:D148"/>
    <mergeCell ref="E147:G147"/>
    <mergeCell ref="I147:K147"/>
    <mergeCell ref="E148:G148"/>
    <mergeCell ref="J148:L148"/>
    <mergeCell ref="A145:A146"/>
    <mergeCell ref="B145:B146"/>
    <mergeCell ref="D145:D146"/>
    <mergeCell ref="E145:G145"/>
    <mergeCell ref="I145:K145"/>
    <mergeCell ref="E146:G146"/>
    <mergeCell ref="J146:L146"/>
    <mergeCell ref="A143:A144"/>
    <mergeCell ref="B143:B144"/>
    <mergeCell ref="D143:D144"/>
    <mergeCell ref="E143:G143"/>
    <mergeCell ref="I143:K143"/>
    <mergeCell ref="E144:G144"/>
    <mergeCell ref="J144:L144"/>
    <mergeCell ref="A141:A142"/>
    <mergeCell ref="B141:B142"/>
    <mergeCell ref="D141:D142"/>
    <mergeCell ref="E141:G141"/>
    <mergeCell ref="I141:K141"/>
    <mergeCell ref="E142:G142"/>
    <mergeCell ref="J142:L142"/>
    <mergeCell ref="A139:A140"/>
    <mergeCell ref="B139:B140"/>
    <mergeCell ref="D139:D140"/>
    <mergeCell ref="E139:G139"/>
    <mergeCell ref="I139:K139"/>
    <mergeCell ref="E140:G140"/>
    <mergeCell ref="J140:L140"/>
    <mergeCell ref="A137:A138"/>
    <mergeCell ref="B137:B138"/>
    <mergeCell ref="D137:D138"/>
    <mergeCell ref="E137:G137"/>
    <mergeCell ref="I137:K137"/>
    <mergeCell ref="E138:G138"/>
    <mergeCell ref="J138:L138"/>
    <mergeCell ref="A135:A136"/>
    <mergeCell ref="B135:B136"/>
    <mergeCell ref="D135:D136"/>
    <mergeCell ref="E135:G135"/>
    <mergeCell ref="I135:K135"/>
    <mergeCell ref="E136:G136"/>
    <mergeCell ref="J136:L136"/>
    <mergeCell ref="A133:A134"/>
    <mergeCell ref="B133:B134"/>
    <mergeCell ref="D133:D134"/>
    <mergeCell ref="E133:G133"/>
    <mergeCell ref="I133:K133"/>
    <mergeCell ref="E134:G134"/>
    <mergeCell ref="J134:L134"/>
    <mergeCell ref="I130:J130"/>
    <mergeCell ref="K130:L130"/>
    <mergeCell ref="A131:A132"/>
    <mergeCell ref="B131:B132"/>
    <mergeCell ref="D131:D132"/>
    <mergeCell ref="E131:G131"/>
    <mergeCell ref="I131:K131"/>
    <mergeCell ref="E132:G132"/>
    <mergeCell ref="J132:L132"/>
    <mergeCell ref="A128:A130"/>
    <mergeCell ref="B128:B130"/>
    <mergeCell ref="C128:C130"/>
    <mergeCell ref="D128:D130"/>
    <mergeCell ref="E128:J128"/>
    <mergeCell ref="K128:L129"/>
    <mergeCell ref="E129:E130"/>
    <mergeCell ref="F129:G129"/>
    <mergeCell ref="I129:J129"/>
    <mergeCell ref="F130:G130"/>
    <mergeCell ref="A126:A127"/>
    <mergeCell ref="B126:B127"/>
    <mergeCell ref="D126:D127"/>
    <mergeCell ref="E126:G126"/>
    <mergeCell ref="I126:K126"/>
    <mergeCell ref="E127:G127"/>
    <mergeCell ref="J127:L127"/>
    <mergeCell ref="A124:A125"/>
    <mergeCell ref="B124:B125"/>
    <mergeCell ref="D124:D125"/>
    <mergeCell ref="E124:G124"/>
    <mergeCell ref="I124:K124"/>
    <mergeCell ref="E125:G125"/>
    <mergeCell ref="J125:L125"/>
    <mergeCell ref="A122:A123"/>
    <mergeCell ref="B122:B123"/>
    <mergeCell ref="D122:D123"/>
    <mergeCell ref="E122:G122"/>
    <mergeCell ref="I122:K122"/>
    <mergeCell ref="E123:G123"/>
    <mergeCell ref="J123:L123"/>
    <mergeCell ref="A120:A121"/>
    <mergeCell ref="B120:B121"/>
    <mergeCell ref="D120:D121"/>
    <mergeCell ref="E120:G120"/>
    <mergeCell ref="I120:K120"/>
    <mergeCell ref="E121:G121"/>
    <mergeCell ref="J121:L121"/>
    <mergeCell ref="A118:A119"/>
    <mergeCell ref="B118:B119"/>
    <mergeCell ref="D118:D119"/>
    <mergeCell ref="E118:G118"/>
    <mergeCell ref="I118:K118"/>
    <mergeCell ref="E119:G119"/>
    <mergeCell ref="J119:L119"/>
    <mergeCell ref="A116:A117"/>
    <mergeCell ref="B116:B117"/>
    <mergeCell ref="D116:D117"/>
    <mergeCell ref="E116:G116"/>
    <mergeCell ref="I116:K116"/>
    <mergeCell ref="E117:G117"/>
    <mergeCell ref="J117:L117"/>
    <mergeCell ref="A114:A115"/>
    <mergeCell ref="B114:B115"/>
    <mergeCell ref="D114:D115"/>
    <mergeCell ref="E114:G114"/>
    <mergeCell ref="I114:K114"/>
    <mergeCell ref="E115:G115"/>
    <mergeCell ref="J115:L115"/>
    <mergeCell ref="A112:A113"/>
    <mergeCell ref="B112:B113"/>
    <mergeCell ref="D112:D113"/>
    <mergeCell ref="E112:G112"/>
    <mergeCell ref="I112:K112"/>
    <mergeCell ref="E113:G113"/>
    <mergeCell ref="J113:L113"/>
    <mergeCell ref="A110:A111"/>
    <mergeCell ref="B110:B111"/>
    <mergeCell ref="D110:D111"/>
    <mergeCell ref="E110:G110"/>
    <mergeCell ref="I110:K110"/>
    <mergeCell ref="E111:G111"/>
    <mergeCell ref="J111:L111"/>
    <mergeCell ref="A108:A109"/>
    <mergeCell ref="B108:B109"/>
    <mergeCell ref="D108:D109"/>
    <mergeCell ref="E108:G108"/>
    <mergeCell ref="I108:K108"/>
    <mergeCell ref="E109:G109"/>
    <mergeCell ref="J109:L109"/>
    <mergeCell ref="A106:A107"/>
    <mergeCell ref="B106:B107"/>
    <mergeCell ref="D106:D107"/>
    <mergeCell ref="E106:G106"/>
    <mergeCell ref="I106:K106"/>
    <mergeCell ref="E107:G107"/>
    <mergeCell ref="J107:L107"/>
    <mergeCell ref="A104:A105"/>
    <mergeCell ref="B104:B105"/>
    <mergeCell ref="D104:D105"/>
    <mergeCell ref="E104:G104"/>
    <mergeCell ref="I104:K104"/>
    <mergeCell ref="E105:G105"/>
    <mergeCell ref="J105:L105"/>
    <mergeCell ref="A102:A103"/>
    <mergeCell ref="B102:B103"/>
    <mergeCell ref="D102:D103"/>
    <mergeCell ref="E102:G102"/>
    <mergeCell ref="I102:K102"/>
    <mergeCell ref="E103:G103"/>
    <mergeCell ref="J103:L103"/>
    <mergeCell ref="I99:J99"/>
    <mergeCell ref="K99:L99"/>
    <mergeCell ref="A100:A101"/>
    <mergeCell ref="B100:B101"/>
    <mergeCell ref="D100:D101"/>
    <mergeCell ref="E100:G100"/>
    <mergeCell ref="I100:K100"/>
    <mergeCell ref="E101:G101"/>
    <mergeCell ref="J101:L101"/>
    <mergeCell ref="A97:A99"/>
    <mergeCell ref="B97:B99"/>
    <mergeCell ref="C97:C99"/>
    <mergeCell ref="D97:D99"/>
    <mergeCell ref="E97:J97"/>
    <mergeCell ref="K97:L98"/>
    <mergeCell ref="E98:E99"/>
    <mergeCell ref="F98:G98"/>
    <mergeCell ref="I98:J98"/>
    <mergeCell ref="F99:G99"/>
    <mergeCell ref="A95:A96"/>
    <mergeCell ref="B95:B96"/>
    <mergeCell ref="D95:D96"/>
    <mergeCell ref="E95:G95"/>
    <mergeCell ref="I95:K95"/>
    <mergeCell ref="E96:G96"/>
    <mergeCell ref="J96:L96"/>
    <mergeCell ref="A93:A94"/>
    <mergeCell ref="B93:B94"/>
    <mergeCell ref="D93:D94"/>
    <mergeCell ref="E93:G93"/>
    <mergeCell ref="I93:K93"/>
    <mergeCell ref="E94:G94"/>
    <mergeCell ref="J94:L94"/>
    <mergeCell ref="A91:A92"/>
    <mergeCell ref="B91:B92"/>
    <mergeCell ref="D91:D92"/>
    <mergeCell ref="E91:G91"/>
    <mergeCell ref="I91:K91"/>
    <mergeCell ref="E92:G92"/>
    <mergeCell ref="J92:L92"/>
    <mergeCell ref="A89:A90"/>
    <mergeCell ref="B89:B90"/>
    <mergeCell ref="D89:D90"/>
    <mergeCell ref="E89:G89"/>
    <mergeCell ref="I89:K89"/>
    <mergeCell ref="E90:G90"/>
    <mergeCell ref="J90:L90"/>
    <mergeCell ref="A87:A88"/>
    <mergeCell ref="B87:B88"/>
    <mergeCell ref="D87:D88"/>
    <mergeCell ref="E87:G87"/>
    <mergeCell ref="I87:K87"/>
    <mergeCell ref="E88:G88"/>
    <mergeCell ref="J88:L88"/>
    <mergeCell ref="A85:A86"/>
    <mergeCell ref="B85:B86"/>
    <mergeCell ref="D85:D86"/>
    <mergeCell ref="E85:G85"/>
    <mergeCell ref="I85:K85"/>
    <mergeCell ref="E86:G86"/>
    <mergeCell ref="J86:L86"/>
    <mergeCell ref="A83:A84"/>
    <mergeCell ref="B83:B84"/>
    <mergeCell ref="D83:D84"/>
    <mergeCell ref="E83:G83"/>
    <mergeCell ref="I83:K83"/>
    <mergeCell ref="E84:G84"/>
    <mergeCell ref="J84:L84"/>
    <mergeCell ref="A81:A82"/>
    <mergeCell ref="B81:B82"/>
    <mergeCell ref="D81:D82"/>
    <mergeCell ref="E81:G81"/>
    <mergeCell ref="I81:K81"/>
    <mergeCell ref="E82:G82"/>
    <mergeCell ref="J82:L82"/>
    <mergeCell ref="A79:A80"/>
    <mergeCell ref="B79:B80"/>
    <mergeCell ref="D79:D80"/>
    <mergeCell ref="E79:G79"/>
    <mergeCell ref="I79:K79"/>
    <mergeCell ref="E80:G80"/>
    <mergeCell ref="J80:L80"/>
    <mergeCell ref="A77:A78"/>
    <mergeCell ref="B77:B78"/>
    <mergeCell ref="D77:D78"/>
    <mergeCell ref="E77:G77"/>
    <mergeCell ref="I77:K77"/>
    <mergeCell ref="E78:G78"/>
    <mergeCell ref="J78:L78"/>
    <mergeCell ref="A75:A76"/>
    <mergeCell ref="B75:B76"/>
    <mergeCell ref="D75:D76"/>
    <mergeCell ref="E75:G75"/>
    <mergeCell ref="I75:K75"/>
    <mergeCell ref="E76:G76"/>
    <mergeCell ref="J76:L76"/>
    <mergeCell ref="A73:A74"/>
    <mergeCell ref="B73:B74"/>
    <mergeCell ref="D73:D74"/>
    <mergeCell ref="E73:G73"/>
    <mergeCell ref="I73:K73"/>
    <mergeCell ref="E74:G74"/>
    <mergeCell ref="J74:L74"/>
    <mergeCell ref="A71:A72"/>
    <mergeCell ref="B71:B72"/>
    <mergeCell ref="D71:D72"/>
    <mergeCell ref="E71:G71"/>
    <mergeCell ref="I71:K71"/>
    <mergeCell ref="E72:G72"/>
    <mergeCell ref="J72:L72"/>
    <mergeCell ref="I68:J68"/>
    <mergeCell ref="K68:L68"/>
    <mergeCell ref="A69:A70"/>
    <mergeCell ref="B69:B70"/>
    <mergeCell ref="D69:D70"/>
    <mergeCell ref="E69:G69"/>
    <mergeCell ref="I69:K69"/>
    <mergeCell ref="E70:G70"/>
    <mergeCell ref="J70:L70"/>
    <mergeCell ref="A66:A68"/>
    <mergeCell ref="B66:B68"/>
    <mergeCell ref="C66:C68"/>
    <mergeCell ref="D66:D68"/>
    <mergeCell ref="E66:J66"/>
    <mergeCell ref="K66:L67"/>
    <mergeCell ref="E67:E68"/>
    <mergeCell ref="F67:G67"/>
    <mergeCell ref="I67:J67"/>
    <mergeCell ref="F68:G68"/>
    <mergeCell ref="A64:A65"/>
    <mergeCell ref="B64:B65"/>
    <mergeCell ref="D64:D65"/>
    <mergeCell ref="E64:G64"/>
    <mergeCell ref="I64:K64"/>
    <mergeCell ref="E65:G65"/>
    <mergeCell ref="J65:L65"/>
    <mergeCell ref="A62:A63"/>
    <mergeCell ref="B62:B63"/>
    <mergeCell ref="D62:D63"/>
    <mergeCell ref="E62:G62"/>
    <mergeCell ref="I62:K62"/>
    <mergeCell ref="E63:G63"/>
    <mergeCell ref="J63:L63"/>
    <mergeCell ref="A60:A61"/>
    <mergeCell ref="B60:B61"/>
    <mergeCell ref="D60:D61"/>
    <mergeCell ref="E60:G60"/>
    <mergeCell ref="I60:K60"/>
    <mergeCell ref="E61:G61"/>
    <mergeCell ref="J61:L61"/>
    <mergeCell ref="A58:A59"/>
    <mergeCell ref="B58:B59"/>
    <mergeCell ref="D58:D59"/>
    <mergeCell ref="E58:G58"/>
    <mergeCell ref="I58:K58"/>
    <mergeCell ref="E59:G59"/>
    <mergeCell ref="J59:L59"/>
    <mergeCell ref="A56:A57"/>
    <mergeCell ref="B56:B57"/>
    <mergeCell ref="D56:D57"/>
    <mergeCell ref="E56:G56"/>
    <mergeCell ref="I56:K56"/>
    <mergeCell ref="E57:G57"/>
    <mergeCell ref="J57:L57"/>
    <mergeCell ref="A54:A55"/>
    <mergeCell ref="B54:B55"/>
    <mergeCell ref="D54:D55"/>
    <mergeCell ref="E54:G54"/>
    <mergeCell ref="I54:K54"/>
    <mergeCell ref="E55:G55"/>
    <mergeCell ref="J55:L55"/>
    <mergeCell ref="A52:A53"/>
    <mergeCell ref="B52:B53"/>
    <mergeCell ref="D52:D53"/>
    <mergeCell ref="E52:G52"/>
    <mergeCell ref="I52:K52"/>
    <mergeCell ref="E53:G53"/>
    <mergeCell ref="J53:L53"/>
    <mergeCell ref="A50:A51"/>
    <mergeCell ref="B50:B51"/>
    <mergeCell ref="D50:D51"/>
    <mergeCell ref="E50:G50"/>
    <mergeCell ref="I50:K50"/>
    <mergeCell ref="E51:G51"/>
    <mergeCell ref="J51:L51"/>
    <mergeCell ref="A48:A49"/>
    <mergeCell ref="B48:B49"/>
    <mergeCell ref="D48:D49"/>
    <mergeCell ref="E48:G48"/>
    <mergeCell ref="I48:K48"/>
    <mergeCell ref="E49:G49"/>
    <mergeCell ref="J49:L49"/>
    <mergeCell ref="A46:A47"/>
    <mergeCell ref="B46:B47"/>
    <mergeCell ref="D46:D47"/>
    <mergeCell ref="E46:G46"/>
    <mergeCell ref="I46:K46"/>
    <mergeCell ref="E47:G47"/>
    <mergeCell ref="J47:L47"/>
    <mergeCell ref="A44:A45"/>
    <mergeCell ref="B44:B45"/>
    <mergeCell ref="D44:D45"/>
    <mergeCell ref="E44:G44"/>
    <mergeCell ref="I44:K44"/>
    <mergeCell ref="E45:G45"/>
    <mergeCell ref="J45:L45"/>
    <mergeCell ref="A42:A43"/>
    <mergeCell ref="B42:B43"/>
    <mergeCell ref="D42:D43"/>
    <mergeCell ref="E42:G42"/>
    <mergeCell ref="I42:K42"/>
    <mergeCell ref="E43:G43"/>
    <mergeCell ref="J43:L43"/>
    <mergeCell ref="A40:A41"/>
    <mergeCell ref="B40:B41"/>
    <mergeCell ref="D40:D41"/>
    <mergeCell ref="E40:G40"/>
    <mergeCell ref="I40:K40"/>
    <mergeCell ref="E41:G41"/>
    <mergeCell ref="J41:L41"/>
    <mergeCell ref="I37:J37"/>
    <mergeCell ref="K37:L37"/>
    <mergeCell ref="A38:A39"/>
    <mergeCell ref="B38:B39"/>
    <mergeCell ref="D38:D39"/>
    <mergeCell ref="E38:G38"/>
    <mergeCell ref="I38:K38"/>
    <mergeCell ref="E39:G39"/>
    <mergeCell ref="J39:L39"/>
    <mergeCell ref="A35:A37"/>
    <mergeCell ref="B35:B37"/>
    <mergeCell ref="C35:C37"/>
    <mergeCell ref="D35:D37"/>
    <mergeCell ref="E35:J35"/>
    <mergeCell ref="K35:L36"/>
    <mergeCell ref="E36:E37"/>
    <mergeCell ref="F36:G36"/>
    <mergeCell ref="I36:J36"/>
    <mergeCell ref="F37:G37"/>
    <mergeCell ref="A33:A34"/>
    <mergeCell ref="B33:B34"/>
    <mergeCell ref="D33:D34"/>
    <mergeCell ref="E33:G33"/>
    <mergeCell ref="I33:K33"/>
    <mergeCell ref="E34:G34"/>
    <mergeCell ref="J34:L34"/>
    <mergeCell ref="A31:A32"/>
    <mergeCell ref="B31:B32"/>
    <mergeCell ref="D31:D32"/>
    <mergeCell ref="E31:G31"/>
    <mergeCell ref="I31:K31"/>
    <mergeCell ref="E32:G32"/>
    <mergeCell ref="J32:L32"/>
    <mergeCell ref="A29:A30"/>
    <mergeCell ref="B29:B30"/>
    <mergeCell ref="D29:D30"/>
    <mergeCell ref="E29:G29"/>
    <mergeCell ref="I29:K29"/>
    <mergeCell ref="E30:G30"/>
    <mergeCell ref="J30:L30"/>
    <mergeCell ref="A27:A28"/>
    <mergeCell ref="B27:B28"/>
    <mergeCell ref="D27:D28"/>
    <mergeCell ref="E27:G27"/>
    <mergeCell ref="I27:K27"/>
    <mergeCell ref="E28:G28"/>
    <mergeCell ref="J28:L28"/>
    <mergeCell ref="A25:A26"/>
    <mergeCell ref="B25:B26"/>
    <mergeCell ref="D25:D26"/>
    <mergeCell ref="E25:G25"/>
    <mergeCell ref="I25:K25"/>
    <mergeCell ref="E26:G26"/>
    <mergeCell ref="J26:L26"/>
    <mergeCell ref="A23:A24"/>
    <mergeCell ref="B23:B24"/>
    <mergeCell ref="D23:D24"/>
    <mergeCell ref="E23:G23"/>
    <mergeCell ref="I23:K23"/>
    <mergeCell ref="E24:G24"/>
    <mergeCell ref="J24:L24"/>
    <mergeCell ref="A21:A22"/>
    <mergeCell ref="B21:B22"/>
    <mergeCell ref="D21:D22"/>
    <mergeCell ref="E21:G21"/>
    <mergeCell ref="I21:K21"/>
    <mergeCell ref="E22:G22"/>
    <mergeCell ref="J22:L22"/>
    <mergeCell ref="A19:A20"/>
    <mergeCell ref="B19:B20"/>
    <mergeCell ref="D19:D20"/>
    <mergeCell ref="E19:G19"/>
    <mergeCell ref="I19:K19"/>
    <mergeCell ref="E20:G20"/>
    <mergeCell ref="J20:L20"/>
    <mergeCell ref="I9:K9"/>
    <mergeCell ref="E10:G10"/>
    <mergeCell ref="A17:A18"/>
    <mergeCell ref="B17:B18"/>
    <mergeCell ref="D17:D18"/>
    <mergeCell ref="E17:G17"/>
    <mergeCell ref="I17:K17"/>
    <mergeCell ref="E18:G18"/>
    <mergeCell ref="J18:L18"/>
    <mergeCell ref="A15:A16"/>
    <mergeCell ref="B15:B16"/>
    <mergeCell ref="D15:D16"/>
    <mergeCell ref="E15:G15"/>
    <mergeCell ref="I15:K15"/>
    <mergeCell ref="E16:G16"/>
    <mergeCell ref="J16:L16"/>
    <mergeCell ref="A13:A14"/>
    <mergeCell ref="B13:B14"/>
    <mergeCell ref="I6:J6"/>
    <mergeCell ref="K6:L6"/>
    <mergeCell ref="A7:A8"/>
    <mergeCell ref="B7:B8"/>
    <mergeCell ref="D7:D8"/>
    <mergeCell ref="E7:G7"/>
    <mergeCell ref="I7:K7"/>
    <mergeCell ref="E8:G8"/>
    <mergeCell ref="J8:L8"/>
    <mergeCell ref="A4:A6"/>
    <mergeCell ref="B4:B6"/>
    <mergeCell ref="C4:C6"/>
    <mergeCell ref="D4:D6"/>
    <mergeCell ref="E4:J4"/>
    <mergeCell ref="K4:L5"/>
    <mergeCell ref="E5:E6"/>
    <mergeCell ref="F5:G5"/>
    <mergeCell ref="I5:J5"/>
    <mergeCell ref="F6:G6"/>
    <mergeCell ref="A9:A10"/>
    <mergeCell ref="B9:B10"/>
    <mergeCell ref="D9:D10"/>
    <mergeCell ref="E9:G9"/>
    <mergeCell ref="D13:D14"/>
    <mergeCell ref="E13:G13"/>
    <mergeCell ref="I13:K13"/>
    <mergeCell ref="E14:G14"/>
    <mergeCell ref="J14:L14"/>
    <mergeCell ref="A11:A12"/>
    <mergeCell ref="B11:B12"/>
    <mergeCell ref="D11:D12"/>
    <mergeCell ref="E11:G11"/>
    <mergeCell ref="I11:K11"/>
    <mergeCell ref="E12:G12"/>
    <mergeCell ref="J12:L12"/>
    <mergeCell ref="J10:L10"/>
  </mergeCells>
  <pageMargins left="0.74803149606299213" right="0.55118110236220474" top="0.31496062992125984" bottom="0.35433070866141736" header="0.31496062992125984" footer="0.15748031496062992"/>
  <pageSetup paperSize="9" scale="87" firstPageNumber="2" orientation="portrait" useFirstPageNumber="1" r:id="rId1"/>
  <headerFooter alignWithMargins="0">
    <oddHeader>&amp;LUZPODv14_&amp;P</oddHeader>
    <oddFooter>&amp;LMF SR No. 18009/2014&amp;CTHIS IS A TRANSLATION OF THE ORIGINAL SLOVAK DOCUMENT.&amp;RPage &amp;P</oddFooter>
  </headerFooter>
  <rowBreaks count="7" manualBreakCount="7">
    <brk id="34" max="11" man="1"/>
    <brk id="65" max="11" man="1"/>
    <brk id="96" max="11" man="1"/>
    <brk id="127" max="11" man="1"/>
    <brk id="158" max="11" man="1"/>
    <brk id="190" max="11" man="1"/>
    <brk id="219" max="11" man="1"/>
  </rowBreaks>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M213"/>
  <sheetViews>
    <sheetView zoomScaleNormal="100" zoomScaleSheetLayoutView="100" workbookViewId="0">
      <selection activeCell="B211" sqref="B211"/>
    </sheetView>
  </sheetViews>
  <sheetFormatPr defaultColWidth="9.140625" defaultRowHeight="11.25"/>
  <cols>
    <col min="1" max="1" width="5.5703125" style="502" customWidth="1"/>
    <col min="2" max="2" width="18.7109375" style="502" customWidth="1"/>
    <col min="3" max="3" width="3.7109375" style="502" customWidth="1"/>
    <col min="4" max="4" width="3.5703125" style="502" customWidth="1"/>
    <col min="5" max="5" width="12.42578125" style="502" customWidth="1"/>
    <col min="6" max="6" width="12.140625" style="502" customWidth="1"/>
    <col min="7" max="7" width="14.7109375" style="502" customWidth="1"/>
    <col min="8" max="8" width="3.5703125" style="502" customWidth="1"/>
    <col min="9" max="9" width="10.5703125" style="502" customWidth="1"/>
    <col min="10" max="10" width="14.42578125" style="502" customWidth="1"/>
    <col min="11" max="16384" width="9.140625" style="502"/>
  </cols>
  <sheetData>
    <row r="1" spans="1:13" ht="7.5" customHeight="1">
      <c r="A1" s="501"/>
      <c r="F1" s="445"/>
      <c r="G1" s="445"/>
      <c r="H1" s="445"/>
      <c r="I1" s="445"/>
    </row>
    <row r="2" spans="1:13" ht="17.25" customHeight="1">
      <c r="A2" s="501"/>
      <c r="B2" s="2497" t="s">
        <v>1413</v>
      </c>
      <c r="C2" s="2498"/>
      <c r="E2" s="445"/>
      <c r="F2" s="525" t="s">
        <v>1446</v>
      </c>
      <c r="G2" s="2499" t="str">
        <f>"  "&amp;'SK Cover sheet'!A11&amp;"  "&amp;'SK Cover sheet'!B11&amp;"  "&amp;'SK Cover sheet'!C11&amp;"  "&amp;'SK Cover sheet'!D11&amp;"  "&amp;'SK Cover sheet'!E11&amp;"  "&amp;'SK Cover sheet'!F11&amp;"  "&amp;'SK Cover sheet'!G11&amp;"  "&amp;'SK Cover sheet'!H11&amp;"  "&amp;'SK Cover sheet'!I11&amp;"  "&amp;'SK Cover sheet'!J11</f>
        <v xml:space="preserve">  2  0  2  0  3  1  9  8  2  9</v>
      </c>
      <c r="H2" s="2500"/>
      <c r="I2" s="2501"/>
    </row>
    <row r="3" spans="1:13" ht="7.5" customHeight="1" thickBot="1">
      <c r="A3" s="501"/>
    </row>
    <row r="4" spans="1:13" s="519" customFormat="1" ht="11.25" customHeight="1">
      <c r="A4" s="2502" t="s">
        <v>1447</v>
      </c>
      <c r="B4" s="2503" t="s">
        <v>1448</v>
      </c>
      <c r="C4" s="2504" t="s">
        <v>1449</v>
      </c>
      <c r="D4" s="2322" t="s">
        <v>1450</v>
      </c>
      <c r="E4" s="2381"/>
      <c r="F4" s="2381"/>
      <c r="G4" s="2381"/>
      <c r="H4" s="2326"/>
      <c r="I4" s="2384" t="s">
        <v>1451</v>
      </c>
      <c r="J4" s="2385"/>
    </row>
    <row r="5" spans="1:13" s="519" customFormat="1" ht="11.25" customHeight="1">
      <c r="A5" s="2471"/>
      <c r="B5" s="2472"/>
      <c r="C5" s="2473"/>
      <c r="D5" s="2364">
        <v>1</v>
      </c>
      <c r="E5" s="2332" t="s">
        <v>1452</v>
      </c>
      <c r="F5" s="2392"/>
      <c r="G5" s="2388" t="s">
        <v>1453</v>
      </c>
      <c r="H5" s="2390"/>
      <c r="I5" s="2324"/>
      <c r="J5" s="2325"/>
    </row>
    <row r="6" spans="1:13" s="519" customFormat="1" ht="12" customHeight="1">
      <c r="A6" s="2334"/>
      <c r="B6" s="2342"/>
      <c r="C6" s="2344"/>
      <c r="D6" s="2474"/>
      <c r="E6" s="2332" t="s">
        <v>1454</v>
      </c>
      <c r="F6" s="2392"/>
      <c r="G6" s="2324"/>
      <c r="H6" s="2327"/>
      <c r="I6" s="2332" t="s">
        <v>1455</v>
      </c>
      <c r="J6" s="2333"/>
    </row>
    <row r="7" spans="1:13" s="521" customFormat="1" ht="27.95" customHeight="1">
      <c r="A7" s="2494"/>
      <c r="B7" s="2496" t="s">
        <v>1456</v>
      </c>
      <c r="C7" s="2354" t="s">
        <v>522</v>
      </c>
      <c r="D7" s="2320">
        <f>'BS old'!D10</f>
        <v>0</v>
      </c>
      <c r="E7" s="2320"/>
      <c r="F7" s="2320"/>
      <c r="G7" s="2317">
        <f>'BS old'!F10</f>
        <v>0</v>
      </c>
      <c r="H7" s="2318"/>
      <c r="I7" s="2319"/>
      <c r="J7" s="520"/>
    </row>
    <row r="8" spans="1:13" s="521" customFormat="1" ht="27.95" customHeight="1">
      <c r="A8" s="2495"/>
      <c r="B8" s="2351"/>
      <c r="C8" s="2354"/>
      <c r="D8" s="2320">
        <f>'BS old'!E10</f>
        <v>0</v>
      </c>
      <c r="E8" s="2320"/>
      <c r="F8" s="2320"/>
      <c r="G8" s="802"/>
      <c r="H8" s="2317">
        <f>'BS old'!G10</f>
        <v>0</v>
      </c>
      <c r="I8" s="2318"/>
      <c r="J8" s="2321"/>
      <c r="M8" s="521" t="s">
        <v>1093</v>
      </c>
    </row>
    <row r="9" spans="1:13" s="521" customFormat="1" ht="27.95" customHeight="1">
      <c r="A9" s="2469" t="s">
        <v>523</v>
      </c>
      <c r="B9" s="2351" t="s">
        <v>1457</v>
      </c>
      <c r="C9" s="2354" t="s">
        <v>525</v>
      </c>
      <c r="D9" s="2320">
        <f>'BS old'!D11</f>
        <v>0</v>
      </c>
      <c r="E9" s="2320"/>
      <c r="F9" s="2320"/>
      <c r="G9" s="2317">
        <f>'BS old'!F11</f>
        <v>0</v>
      </c>
      <c r="H9" s="2318"/>
      <c r="I9" s="2319"/>
      <c r="J9" s="520"/>
    </row>
    <row r="10" spans="1:13" s="521" customFormat="1" ht="27.95" customHeight="1">
      <c r="A10" s="2470"/>
      <c r="B10" s="2351"/>
      <c r="C10" s="2354"/>
      <c r="D10" s="2320">
        <f>'BS old'!E11</f>
        <v>0</v>
      </c>
      <c r="E10" s="2320"/>
      <c r="F10" s="2320"/>
      <c r="G10" s="802"/>
      <c r="H10" s="2317">
        <f>'BS old'!G11</f>
        <v>0</v>
      </c>
      <c r="I10" s="2318"/>
      <c r="J10" s="2321"/>
    </row>
    <row r="11" spans="1:13" s="521" customFormat="1" ht="27.95" customHeight="1">
      <c r="A11" s="2469" t="s">
        <v>526</v>
      </c>
      <c r="B11" s="2351" t="s">
        <v>1458</v>
      </c>
      <c r="C11" s="2354" t="s">
        <v>528</v>
      </c>
      <c r="D11" s="2320">
        <f>'BS old'!D12</f>
        <v>0</v>
      </c>
      <c r="E11" s="2320"/>
      <c r="F11" s="2320"/>
      <c r="G11" s="2317">
        <f>'BS old'!F12</f>
        <v>0</v>
      </c>
      <c r="H11" s="2318"/>
      <c r="I11" s="2319"/>
      <c r="J11" s="836"/>
    </row>
    <row r="12" spans="1:13" s="521" customFormat="1" ht="27.95" customHeight="1">
      <c r="A12" s="2470"/>
      <c r="B12" s="2351"/>
      <c r="C12" s="2354"/>
      <c r="D12" s="2320">
        <f>'BS old'!E12</f>
        <v>0</v>
      </c>
      <c r="E12" s="2320"/>
      <c r="F12" s="2320"/>
      <c r="G12" s="802"/>
      <c r="H12" s="2317">
        <f>'BS old'!G12</f>
        <v>0</v>
      </c>
      <c r="I12" s="2318"/>
      <c r="J12" s="2321"/>
    </row>
    <row r="13" spans="1:13" s="519" customFormat="1" ht="27.95" customHeight="1">
      <c r="A13" s="2481" t="s">
        <v>529</v>
      </c>
      <c r="B13" s="2339" t="s">
        <v>1459</v>
      </c>
      <c r="C13" s="2488" t="s">
        <v>531</v>
      </c>
      <c r="D13" s="2320">
        <f>'BS old'!D13</f>
        <v>0</v>
      </c>
      <c r="E13" s="2320"/>
      <c r="F13" s="2320"/>
      <c r="G13" s="2317">
        <f>'BS old'!F13</f>
        <v>0</v>
      </c>
      <c r="H13" s="2318"/>
      <c r="I13" s="2319"/>
      <c r="J13" s="520"/>
    </row>
    <row r="14" spans="1:13" s="519" customFormat="1" ht="27.95" customHeight="1">
      <c r="A14" s="2482"/>
      <c r="B14" s="2339"/>
      <c r="C14" s="2340"/>
      <c r="D14" s="2320">
        <f>'BS old'!E13</f>
        <v>0</v>
      </c>
      <c r="E14" s="2320"/>
      <c r="F14" s="2320"/>
      <c r="G14" s="802"/>
      <c r="H14" s="2317">
        <f>'BS old'!G13</f>
        <v>0</v>
      </c>
      <c r="I14" s="2318"/>
      <c r="J14" s="2321"/>
    </row>
    <row r="15" spans="1:13" s="519" customFormat="1" ht="27.95" customHeight="1">
      <c r="A15" s="2465" t="s">
        <v>532</v>
      </c>
      <c r="B15" s="2339" t="s">
        <v>1460</v>
      </c>
      <c r="C15" s="2488" t="s">
        <v>534</v>
      </c>
      <c r="D15" s="2320">
        <f>'BS old'!D14</f>
        <v>0</v>
      </c>
      <c r="E15" s="2320"/>
      <c r="F15" s="2320"/>
      <c r="G15" s="2317">
        <f>'BS old'!F14</f>
        <v>0</v>
      </c>
      <c r="H15" s="2318"/>
      <c r="I15" s="2319"/>
      <c r="J15" s="520"/>
    </row>
    <row r="16" spans="1:13" s="519" customFormat="1" ht="27.95" customHeight="1">
      <c r="A16" s="2336"/>
      <c r="B16" s="2339"/>
      <c r="C16" s="2340"/>
      <c r="D16" s="2320">
        <f>'BS old'!E14</f>
        <v>0</v>
      </c>
      <c r="E16" s="2320"/>
      <c r="F16" s="2320"/>
      <c r="G16" s="802"/>
      <c r="H16" s="2317">
        <f>'BS old'!G14</f>
        <v>0</v>
      </c>
      <c r="I16" s="2318"/>
      <c r="J16" s="2321"/>
    </row>
    <row r="17" spans="1:10" s="519" customFormat="1" ht="27.95" customHeight="1">
      <c r="A17" s="2465" t="s">
        <v>535</v>
      </c>
      <c r="B17" s="2339" t="s">
        <v>1461</v>
      </c>
      <c r="C17" s="2488" t="s">
        <v>537</v>
      </c>
      <c r="D17" s="2320">
        <f>'BS old'!D15</f>
        <v>0</v>
      </c>
      <c r="E17" s="2320"/>
      <c r="F17" s="2320"/>
      <c r="G17" s="2317">
        <f>'BS old'!F15</f>
        <v>0</v>
      </c>
      <c r="H17" s="2318"/>
      <c r="I17" s="2319"/>
      <c r="J17" s="520"/>
    </row>
    <row r="18" spans="1:10" s="519" customFormat="1" ht="27.95" customHeight="1">
      <c r="A18" s="2336"/>
      <c r="B18" s="2339"/>
      <c r="C18" s="2340"/>
      <c r="D18" s="2320">
        <f>'BS old'!E15</f>
        <v>0</v>
      </c>
      <c r="E18" s="2320"/>
      <c r="F18" s="2320"/>
      <c r="G18" s="802"/>
      <c r="H18" s="2317">
        <f>'BS old'!G15</f>
        <v>0</v>
      </c>
      <c r="I18" s="2318"/>
      <c r="J18" s="2321"/>
    </row>
    <row r="19" spans="1:10" s="519" customFormat="1" ht="27.95" customHeight="1">
      <c r="A19" s="2465" t="s">
        <v>538</v>
      </c>
      <c r="B19" s="2339" t="s">
        <v>1227</v>
      </c>
      <c r="C19" s="2488" t="s">
        <v>540</v>
      </c>
      <c r="D19" s="2320">
        <f>'BS old'!D16</f>
        <v>0</v>
      </c>
      <c r="E19" s="2320"/>
      <c r="F19" s="2320"/>
      <c r="G19" s="2317">
        <f>'BS old'!F16</f>
        <v>0</v>
      </c>
      <c r="H19" s="2318"/>
      <c r="I19" s="2319"/>
      <c r="J19" s="520"/>
    </row>
    <row r="20" spans="1:10" s="519" customFormat="1" ht="27.95" customHeight="1">
      <c r="A20" s="2336"/>
      <c r="B20" s="2339"/>
      <c r="C20" s="2340"/>
      <c r="D20" s="2320">
        <f>'BS old'!E16</f>
        <v>0</v>
      </c>
      <c r="E20" s="2320"/>
      <c r="F20" s="2320"/>
      <c r="G20" s="802"/>
      <c r="H20" s="2317">
        <f>'BS old'!G16</f>
        <v>0</v>
      </c>
      <c r="I20" s="2318"/>
      <c r="J20" s="2321"/>
    </row>
    <row r="21" spans="1:10" s="519" customFormat="1" ht="27.95" customHeight="1">
      <c r="A21" s="2465" t="s">
        <v>541</v>
      </c>
      <c r="B21" s="2339" t="s">
        <v>1462</v>
      </c>
      <c r="C21" s="2488" t="s">
        <v>543</v>
      </c>
      <c r="D21" s="2320">
        <f>'BS old'!D17</f>
        <v>0</v>
      </c>
      <c r="E21" s="2320"/>
      <c r="F21" s="2320"/>
      <c r="G21" s="2317">
        <f>'BS old'!F17</f>
        <v>0</v>
      </c>
      <c r="H21" s="2318"/>
      <c r="I21" s="2319"/>
      <c r="J21" s="520"/>
    </row>
    <row r="22" spans="1:10" s="519" customFormat="1" ht="27.95" customHeight="1">
      <c r="A22" s="2336"/>
      <c r="B22" s="2339"/>
      <c r="C22" s="2340"/>
      <c r="D22" s="2320">
        <f>'BS old'!E17</f>
        <v>0</v>
      </c>
      <c r="E22" s="2320"/>
      <c r="F22" s="2320"/>
      <c r="G22" s="802"/>
      <c r="H22" s="2317">
        <f>'BS old'!G17</f>
        <v>0</v>
      </c>
      <c r="I22" s="2318"/>
      <c r="J22" s="2321"/>
    </row>
    <row r="23" spans="1:10" s="519" customFormat="1" ht="27.95" customHeight="1">
      <c r="A23" s="2465" t="s">
        <v>544</v>
      </c>
      <c r="B23" s="2339" t="s">
        <v>1463</v>
      </c>
      <c r="C23" s="2488" t="s">
        <v>546</v>
      </c>
      <c r="D23" s="2320">
        <f>'BS old'!D18</f>
        <v>0</v>
      </c>
      <c r="E23" s="2320"/>
      <c r="F23" s="2320"/>
      <c r="G23" s="2317">
        <f>'BS old'!F18</f>
        <v>0</v>
      </c>
      <c r="H23" s="2318"/>
      <c r="I23" s="2319"/>
      <c r="J23" s="520"/>
    </row>
    <row r="24" spans="1:10" s="519" customFormat="1" ht="27.95" customHeight="1">
      <c r="A24" s="2336"/>
      <c r="B24" s="2339"/>
      <c r="C24" s="2340"/>
      <c r="D24" s="2320">
        <f>'BS old'!E18</f>
        <v>0</v>
      </c>
      <c r="E24" s="2320"/>
      <c r="F24" s="2320"/>
      <c r="G24" s="802"/>
      <c r="H24" s="2317">
        <f>'BS old'!G18</f>
        <v>0</v>
      </c>
      <c r="I24" s="2318"/>
      <c r="J24" s="2321"/>
    </row>
    <row r="25" spans="1:10" s="519" customFormat="1" ht="27.95" customHeight="1">
      <c r="A25" s="2465" t="s">
        <v>547</v>
      </c>
      <c r="B25" s="2339" t="s">
        <v>1464</v>
      </c>
      <c r="C25" s="2488" t="s">
        <v>549</v>
      </c>
      <c r="D25" s="2320">
        <f>'BS old'!D19</f>
        <v>0</v>
      </c>
      <c r="E25" s="2320"/>
      <c r="F25" s="2320"/>
      <c r="G25" s="2317">
        <f>'BS old'!F19</f>
        <v>0</v>
      </c>
      <c r="H25" s="2318"/>
      <c r="I25" s="2319"/>
      <c r="J25" s="520"/>
    </row>
    <row r="26" spans="1:10" s="519" customFormat="1" ht="27.95" customHeight="1">
      <c r="A26" s="2336"/>
      <c r="B26" s="2339"/>
      <c r="C26" s="2340"/>
      <c r="D26" s="2320">
        <f>'BS old'!E19</f>
        <v>0</v>
      </c>
      <c r="E26" s="2320"/>
      <c r="F26" s="2320"/>
      <c r="G26" s="802"/>
      <c r="H26" s="2317">
        <f>'BS old'!G19</f>
        <v>0</v>
      </c>
      <c r="I26" s="2318"/>
      <c r="J26" s="2321"/>
    </row>
    <row r="27" spans="1:10" s="521" customFormat="1" ht="27.95" customHeight="1">
      <c r="A27" s="2483" t="s">
        <v>550</v>
      </c>
      <c r="B27" s="2351" t="s">
        <v>551</v>
      </c>
      <c r="C27" s="2492" t="s">
        <v>552</v>
      </c>
      <c r="D27" s="2320">
        <f>'BS old'!D20</f>
        <v>0</v>
      </c>
      <c r="E27" s="2320"/>
      <c r="F27" s="2320"/>
      <c r="G27" s="2317">
        <f>'BS old'!F20</f>
        <v>0</v>
      </c>
      <c r="H27" s="2318"/>
      <c r="I27" s="2319"/>
      <c r="J27" s="520"/>
    </row>
    <row r="28" spans="1:10" s="521" customFormat="1" ht="27.95" customHeight="1">
      <c r="A28" s="2484"/>
      <c r="B28" s="2351"/>
      <c r="C28" s="2493"/>
      <c r="D28" s="2320">
        <f>'BS old'!E20</f>
        <v>0</v>
      </c>
      <c r="E28" s="2320"/>
      <c r="F28" s="2320"/>
      <c r="G28" s="802"/>
      <c r="H28" s="2317">
        <f>'BS old'!G20</f>
        <v>0</v>
      </c>
      <c r="I28" s="2318"/>
      <c r="J28" s="2321"/>
    </row>
    <row r="29" spans="1:10" s="519" customFormat="1" ht="27.95" customHeight="1">
      <c r="A29" s="2481" t="s">
        <v>553</v>
      </c>
      <c r="B29" s="2339" t="s">
        <v>1465</v>
      </c>
      <c r="C29" s="2488" t="s">
        <v>555</v>
      </c>
      <c r="D29" s="2320">
        <f>'BS old'!D21</f>
        <v>0</v>
      </c>
      <c r="E29" s="2320"/>
      <c r="F29" s="2320"/>
      <c r="G29" s="2317">
        <f>'BS old'!F21</f>
        <v>0</v>
      </c>
      <c r="H29" s="2318"/>
      <c r="I29" s="2319"/>
      <c r="J29" s="520"/>
    </row>
    <row r="30" spans="1:10" s="519" customFormat="1" ht="27.95" customHeight="1">
      <c r="A30" s="2482"/>
      <c r="B30" s="2339"/>
      <c r="C30" s="2340"/>
      <c r="D30" s="2320">
        <f>'BS old'!E21</f>
        <v>0</v>
      </c>
      <c r="E30" s="2320"/>
      <c r="F30" s="2320"/>
      <c r="G30" s="802"/>
      <c r="H30" s="2317">
        <f>'BS old'!G21</f>
        <v>0</v>
      </c>
      <c r="I30" s="2318"/>
      <c r="J30" s="2321"/>
    </row>
    <row r="31" spans="1:10" s="519" customFormat="1" ht="27.95" customHeight="1">
      <c r="A31" s="2465" t="s">
        <v>532</v>
      </c>
      <c r="B31" s="2339" t="s">
        <v>1466</v>
      </c>
      <c r="C31" s="2488" t="s">
        <v>557</v>
      </c>
      <c r="D31" s="2320">
        <f>'BS old'!D22</f>
        <v>0</v>
      </c>
      <c r="E31" s="2320"/>
      <c r="F31" s="2320"/>
      <c r="G31" s="2489">
        <f>'BS old'!F22</f>
        <v>0</v>
      </c>
      <c r="H31" s="2490"/>
      <c r="I31" s="2491"/>
      <c r="J31" s="520"/>
    </row>
    <row r="32" spans="1:10" s="519" customFormat="1" ht="27.95" customHeight="1" thickBot="1">
      <c r="A32" s="2336"/>
      <c r="B32" s="2339"/>
      <c r="C32" s="2340"/>
      <c r="D32" s="2320">
        <f>'BS old'!E22</f>
        <v>0</v>
      </c>
      <c r="E32" s="2320"/>
      <c r="F32" s="2320"/>
      <c r="G32" s="802"/>
      <c r="H32" s="2317">
        <f>'BS old'!G22</f>
        <v>0</v>
      </c>
      <c r="I32" s="2318"/>
      <c r="J32" s="2321"/>
    </row>
    <row r="33" spans="1:10" s="519" customFormat="1" ht="11.25" customHeight="1">
      <c r="A33" s="2471" t="s">
        <v>1447</v>
      </c>
      <c r="B33" s="2472" t="s">
        <v>1448</v>
      </c>
      <c r="C33" s="2473" t="s">
        <v>1449</v>
      </c>
      <c r="D33" s="2322" t="s">
        <v>1450</v>
      </c>
      <c r="E33" s="2381"/>
      <c r="F33" s="2381"/>
      <c r="G33" s="2381"/>
      <c r="H33" s="2326"/>
      <c r="I33" s="2384" t="s">
        <v>1451</v>
      </c>
      <c r="J33" s="2385"/>
    </row>
    <row r="34" spans="1:10" s="519" customFormat="1" ht="11.25" customHeight="1">
      <c r="A34" s="2471"/>
      <c r="B34" s="2472"/>
      <c r="C34" s="2473"/>
      <c r="D34" s="2364">
        <v>1</v>
      </c>
      <c r="E34" s="2332" t="s">
        <v>1452</v>
      </c>
      <c r="F34" s="2392"/>
      <c r="G34" s="2388" t="s">
        <v>1453</v>
      </c>
      <c r="H34" s="2390"/>
      <c r="I34" s="2324"/>
      <c r="J34" s="2325"/>
    </row>
    <row r="35" spans="1:10" s="519" customFormat="1" ht="12" customHeight="1">
      <c r="A35" s="2334"/>
      <c r="B35" s="2342"/>
      <c r="C35" s="2344"/>
      <c r="D35" s="2474"/>
      <c r="E35" s="2332" t="s">
        <v>1454</v>
      </c>
      <c r="F35" s="2392"/>
      <c r="G35" s="2324"/>
      <c r="H35" s="2327"/>
      <c r="I35" s="2332" t="s">
        <v>1455</v>
      </c>
      <c r="J35" s="2333"/>
    </row>
    <row r="36" spans="1:10" ht="27.95" customHeight="1">
      <c r="A36" s="2465" t="s">
        <v>535</v>
      </c>
      <c r="B36" s="2338" t="s">
        <v>1467</v>
      </c>
      <c r="C36" s="2340" t="s">
        <v>559</v>
      </c>
      <c r="D36" s="2476">
        <f>'BS old'!D23</f>
        <v>0</v>
      </c>
      <c r="E36" s="2476"/>
      <c r="F36" s="2476"/>
      <c r="G36" s="2386">
        <f>'BS old'!F23</f>
        <v>0</v>
      </c>
      <c r="H36" s="2387"/>
      <c r="I36" s="2487"/>
      <c r="J36" s="837"/>
    </row>
    <row r="37" spans="1:10" ht="27.95" customHeight="1">
      <c r="A37" s="2336"/>
      <c r="B37" s="2339"/>
      <c r="C37" s="2341"/>
      <c r="D37" s="2320">
        <f>'BS old'!E23</f>
        <v>0</v>
      </c>
      <c r="E37" s="2320"/>
      <c r="F37" s="2320"/>
      <c r="G37" s="838"/>
      <c r="H37" s="2317">
        <f>'BS old'!G23</f>
        <v>0</v>
      </c>
      <c r="I37" s="2318"/>
      <c r="J37" s="2321"/>
    </row>
    <row r="38" spans="1:10" ht="27.95" customHeight="1">
      <c r="A38" s="2465" t="s">
        <v>538</v>
      </c>
      <c r="B38" s="2339" t="s">
        <v>1468</v>
      </c>
      <c r="C38" s="2341" t="s">
        <v>561</v>
      </c>
      <c r="D38" s="2320">
        <f>'BS old'!D24</f>
        <v>0</v>
      </c>
      <c r="E38" s="2320"/>
      <c r="F38" s="2320"/>
      <c r="G38" s="2317">
        <f>'BS old'!F24</f>
        <v>0</v>
      </c>
      <c r="H38" s="2318"/>
      <c r="I38" s="2319"/>
      <c r="J38" s="837"/>
    </row>
    <row r="39" spans="1:10" ht="27.95" customHeight="1">
      <c r="A39" s="2336"/>
      <c r="B39" s="2339"/>
      <c r="C39" s="2341"/>
      <c r="D39" s="2320">
        <f>'BS old'!E24</f>
        <v>0</v>
      </c>
      <c r="E39" s="2320"/>
      <c r="F39" s="2320"/>
      <c r="G39" s="838"/>
      <c r="H39" s="2317">
        <f>'BS old'!G24</f>
        <v>0</v>
      </c>
      <c r="I39" s="2318"/>
      <c r="J39" s="2321"/>
    </row>
    <row r="40" spans="1:10" ht="27.95" customHeight="1">
      <c r="A40" s="2465" t="s">
        <v>541</v>
      </c>
      <c r="B40" s="2339" t="s">
        <v>1469</v>
      </c>
      <c r="C40" s="2340" t="s">
        <v>563</v>
      </c>
      <c r="D40" s="2320">
        <f>'BS old'!D25</f>
        <v>0</v>
      </c>
      <c r="E40" s="2320"/>
      <c r="F40" s="2320"/>
      <c r="G40" s="2317">
        <f>'BS old'!F25</f>
        <v>0</v>
      </c>
      <c r="H40" s="2318"/>
      <c r="I40" s="2319"/>
      <c r="J40" s="837"/>
    </row>
    <row r="41" spans="1:10" ht="27.95" customHeight="1">
      <c r="A41" s="2336"/>
      <c r="B41" s="2339"/>
      <c r="C41" s="2341"/>
      <c r="D41" s="2320">
        <f>'BS old'!E25</f>
        <v>0</v>
      </c>
      <c r="E41" s="2320"/>
      <c r="F41" s="2320"/>
      <c r="G41" s="838"/>
      <c r="H41" s="2317">
        <f>'BS old'!G25</f>
        <v>0</v>
      </c>
      <c r="I41" s="2318"/>
      <c r="J41" s="2321"/>
    </row>
    <row r="42" spans="1:10" ht="27.95" customHeight="1">
      <c r="A42" s="2465" t="s">
        <v>544</v>
      </c>
      <c r="B42" s="2339" t="s">
        <v>1470</v>
      </c>
      <c r="C42" s="2341" t="s">
        <v>565</v>
      </c>
      <c r="D42" s="2320">
        <f>'BS old'!D26</f>
        <v>0</v>
      </c>
      <c r="E42" s="2320"/>
      <c r="F42" s="2320"/>
      <c r="G42" s="2317">
        <f>'BS old'!F26</f>
        <v>0</v>
      </c>
      <c r="H42" s="2318"/>
      <c r="I42" s="2319"/>
      <c r="J42" s="837"/>
    </row>
    <row r="43" spans="1:10" ht="27.95" customHeight="1">
      <c r="A43" s="2336"/>
      <c r="B43" s="2339"/>
      <c r="C43" s="2341"/>
      <c r="D43" s="2320">
        <f>'BS old'!E26</f>
        <v>0</v>
      </c>
      <c r="E43" s="2320"/>
      <c r="F43" s="2320"/>
      <c r="G43" s="838"/>
      <c r="H43" s="2317">
        <f>'BS old'!G26</f>
        <v>0</v>
      </c>
      <c r="I43" s="2318"/>
      <c r="J43" s="2321"/>
    </row>
    <row r="44" spans="1:10" ht="27.95" customHeight="1">
      <c r="A44" s="2465" t="s">
        <v>547</v>
      </c>
      <c r="B44" s="2339" t="s">
        <v>1471</v>
      </c>
      <c r="C44" s="2340" t="s">
        <v>567</v>
      </c>
      <c r="D44" s="2320">
        <f>'BS old'!D27</f>
        <v>0</v>
      </c>
      <c r="E44" s="2320"/>
      <c r="F44" s="2320"/>
      <c r="G44" s="2317">
        <f>'BS old'!F27</f>
        <v>0</v>
      </c>
      <c r="H44" s="2318"/>
      <c r="I44" s="2319"/>
      <c r="J44" s="837"/>
    </row>
    <row r="45" spans="1:10" ht="27.95" customHeight="1">
      <c r="A45" s="2336"/>
      <c r="B45" s="2339"/>
      <c r="C45" s="2341"/>
      <c r="D45" s="2320">
        <f>'BS old'!E27</f>
        <v>0</v>
      </c>
      <c r="E45" s="2320"/>
      <c r="F45" s="2320"/>
      <c r="G45" s="838"/>
      <c r="H45" s="2317">
        <f>'BS old'!G27</f>
        <v>0</v>
      </c>
      <c r="I45" s="2318"/>
      <c r="J45" s="2321"/>
    </row>
    <row r="46" spans="1:10" ht="27.95" customHeight="1">
      <c r="A46" s="2465" t="s">
        <v>568</v>
      </c>
      <c r="B46" s="2339" t="s">
        <v>1472</v>
      </c>
      <c r="C46" s="2341" t="s">
        <v>570</v>
      </c>
      <c r="D46" s="2320">
        <f>'BS old'!D28</f>
        <v>0</v>
      </c>
      <c r="E46" s="2320"/>
      <c r="F46" s="2320"/>
      <c r="G46" s="2317">
        <f>'BS old'!F28</f>
        <v>0</v>
      </c>
      <c r="H46" s="2318"/>
      <c r="I46" s="2319"/>
      <c r="J46" s="837"/>
    </row>
    <row r="47" spans="1:10" ht="27.95" customHeight="1">
      <c r="A47" s="2336"/>
      <c r="B47" s="2339"/>
      <c r="C47" s="2341"/>
      <c r="D47" s="2320">
        <f>'BS old'!E28</f>
        <v>0</v>
      </c>
      <c r="E47" s="2320"/>
      <c r="F47" s="2320"/>
      <c r="G47" s="838"/>
      <c r="H47" s="2317">
        <f>'BS old'!G28</f>
        <v>0</v>
      </c>
      <c r="I47" s="2318"/>
      <c r="J47" s="2321"/>
    </row>
    <row r="48" spans="1:10" ht="27.95" customHeight="1">
      <c r="A48" s="2465" t="s">
        <v>571</v>
      </c>
      <c r="B48" s="2339" t="s">
        <v>1473</v>
      </c>
      <c r="C48" s="2340" t="s">
        <v>573</v>
      </c>
      <c r="D48" s="2320">
        <f>'BS old'!D29</f>
        <v>0</v>
      </c>
      <c r="E48" s="2320"/>
      <c r="F48" s="2320"/>
      <c r="G48" s="2317">
        <f>'BS old'!F29</f>
        <v>0</v>
      </c>
      <c r="H48" s="2318"/>
      <c r="I48" s="2319"/>
      <c r="J48" s="837"/>
    </row>
    <row r="49" spans="1:10" ht="27.95" customHeight="1">
      <c r="A49" s="2336"/>
      <c r="B49" s="2339"/>
      <c r="C49" s="2341"/>
      <c r="D49" s="2320">
        <f>'BS old'!E29</f>
        <v>0</v>
      </c>
      <c r="E49" s="2320"/>
      <c r="F49" s="2320"/>
      <c r="G49" s="839"/>
      <c r="H49" s="2317">
        <f>'BS old'!G29</f>
        <v>0</v>
      </c>
      <c r="I49" s="2318"/>
      <c r="J49" s="2321"/>
    </row>
    <row r="50" spans="1:10" ht="27.95" customHeight="1">
      <c r="A50" s="2483" t="s">
        <v>574</v>
      </c>
      <c r="B50" s="2351" t="s">
        <v>1474</v>
      </c>
      <c r="C50" s="2341" t="s">
        <v>576</v>
      </c>
      <c r="D50" s="2320">
        <f>'BS old'!D30</f>
        <v>0</v>
      </c>
      <c r="E50" s="2320"/>
      <c r="F50" s="2320"/>
      <c r="G50" s="2317">
        <f>'BS old'!F30</f>
        <v>0</v>
      </c>
      <c r="H50" s="2318"/>
      <c r="I50" s="2319"/>
      <c r="J50" s="837"/>
    </row>
    <row r="51" spans="1:10" ht="27.95" customHeight="1">
      <c r="A51" s="2484"/>
      <c r="B51" s="2351"/>
      <c r="C51" s="2341"/>
      <c r="D51" s="2320">
        <f>'BS old'!E30</f>
        <v>0</v>
      </c>
      <c r="E51" s="2320"/>
      <c r="F51" s="2320"/>
      <c r="G51" s="839"/>
      <c r="H51" s="2317">
        <f>'BS old'!G30</f>
        <v>0</v>
      </c>
      <c r="I51" s="2318"/>
      <c r="J51" s="2321"/>
    </row>
    <row r="52" spans="1:10" s="450" customFormat="1" ht="27.95" customHeight="1">
      <c r="A52" s="2485" t="s">
        <v>577</v>
      </c>
      <c r="B52" s="2339" t="s">
        <v>1475</v>
      </c>
      <c r="C52" s="2340" t="s">
        <v>579</v>
      </c>
      <c r="D52" s="2320">
        <f>'BS old'!D31</f>
        <v>0</v>
      </c>
      <c r="E52" s="2320"/>
      <c r="F52" s="2320"/>
      <c r="G52" s="2317">
        <f>'BS old'!F31</f>
        <v>0</v>
      </c>
      <c r="H52" s="2318"/>
      <c r="I52" s="2319"/>
      <c r="J52" s="837"/>
    </row>
    <row r="53" spans="1:10" s="450" customFormat="1" ht="27.95" customHeight="1">
      <c r="A53" s="2486"/>
      <c r="B53" s="2339"/>
      <c r="C53" s="2341"/>
      <c r="D53" s="2320">
        <f>'BS old'!E31</f>
        <v>0</v>
      </c>
      <c r="E53" s="2320"/>
      <c r="F53" s="2320"/>
      <c r="G53" s="839"/>
      <c r="H53" s="2317">
        <f>'BS old'!G31</f>
        <v>0</v>
      </c>
      <c r="I53" s="2318"/>
      <c r="J53" s="2321"/>
    </row>
    <row r="54" spans="1:10" ht="27.95" customHeight="1">
      <c r="A54" s="2465" t="s">
        <v>532</v>
      </c>
      <c r="B54" s="2339" t="s">
        <v>1476</v>
      </c>
      <c r="C54" s="2341" t="s">
        <v>581</v>
      </c>
      <c r="D54" s="2320">
        <f>'BS old'!D32</f>
        <v>0</v>
      </c>
      <c r="E54" s="2320"/>
      <c r="F54" s="2320"/>
      <c r="G54" s="2317">
        <f>'BS old'!F32</f>
        <v>0</v>
      </c>
      <c r="H54" s="2318"/>
      <c r="I54" s="2319"/>
      <c r="J54" s="837"/>
    </row>
    <row r="55" spans="1:10" ht="27.95" customHeight="1">
      <c r="A55" s="2336"/>
      <c r="B55" s="2339"/>
      <c r="C55" s="2341"/>
      <c r="D55" s="2320">
        <f>'BS old'!E32</f>
        <v>0</v>
      </c>
      <c r="E55" s="2320"/>
      <c r="F55" s="2320"/>
      <c r="G55" s="839"/>
      <c r="H55" s="2317">
        <f>'BS old'!G32</f>
        <v>0</v>
      </c>
      <c r="I55" s="2318"/>
      <c r="J55" s="2321"/>
    </row>
    <row r="56" spans="1:10" ht="27.95" customHeight="1">
      <c r="A56" s="2465" t="s">
        <v>535</v>
      </c>
      <c r="B56" s="2339" t="s">
        <v>1477</v>
      </c>
      <c r="C56" s="2340" t="s">
        <v>583</v>
      </c>
      <c r="D56" s="2320">
        <f>'BS old'!D33</f>
        <v>0</v>
      </c>
      <c r="E56" s="2320"/>
      <c r="F56" s="2320"/>
      <c r="G56" s="2317">
        <f>'BS old'!F33</f>
        <v>0</v>
      </c>
      <c r="H56" s="2318"/>
      <c r="I56" s="2319"/>
      <c r="J56" s="837"/>
    </row>
    <row r="57" spans="1:10" ht="27.95" customHeight="1">
      <c r="A57" s="2336"/>
      <c r="B57" s="2339"/>
      <c r="C57" s="2341"/>
      <c r="D57" s="2320">
        <f>'BS old'!E33</f>
        <v>0</v>
      </c>
      <c r="E57" s="2320"/>
      <c r="F57" s="2320"/>
      <c r="G57" s="839"/>
      <c r="H57" s="2317">
        <f>'BS old'!G33</f>
        <v>0</v>
      </c>
      <c r="I57" s="2318"/>
      <c r="J57" s="2321"/>
    </row>
    <row r="58" spans="1:10" ht="27.95" customHeight="1">
      <c r="A58" s="2465" t="s">
        <v>538</v>
      </c>
      <c r="B58" s="2339" t="s">
        <v>1478</v>
      </c>
      <c r="C58" s="2341" t="s">
        <v>585</v>
      </c>
      <c r="D58" s="2320">
        <f>'BS old'!D34</f>
        <v>0</v>
      </c>
      <c r="E58" s="2320"/>
      <c r="F58" s="2320"/>
      <c r="G58" s="2317">
        <f>'BS old'!F34</f>
        <v>0</v>
      </c>
      <c r="H58" s="2318"/>
      <c r="I58" s="2319"/>
      <c r="J58" s="837"/>
    </row>
    <row r="59" spans="1:10" ht="27.95" customHeight="1">
      <c r="A59" s="2336"/>
      <c r="B59" s="2477"/>
      <c r="C59" s="2341"/>
      <c r="D59" s="2320">
        <f>'BS old'!E34</f>
        <v>0</v>
      </c>
      <c r="E59" s="2320"/>
      <c r="F59" s="2320"/>
      <c r="G59" s="839"/>
      <c r="H59" s="2317">
        <f>'BS old'!G34</f>
        <v>0</v>
      </c>
      <c r="I59" s="2318"/>
      <c r="J59" s="2321"/>
    </row>
    <row r="60" spans="1:10" ht="27.95" customHeight="1">
      <c r="A60" s="2465" t="s">
        <v>541</v>
      </c>
      <c r="B60" s="2339" t="s">
        <v>1479</v>
      </c>
      <c r="C60" s="2340" t="s">
        <v>587</v>
      </c>
      <c r="D60" s="2320">
        <f>'BS old'!D35</f>
        <v>0</v>
      </c>
      <c r="E60" s="2320"/>
      <c r="F60" s="2320"/>
      <c r="G60" s="2317">
        <f>'BS old'!F35</f>
        <v>0</v>
      </c>
      <c r="H60" s="2318"/>
      <c r="I60" s="2319"/>
      <c r="J60" s="837"/>
    </row>
    <row r="61" spans="1:10" ht="27.95" customHeight="1">
      <c r="A61" s="2336"/>
      <c r="B61" s="2339"/>
      <c r="C61" s="2341"/>
      <c r="D61" s="2320">
        <f>'BS old'!E35</f>
        <v>0</v>
      </c>
      <c r="E61" s="2320"/>
      <c r="F61" s="2320"/>
      <c r="G61" s="839"/>
      <c r="H61" s="2317">
        <f>'BS old'!G35</f>
        <v>0</v>
      </c>
      <c r="I61" s="2318"/>
      <c r="J61" s="2321"/>
    </row>
    <row r="62" spans="1:10" ht="27.95" customHeight="1">
      <c r="A62" s="2465" t="s">
        <v>544</v>
      </c>
      <c r="B62" s="2339" t="s">
        <v>1480</v>
      </c>
      <c r="C62" s="2341" t="s">
        <v>589</v>
      </c>
      <c r="D62" s="2320">
        <f>'BS old'!D36</f>
        <v>0</v>
      </c>
      <c r="E62" s="2320"/>
      <c r="F62" s="2320"/>
      <c r="G62" s="2317">
        <f>'BS old'!F36</f>
        <v>0</v>
      </c>
      <c r="H62" s="2318"/>
      <c r="I62" s="2319"/>
      <c r="J62" s="837"/>
    </row>
    <row r="63" spans="1:10" ht="27.95" customHeight="1">
      <c r="A63" s="2336"/>
      <c r="B63" s="2339"/>
      <c r="C63" s="2341"/>
      <c r="D63" s="2320">
        <f>'BS old'!E36</f>
        <v>0</v>
      </c>
      <c r="E63" s="2320"/>
      <c r="F63" s="2320"/>
      <c r="G63" s="802"/>
      <c r="H63" s="2317">
        <f>'BS old'!G36</f>
        <v>0</v>
      </c>
      <c r="I63" s="2318"/>
      <c r="J63" s="2321"/>
    </row>
    <row r="64" spans="1:10" ht="11.25" customHeight="1">
      <c r="A64" s="2471" t="s">
        <v>1447</v>
      </c>
      <c r="B64" s="2472" t="s">
        <v>1448</v>
      </c>
      <c r="C64" s="2473" t="s">
        <v>1449</v>
      </c>
      <c r="D64" s="2324" t="s">
        <v>1450</v>
      </c>
      <c r="E64" s="2346"/>
      <c r="F64" s="2346"/>
      <c r="G64" s="2346"/>
      <c r="H64" s="2327"/>
      <c r="I64" s="2328" t="s">
        <v>1451</v>
      </c>
      <c r="J64" s="2329"/>
    </row>
    <row r="65" spans="1:10" ht="11.25" customHeight="1">
      <c r="A65" s="2471"/>
      <c r="B65" s="2472"/>
      <c r="C65" s="2473"/>
      <c r="D65" s="2364">
        <v>1</v>
      </c>
      <c r="E65" s="2332" t="s">
        <v>1452</v>
      </c>
      <c r="F65" s="2392"/>
      <c r="G65" s="2388" t="s">
        <v>1453</v>
      </c>
      <c r="H65" s="2390"/>
      <c r="I65" s="2324"/>
      <c r="J65" s="2325"/>
    </row>
    <row r="66" spans="1:10" ht="11.25" customHeight="1">
      <c r="A66" s="2334"/>
      <c r="B66" s="2342"/>
      <c r="C66" s="2344"/>
      <c r="D66" s="2474"/>
      <c r="E66" s="2332" t="s">
        <v>1454</v>
      </c>
      <c r="F66" s="2392"/>
      <c r="G66" s="2324"/>
      <c r="H66" s="2327"/>
      <c r="I66" s="2332" t="s">
        <v>1455</v>
      </c>
      <c r="J66" s="2333"/>
    </row>
    <row r="67" spans="1:10" ht="27.95" customHeight="1">
      <c r="A67" s="2465" t="s">
        <v>547</v>
      </c>
      <c r="B67" s="2338" t="s">
        <v>1481</v>
      </c>
      <c r="C67" s="2341" t="s">
        <v>888</v>
      </c>
      <c r="D67" s="2320">
        <f>'BS old'!D37</f>
        <v>0</v>
      </c>
      <c r="E67" s="2320"/>
      <c r="F67" s="2317"/>
      <c r="G67" s="2317">
        <f>'BS old'!F37</f>
        <v>0</v>
      </c>
      <c r="H67" s="2318"/>
      <c r="I67" s="2319"/>
      <c r="J67" s="837"/>
    </row>
    <row r="68" spans="1:10" ht="27.95" customHeight="1">
      <c r="A68" s="2336"/>
      <c r="B68" s="2339"/>
      <c r="C68" s="2341"/>
      <c r="D68" s="2320">
        <f>'BS old'!E37</f>
        <v>0</v>
      </c>
      <c r="E68" s="2320"/>
      <c r="F68" s="2320"/>
      <c r="G68" s="840"/>
      <c r="H68" s="2317">
        <f>'BS old'!G37</f>
        <v>0</v>
      </c>
      <c r="I68" s="2318"/>
      <c r="J68" s="2321"/>
    </row>
    <row r="69" spans="1:10" ht="27.95" customHeight="1">
      <c r="A69" s="2465" t="s">
        <v>568</v>
      </c>
      <c r="B69" s="2339" t="s">
        <v>1482</v>
      </c>
      <c r="C69" s="2341" t="s">
        <v>891</v>
      </c>
      <c r="D69" s="2320">
        <f>'BS old'!D38</f>
        <v>0</v>
      </c>
      <c r="E69" s="2320"/>
      <c r="F69" s="2317"/>
      <c r="G69" s="2317">
        <f>'BS old'!F38</f>
        <v>0</v>
      </c>
      <c r="H69" s="2318"/>
      <c r="I69" s="2319"/>
      <c r="J69" s="837"/>
    </row>
    <row r="70" spans="1:10" ht="27.95" customHeight="1">
      <c r="A70" s="2336"/>
      <c r="B70" s="2339"/>
      <c r="C70" s="2341"/>
      <c r="D70" s="2320">
        <f>'BS old'!E38</f>
        <v>0</v>
      </c>
      <c r="E70" s="2320"/>
      <c r="F70" s="2320"/>
      <c r="G70" s="840"/>
      <c r="H70" s="2317">
        <f>'BS old'!G38</f>
        <v>0</v>
      </c>
      <c r="I70" s="2318"/>
      <c r="J70" s="2321"/>
    </row>
    <row r="71" spans="1:10" ht="27.95" customHeight="1">
      <c r="A71" s="2469" t="s">
        <v>594</v>
      </c>
      <c r="B71" s="2351" t="s">
        <v>1483</v>
      </c>
      <c r="C71" s="2341" t="s">
        <v>894</v>
      </c>
      <c r="D71" s="2320">
        <f>'BS old'!D39</f>
        <v>0</v>
      </c>
      <c r="E71" s="2320"/>
      <c r="F71" s="2317"/>
      <c r="G71" s="2317">
        <f>'BS old'!F39</f>
        <v>0</v>
      </c>
      <c r="H71" s="2318"/>
      <c r="I71" s="2319"/>
      <c r="J71" s="837"/>
    </row>
    <row r="72" spans="1:10" ht="27.95" customHeight="1">
      <c r="A72" s="2470"/>
      <c r="B72" s="2351"/>
      <c r="C72" s="2341"/>
      <c r="D72" s="2320">
        <f>'BS old'!E39</f>
        <v>0</v>
      </c>
      <c r="E72" s="2320"/>
      <c r="F72" s="2320"/>
      <c r="G72" s="840"/>
      <c r="H72" s="2317">
        <f>'BS old'!G39</f>
        <v>0</v>
      </c>
      <c r="I72" s="2318"/>
      <c r="J72" s="2321"/>
    </row>
    <row r="73" spans="1:10" s="450" customFormat="1" ht="27.95" customHeight="1">
      <c r="A73" s="2483" t="s">
        <v>597</v>
      </c>
      <c r="B73" s="2351" t="s">
        <v>598</v>
      </c>
      <c r="C73" s="2341" t="s">
        <v>897</v>
      </c>
      <c r="D73" s="2320">
        <f>'BS old'!D40</f>
        <v>0</v>
      </c>
      <c r="E73" s="2320"/>
      <c r="F73" s="2317"/>
      <c r="G73" s="2317">
        <f>'BS old'!F40</f>
        <v>0</v>
      </c>
      <c r="H73" s="2318"/>
      <c r="I73" s="2319"/>
      <c r="J73" s="837"/>
    </row>
    <row r="74" spans="1:10" s="450" customFormat="1" ht="27.95" customHeight="1">
      <c r="A74" s="2484"/>
      <c r="B74" s="2351"/>
      <c r="C74" s="2341"/>
      <c r="D74" s="2320">
        <f>'BS old'!E40</f>
        <v>0</v>
      </c>
      <c r="E74" s="2320"/>
      <c r="F74" s="2320"/>
      <c r="G74" s="840"/>
      <c r="H74" s="2317">
        <f>'BS old'!G40</f>
        <v>0</v>
      </c>
      <c r="I74" s="2318"/>
      <c r="J74" s="2321"/>
    </row>
    <row r="75" spans="1:10" s="450" customFormat="1" ht="27.95" customHeight="1">
      <c r="A75" s="2481" t="s">
        <v>600</v>
      </c>
      <c r="B75" s="2339" t="s">
        <v>1484</v>
      </c>
      <c r="C75" s="2341" t="s">
        <v>900</v>
      </c>
      <c r="D75" s="2320">
        <f>'BS old'!D41</f>
        <v>0</v>
      </c>
      <c r="E75" s="2320"/>
      <c r="F75" s="2317"/>
      <c r="G75" s="2317">
        <f>'BS old'!F41</f>
        <v>0</v>
      </c>
      <c r="H75" s="2318"/>
      <c r="I75" s="2319"/>
      <c r="J75" s="837"/>
    </row>
    <row r="76" spans="1:10" s="450" customFormat="1" ht="27.95" customHeight="1">
      <c r="A76" s="2482"/>
      <c r="B76" s="2339"/>
      <c r="C76" s="2341"/>
      <c r="D76" s="2320">
        <f>'BS old'!E41</f>
        <v>0</v>
      </c>
      <c r="E76" s="2320"/>
      <c r="F76" s="2320"/>
      <c r="G76" s="840"/>
      <c r="H76" s="2317">
        <f>'BS old'!G41</f>
        <v>0</v>
      </c>
      <c r="I76" s="2318"/>
      <c r="J76" s="2321"/>
    </row>
    <row r="77" spans="1:10" ht="27.95" customHeight="1">
      <c r="A77" s="2465" t="s">
        <v>532</v>
      </c>
      <c r="B77" s="2339" t="s">
        <v>1485</v>
      </c>
      <c r="C77" s="2341" t="s">
        <v>903</v>
      </c>
      <c r="D77" s="2320">
        <f>'BS old'!D42</f>
        <v>0</v>
      </c>
      <c r="E77" s="2320"/>
      <c r="F77" s="2317"/>
      <c r="G77" s="2317">
        <f>'BS old'!F42</f>
        <v>0</v>
      </c>
      <c r="H77" s="2318"/>
      <c r="I77" s="2319"/>
      <c r="J77" s="837"/>
    </row>
    <row r="78" spans="1:10" ht="27.95" customHeight="1">
      <c r="A78" s="2336"/>
      <c r="B78" s="2339"/>
      <c r="C78" s="2341"/>
      <c r="D78" s="2320">
        <f>'BS old'!E42</f>
        <v>0</v>
      </c>
      <c r="E78" s="2320"/>
      <c r="F78" s="2320"/>
      <c r="G78" s="840"/>
      <c r="H78" s="2317">
        <f>'BS old'!G42</f>
        <v>0</v>
      </c>
      <c r="I78" s="2318"/>
      <c r="J78" s="2321"/>
    </row>
    <row r="79" spans="1:10" ht="27.95" customHeight="1">
      <c r="A79" s="2465" t="s">
        <v>535</v>
      </c>
      <c r="B79" s="2339" t="s">
        <v>1486</v>
      </c>
      <c r="C79" s="2341" t="s">
        <v>906</v>
      </c>
      <c r="D79" s="2320">
        <f>'BS old'!D43</f>
        <v>0</v>
      </c>
      <c r="E79" s="2320"/>
      <c r="F79" s="2317"/>
      <c r="G79" s="2317">
        <f>'BS old'!F43</f>
        <v>0</v>
      </c>
      <c r="H79" s="2318"/>
      <c r="I79" s="2319"/>
      <c r="J79" s="837"/>
    </row>
    <row r="80" spans="1:10" ht="27.95" customHeight="1">
      <c r="A80" s="2336"/>
      <c r="B80" s="2339"/>
      <c r="C80" s="2341"/>
      <c r="D80" s="2320">
        <f>'BS old'!E43</f>
        <v>0</v>
      </c>
      <c r="E80" s="2320"/>
      <c r="F80" s="2320"/>
      <c r="G80" s="840"/>
      <c r="H80" s="2317">
        <f>'BS old'!G43</f>
        <v>0</v>
      </c>
      <c r="I80" s="2318"/>
      <c r="J80" s="2321"/>
    </row>
    <row r="81" spans="1:10" ht="27.95" customHeight="1">
      <c r="A81" s="2465" t="s">
        <v>538</v>
      </c>
      <c r="B81" s="2339" t="s">
        <v>1487</v>
      </c>
      <c r="C81" s="2341" t="s">
        <v>909</v>
      </c>
      <c r="D81" s="2320">
        <f>'BS old'!D44</f>
        <v>0</v>
      </c>
      <c r="E81" s="2320"/>
      <c r="F81" s="2317"/>
      <c r="G81" s="2317">
        <f>'BS old'!F44</f>
        <v>0</v>
      </c>
      <c r="H81" s="2318"/>
      <c r="I81" s="2319"/>
      <c r="J81" s="837"/>
    </row>
    <row r="82" spans="1:10" ht="27.95" customHeight="1">
      <c r="A82" s="2336"/>
      <c r="B82" s="2339"/>
      <c r="C82" s="2341"/>
      <c r="D82" s="2320">
        <f>'BS old'!E44</f>
        <v>0</v>
      </c>
      <c r="E82" s="2320"/>
      <c r="F82" s="2320"/>
      <c r="G82" s="840"/>
      <c r="H82" s="2317">
        <f>'BS old'!G44</f>
        <v>0</v>
      </c>
      <c r="I82" s="2318"/>
      <c r="J82" s="2321"/>
    </row>
    <row r="83" spans="1:10" ht="27.95" customHeight="1">
      <c r="A83" s="2465" t="s">
        <v>541</v>
      </c>
      <c r="B83" s="2339" t="s">
        <v>1488</v>
      </c>
      <c r="C83" s="2341" t="s">
        <v>912</v>
      </c>
      <c r="D83" s="2320">
        <f>'BS old'!D45</f>
        <v>0</v>
      </c>
      <c r="E83" s="2320"/>
      <c r="F83" s="2317"/>
      <c r="G83" s="2317">
        <f>'BS old'!F45</f>
        <v>0</v>
      </c>
      <c r="H83" s="2318"/>
      <c r="I83" s="2319"/>
      <c r="J83" s="837"/>
    </row>
    <row r="84" spans="1:10" ht="27.95" customHeight="1">
      <c r="A84" s="2336"/>
      <c r="B84" s="2339"/>
      <c r="C84" s="2341"/>
      <c r="D84" s="2320">
        <f>'BS old'!E45</f>
        <v>0</v>
      </c>
      <c r="E84" s="2320"/>
      <c r="F84" s="2320"/>
      <c r="G84" s="840"/>
      <c r="H84" s="2317">
        <f>'BS old'!G45</f>
        <v>0</v>
      </c>
      <c r="I84" s="2318"/>
      <c r="J84" s="2321"/>
    </row>
    <row r="85" spans="1:10" ht="27.95" customHeight="1">
      <c r="A85" s="2465" t="s">
        <v>544</v>
      </c>
      <c r="B85" s="2339" t="s">
        <v>1489</v>
      </c>
      <c r="C85" s="2341" t="s">
        <v>915</v>
      </c>
      <c r="D85" s="2320">
        <f>'BS old'!D46</f>
        <v>0</v>
      </c>
      <c r="E85" s="2320"/>
      <c r="F85" s="2317"/>
      <c r="G85" s="2317">
        <f>'BS old'!F46</f>
        <v>0</v>
      </c>
      <c r="H85" s="2318"/>
      <c r="I85" s="2319"/>
      <c r="J85" s="837"/>
    </row>
    <row r="86" spans="1:10" ht="27.95" customHeight="1">
      <c r="A86" s="2336"/>
      <c r="B86" s="2339"/>
      <c r="C86" s="2341"/>
      <c r="D86" s="2320">
        <f>'BS old'!E46</f>
        <v>0</v>
      </c>
      <c r="E86" s="2320"/>
      <c r="F86" s="2320"/>
      <c r="G86" s="840"/>
      <c r="H86" s="2317">
        <f>'BS old'!G46</f>
        <v>0</v>
      </c>
      <c r="I86" s="2318"/>
      <c r="J86" s="2321"/>
    </row>
    <row r="87" spans="1:10" ht="27.95" customHeight="1">
      <c r="A87" s="2483" t="s">
        <v>613</v>
      </c>
      <c r="B87" s="2351" t="s">
        <v>614</v>
      </c>
      <c r="C87" s="2341" t="s">
        <v>918</v>
      </c>
      <c r="D87" s="2320">
        <f>'BS old'!D47</f>
        <v>0</v>
      </c>
      <c r="E87" s="2320"/>
      <c r="F87" s="2317"/>
      <c r="G87" s="2317">
        <f>'BS old'!F47</f>
        <v>0</v>
      </c>
      <c r="H87" s="2318"/>
      <c r="I87" s="2319"/>
      <c r="J87" s="837"/>
    </row>
    <row r="88" spans="1:10" ht="27.95" customHeight="1">
      <c r="A88" s="2484"/>
      <c r="B88" s="2351"/>
      <c r="C88" s="2341"/>
      <c r="D88" s="2320">
        <f>'BS old'!E47</f>
        <v>0</v>
      </c>
      <c r="E88" s="2320"/>
      <c r="F88" s="2320"/>
      <c r="G88" s="840"/>
      <c r="H88" s="2317">
        <f>'BS old'!G47</f>
        <v>0</v>
      </c>
      <c r="I88" s="2318"/>
      <c r="J88" s="2321"/>
    </row>
    <row r="89" spans="1:10" s="450" customFormat="1" ht="27.95" customHeight="1">
      <c r="A89" s="2481" t="s">
        <v>616</v>
      </c>
      <c r="B89" s="2339" t="s">
        <v>1490</v>
      </c>
      <c r="C89" s="2341" t="s">
        <v>921</v>
      </c>
      <c r="D89" s="2320">
        <f>'BS old'!D48</f>
        <v>0</v>
      </c>
      <c r="E89" s="2320"/>
      <c r="F89" s="2317"/>
      <c r="G89" s="2317">
        <f>'BS old'!F48</f>
        <v>0</v>
      </c>
      <c r="H89" s="2318"/>
      <c r="I89" s="2319"/>
      <c r="J89" s="837"/>
    </row>
    <row r="90" spans="1:10" s="450" customFormat="1" ht="27.95" customHeight="1">
      <c r="A90" s="2482"/>
      <c r="B90" s="2477"/>
      <c r="C90" s="2341"/>
      <c r="D90" s="2320">
        <f>'BS old'!E48</f>
        <v>0</v>
      </c>
      <c r="E90" s="2320"/>
      <c r="F90" s="2320"/>
      <c r="G90" s="840"/>
      <c r="H90" s="2317">
        <f>'BS old'!G48</f>
        <v>0</v>
      </c>
      <c r="I90" s="2318"/>
      <c r="J90" s="2321"/>
    </row>
    <row r="91" spans="1:10" s="450" customFormat="1" ht="27.95" customHeight="1">
      <c r="A91" s="2465" t="s">
        <v>532</v>
      </c>
      <c r="B91" s="2477" t="s">
        <v>619</v>
      </c>
      <c r="C91" s="2341" t="s">
        <v>924</v>
      </c>
      <c r="D91" s="2320">
        <f>'BS old'!D49</f>
        <v>0</v>
      </c>
      <c r="E91" s="2320"/>
      <c r="F91" s="2317"/>
      <c r="G91" s="2317">
        <f>'BS old'!F49</f>
        <v>0</v>
      </c>
      <c r="H91" s="2318"/>
      <c r="I91" s="2319"/>
      <c r="J91" s="837"/>
    </row>
    <row r="92" spans="1:10" s="450" customFormat="1" ht="27.95" customHeight="1">
      <c r="A92" s="2336"/>
      <c r="B92" s="2338"/>
      <c r="C92" s="2341"/>
      <c r="D92" s="2320">
        <f>'BS old'!E49</f>
        <v>0</v>
      </c>
      <c r="E92" s="2320"/>
      <c r="F92" s="2320"/>
      <c r="G92" s="840"/>
      <c r="H92" s="2317">
        <f>'BS old'!G49</f>
        <v>0</v>
      </c>
      <c r="I92" s="2318"/>
      <c r="J92" s="2321"/>
    </row>
    <row r="93" spans="1:10" ht="27.95" customHeight="1">
      <c r="A93" s="2465" t="s">
        <v>535</v>
      </c>
      <c r="B93" s="2477" t="s">
        <v>1491</v>
      </c>
      <c r="C93" s="2341" t="s">
        <v>927</v>
      </c>
      <c r="D93" s="2320">
        <f>'BS old'!D50</f>
        <v>0</v>
      </c>
      <c r="E93" s="2320"/>
      <c r="F93" s="2317"/>
      <c r="G93" s="2317">
        <f>'BS old'!F50</f>
        <v>0</v>
      </c>
      <c r="H93" s="2318"/>
      <c r="I93" s="2319"/>
      <c r="J93" s="837"/>
    </row>
    <row r="94" spans="1:10" ht="27.95" customHeight="1">
      <c r="A94" s="2336"/>
      <c r="B94" s="2338"/>
      <c r="C94" s="2341"/>
      <c r="D94" s="2320">
        <f>'BS old'!E50</f>
        <v>0</v>
      </c>
      <c r="E94" s="2320"/>
      <c r="F94" s="2320"/>
      <c r="G94" s="792"/>
      <c r="H94" s="2317">
        <f>'BS old'!G50</f>
        <v>0</v>
      </c>
      <c r="I94" s="2318"/>
      <c r="J94" s="2321"/>
    </row>
    <row r="95" spans="1:10" ht="11.25" customHeight="1">
      <c r="A95" s="2471" t="s">
        <v>1447</v>
      </c>
      <c r="B95" s="2472" t="s">
        <v>1448</v>
      </c>
      <c r="C95" s="2473" t="s">
        <v>1449</v>
      </c>
      <c r="D95" s="2324" t="s">
        <v>1450</v>
      </c>
      <c r="E95" s="2346"/>
      <c r="F95" s="2346"/>
      <c r="G95" s="2346"/>
      <c r="H95" s="2327"/>
      <c r="I95" s="2328" t="s">
        <v>1451</v>
      </c>
      <c r="J95" s="2329"/>
    </row>
    <row r="96" spans="1:10" ht="11.25" customHeight="1">
      <c r="A96" s="2471"/>
      <c r="B96" s="2472"/>
      <c r="C96" s="2473"/>
      <c r="D96" s="2364">
        <v>1</v>
      </c>
      <c r="E96" s="2332" t="s">
        <v>1452</v>
      </c>
      <c r="F96" s="2392"/>
      <c r="G96" s="2388" t="s">
        <v>1453</v>
      </c>
      <c r="H96" s="2390"/>
      <c r="I96" s="2324"/>
      <c r="J96" s="2325"/>
    </row>
    <row r="97" spans="1:12" ht="12" customHeight="1">
      <c r="A97" s="2334"/>
      <c r="B97" s="2342"/>
      <c r="C97" s="2344"/>
      <c r="D97" s="2474"/>
      <c r="E97" s="2332" t="s">
        <v>1454</v>
      </c>
      <c r="F97" s="2392"/>
      <c r="G97" s="2324"/>
      <c r="H97" s="2327"/>
      <c r="I97" s="2332" t="s">
        <v>1455</v>
      </c>
      <c r="J97" s="2333"/>
    </row>
    <row r="98" spans="1:12" ht="27.95" customHeight="1">
      <c r="A98" s="2465" t="s">
        <v>538</v>
      </c>
      <c r="B98" s="2480" t="s">
        <v>1492</v>
      </c>
      <c r="C98" s="2340" t="s">
        <v>930</v>
      </c>
      <c r="D98" s="2320">
        <f>'BS old'!D51</f>
        <v>0</v>
      </c>
      <c r="E98" s="2320"/>
      <c r="F98" s="2320"/>
      <c r="G98" s="2317">
        <f>'BS old'!F51</f>
        <v>0</v>
      </c>
      <c r="H98" s="2318"/>
      <c r="I98" s="2319"/>
      <c r="J98" s="837"/>
      <c r="L98" s="502" t="s">
        <v>1093</v>
      </c>
    </row>
    <row r="99" spans="1:12" ht="27.95" customHeight="1">
      <c r="A99" s="2336"/>
      <c r="B99" s="2338"/>
      <c r="C99" s="2341"/>
      <c r="D99" s="2320">
        <f>'BS old'!E51</f>
        <v>0</v>
      </c>
      <c r="E99" s="2320"/>
      <c r="F99" s="2320"/>
      <c r="G99" s="838"/>
      <c r="H99" s="2317">
        <f>'BS old'!G51</f>
        <v>0</v>
      </c>
      <c r="I99" s="2318"/>
      <c r="J99" s="2321"/>
    </row>
    <row r="100" spans="1:12" ht="27.95" customHeight="1">
      <c r="A100" s="2465" t="s">
        <v>541</v>
      </c>
      <c r="B100" s="2339" t="s">
        <v>1493</v>
      </c>
      <c r="C100" s="2341" t="s">
        <v>933</v>
      </c>
      <c r="D100" s="2320">
        <f>'BS old'!D52</f>
        <v>0</v>
      </c>
      <c r="E100" s="2320"/>
      <c r="F100" s="2320"/>
      <c r="G100" s="2317">
        <f>'BS old'!F52</f>
        <v>0</v>
      </c>
      <c r="H100" s="2318"/>
      <c r="I100" s="2319"/>
      <c r="J100" s="837"/>
    </row>
    <row r="101" spans="1:12" ht="27.95" customHeight="1">
      <c r="A101" s="2336"/>
      <c r="B101" s="2339"/>
      <c r="C101" s="2341"/>
      <c r="D101" s="2320">
        <f>'BS old'!E52</f>
        <v>0</v>
      </c>
      <c r="E101" s="2320"/>
      <c r="F101" s="2320"/>
      <c r="G101" s="838"/>
      <c r="H101" s="2317">
        <f>'BS old'!G52</f>
        <v>0</v>
      </c>
      <c r="I101" s="2318"/>
      <c r="J101" s="2321"/>
    </row>
    <row r="102" spans="1:12" ht="27.95" customHeight="1">
      <c r="A102" s="2465" t="s">
        <v>544</v>
      </c>
      <c r="B102" s="2339" t="s">
        <v>1494</v>
      </c>
      <c r="C102" s="2340" t="s">
        <v>936</v>
      </c>
      <c r="D102" s="2320">
        <f>'BS old'!D53</f>
        <v>0</v>
      </c>
      <c r="E102" s="2320"/>
      <c r="F102" s="2320"/>
      <c r="G102" s="2317">
        <f>'BS old'!F53</f>
        <v>0</v>
      </c>
      <c r="H102" s="2318"/>
      <c r="I102" s="2319"/>
      <c r="J102" s="837"/>
    </row>
    <row r="103" spans="1:12" ht="27.95" customHeight="1">
      <c r="A103" s="2336"/>
      <c r="B103" s="2339"/>
      <c r="C103" s="2341"/>
      <c r="D103" s="2320">
        <f>'BS old'!E53</f>
        <v>0</v>
      </c>
      <c r="E103" s="2320"/>
      <c r="F103" s="2320"/>
      <c r="G103" s="838"/>
      <c r="H103" s="2317">
        <f>'BS old'!G53</f>
        <v>0</v>
      </c>
      <c r="I103" s="2318"/>
      <c r="J103" s="2321"/>
    </row>
    <row r="104" spans="1:12" ht="27.95" customHeight="1">
      <c r="A104" s="2465" t="s">
        <v>547</v>
      </c>
      <c r="B104" s="2339" t="s">
        <v>1495</v>
      </c>
      <c r="C104" s="2341" t="s">
        <v>939</v>
      </c>
      <c r="D104" s="2320">
        <f>'BS old'!D54</f>
        <v>0</v>
      </c>
      <c r="E104" s="2320"/>
      <c r="F104" s="2320"/>
      <c r="G104" s="2317">
        <f>'BS old'!F54</f>
        <v>0</v>
      </c>
      <c r="H104" s="2318"/>
      <c r="I104" s="2319"/>
      <c r="J104" s="837"/>
    </row>
    <row r="105" spans="1:12" ht="27.95" customHeight="1">
      <c r="A105" s="2336"/>
      <c r="B105" s="2339"/>
      <c r="C105" s="2341"/>
      <c r="D105" s="2320">
        <f>'BS old'!E54</f>
        <v>0</v>
      </c>
      <c r="E105" s="2320"/>
      <c r="F105" s="2320"/>
      <c r="G105" s="838"/>
      <c r="H105" s="2317">
        <f>'BS old'!G54</f>
        <v>0</v>
      </c>
      <c r="I105" s="2318"/>
      <c r="J105" s="2321"/>
    </row>
    <row r="106" spans="1:12" ht="27.95" customHeight="1">
      <c r="A106" s="2475" t="s">
        <v>631</v>
      </c>
      <c r="B106" s="2351" t="s">
        <v>632</v>
      </c>
      <c r="C106" s="2340" t="s">
        <v>941</v>
      </c>
      <c r="D106" s="2320">
        <f>'BS old'!D55</f>
        <v>0</v>
      </c>
      <c r="E106" s="2320"/>
      <c r="F106" s="2320"/>
      <c r="G106" s="2317">
        <f>'BS old'!F55</f>
        <v>0</v>
      </c>
      <c r="H106" s="2318"/>
      <c r="I106" s="2319"/>
      <c r="J106" s="837"/>
    </row>
    <row r="107" spans="1:12" ht="27.95" customHeight="1">
      <c r="A107" s="2352"/>
      <c r="B107" s="2351"/>
      <c r="C107" s="2341"/>
      <c r="D107" s="2320">
        <f>'BS old'!E55</f>
        <v>0</v>
      </c>
      <c r="E107" s="2320"/>
      <c r="F107" s="2320"/>
      <c r="G107" s="838"/>
      <c r="H107" s="2317">
        <f>'BS old'!G55</f>
        <v>0</v>
      </c>
      <c r="I107" s="2318"/>
      <c r="J107" s="2321"/>
    </row>
    <row r="108" spans="1:12" s="450" customFormat="1" ht="27.95" customHeight="1">
      <c r="A108" s="2478" t="s">
        <v>634</v>
      </c>
      <c r="B108" s="2339" t="s">
        <v>1496</v>
      </c>
      <c r="C108" s="2341" t="s">
        <v>944</v>
      </c>
      <c r="D108" s="2320">
        <f>'BS old'!D56</f>
        <v>0</v>
      </c>
      <c r="E108" s="2320"/>
      <c r="F108" s="2320"/>
      <c r="G108" s="2317">
        <f>'BS old'!F56</f>
        <v>0</v>
      </c>
      <c r="H108" s="2318"/>
      <c r="I108" s="2319"/>
      <c r="J108" s="837"/>
    </row>
    <row r="109" spans="1:12" s="450" customFormat="1" ht="27.95" customHeight="1">
      <c r="A109" s="2479"/>
      <c r="B109" s="2339"/>
      <c r="C109" s="2341"/>
      <c r="D109" s="2320">
        <f>'BS old'!E56</f>
        <v>0</v>
      </c>
      <c r="E109" s="2320"/>
      <c r="F109" s="2320"/>
      <c r="G109" s="838"/>
      <c r="H109" s="2317">
        <f>'BS old'!G56</f>
        <v>0</v>
      </c>
      <c r="I109" s="2318"/>
      <c r="J109" s="2321"/>
    </row>
    <row r="110" spans="1:12" s="450" customFormat="1" ht="27.95" customHeight="1">
      <c r="A110" s="2465" t="s">
        <v>532</v>
      </c>
      <c r="B110" s="2339" t="s">
        <v>619</v>
      </c>
      <c r="C110" s="2340" t="s">
        <v>947</v>
      </c>
      <c r="D110" s="2320">
        <f>'BS old'!D57</f>
        <v>0</v>
      </c>
      <c r="E110" s="2320"/>
      <c r="F110" s="2320"/>
      <c r="G110" s="2317">
        <f>'BS old'!F57</f>
        <v>0</v>
      </c>
      <c r="H110" s="2318"/>
      <c r="I110" s="2319"/>
      <c r="J110" s="837"/>
    </row>
    <row r="111" spans="1:12" s="450" customFormat="1" ht="27.95" customHeight="1">
      <c r="A111" s="2336"/>
      <c r="B111" s="2339"/>
      <c r="C111" s="2341"/>
      <c r="D111" s="2320">
        <f>'BS old'!E57</f>
        <v>0</v>
      </c>
      <c r="E111" s="2320"/>
      <c r="F111" s="2320"/>
      <c r="G111" s="838"/>
      <c r="H111" s="2317">
        <f>'BS old'!G57</f>
        <v>0</v>
      </c>
      <c r="I111" s="2318"/>
      <c r="J111" s="2321"/>
    </row>
    <row r="112" spans="1:12" ht="27.95" customHeight="1">
      <c r="A112" s="2465" t="s">
        <v>535</v>
      </c>
      <c r="B112" s="2339" t="s">
        <v>1497</v>
      </c>
      <c r="C112" s="2341" t="s">
        <v>950</v>
      </c>
      <c r="D112" s="2320">
        <f>'BS old'!D58</f>
        <v>0</v>
      </c>
      <c r="E112" s="2320"/>
      <c r="F112" s="2320"/>
      <c r="G112" s="2317">
        <f>'BS old'!F58</f>
        <v>0</v>
      </c>
      <c r="H112" s="2318"/>
      <c r="I112" s="2319"/>
      <c r="J112" s="837"/>
    </row>
    <row r="113" spans="1:10" ht="27.95" customHeight="1">
      <c r="A113" s="2336"/>
      <c r="B113" s="2339"/>
      <c r="C113" s="2341"/>
      <c r="D113" s="2320">
        <f>'BS old'!E58</f>
        <v>0</v>
      </c>
      <c r="E113" s="2320"/>
      <c r="F113" s="2320"/>
      <c r="G113" s="838"/>
      <c r="H113" s="2317">
        <f>'BS old'!G58</f>
        <v>0</v>
      </c>
      <c r="I113" s="2318"/>
      <c r="J113" s="2321"/>
    </row>
    <row r="114" spans="1:10" ht="27.95" customHeight="1">
      <c r="A114" s="2465" t="s">
        <v>538</v>
      </c>
      <c r="B114" s="2339" t="s">
        <v>1492</v>
      </c>
      <c r="C114" s="2340" t="s">
        <v>952</v>
      </c>
      <c r="D114" s="2320">
        <f>'BS old'!D59</f>
        <v>0</v>
      </c>
      <c r="E114" s="2320"/>
      <c r="F114" s="2320"/>
      <c r="G114" s="2317">
        <f>'BS old'!F59</f>
        <v>0</v>
      </c>
      <c r="H114" s="2318"/>
      <c r="I114" s="2319"/>
      <c r="J114" s="837"/>
    </row>
    <row r="115" spans="1:10" ht="27.95" customHeight="1">
      <c r="A115" s="2336"/>
      <c r="B115" s="2339"/>
      <c r="C115" s="2341"/>
      <c r="D115" s="2320">
        <f>'BS old'!E59</f>
        <v>0</v>
      </c>
      <c r="E115" s="2320"/>
      <c r="F115" s="2320"/>
      <c r="G115" s="838"/>
      <c r="H115" s="2317">
        <f>'BS old'!G59</f>
        <v>0</v>
      </c>
      <c r="I115" s="2318"/>
      <c r="J115" s="2321"/>
    </row>
    <row r="116" spans="1:10" ht="27.95" customHeight="1">
      <c r="A116" s="2465" t="s">
        <v>541</v>
      </c>
      <c r="B116" s="2339" t="s">
        <v>1498</v>
      </c>
      <c r="C116" s="2341" t="s">
        <v>954</v>
      </c>
      <c r="D116" s="2320">
        <f>'BS old'!D60</f>
        <v>0</v>
      </c>
      <c r="E116" s="2320"/>
      <c r="F116" s="2320"/>
      <c r="G116" s="2317">
        <f>'BS old'!F60</f>
        <v>0</v>
      </c>
      <c r="H116" s="2318"/>
      <c r="I116" s="2319"/>
      <c r="J116" s="837"/>
    </row>
    <row r="117" spans="1:10" ht="27.95" customHeight="1">
      <c r="A117" s="2336"/>
      <c r="B117" s="2339"/>
      <c r="C117" s="2341"/>
      <c r="D117" s="2320">
        <f>'BS old'!E60</f>
        <v>0</v>
      </c>
      <c r="E117" s="2320"/>
      <c r="F117" s="2320"/>
      <c r="G117" s="838"/>
      <c r="H117" s="2317">
        <f>'BS old'!G60</f>
        <v>0</v>
      </c>
      <c r="I117" s="2318"/>
      <c r="J117" s="2321"/>
    </row>
    <row r="118" spans="1:10" ht="27.95" customHeight="1">
      <c r="A118" s="2465" t="s">
        <v>544</v>
      </c>
      <c r="B118" s="2339" t="s">
        <v>1499</v>
      </c>
      <c r="C118" s="2340" t="s">
        <v>957</v>
      </c>
      <c r="D118" s="2320">
        <f>'BS old'!D61</f>
        <v>0</v>
      </c>
      <c r="E118" s="2320"/>
      <c r="F118" s="2320"/>
      <c r="G118" s="2317">
        <f>'BS old'!F61</f>
        <v>0</v>
      </c>
      <c r="H118" s="2318"/>
      <c r="I118" s="2319"/>
      <c r="J118" s="837"/>
    </row>
    <row r="119" spans="1:10" ht="27.95" customHeight="1">
      <c r="A119" s="2336"/>
      <c r="B119" s="2339"/>
      <c r="C119" s="2341"/>
      <c r="D119" s="2320">
        <f>'BS old'!E61</f>
        <v>0</v>
      </c>
      <c r="E119" s="2320"/>
      <c r="F119" s="2320"/>
      <c r="G119" s="838"/>
      <c r="H119" s="2317">
        <f>'BS old'!G61</f>
        <v>0</v>
      </c>
      <c r="I119" s="2318"/>
      <c r="J119" s="2321"/>
    </row>
    <row r="120" spans="1:10" ht="27.95" customHeight="1">
      <c r="A120" s="2465" t="s">
        <v>547</v>
      </c>
      <c r="B120" s="2339" t="s">
        <v>1500</v>
      </c>
      <c r="C120" s="2341" t="s">
        <v>960</v>
      </c>
      <c r="D120" s="2320">
        <f>'BS old'!D62</f>
        <v>0</v>
      </c>
      <c r="E120" s="2320"/>
      <c r="F120" s="2320"/>
      <c r="G120" s="2317">
        <f>'BS old'!F62</f>
        <v>0</v>
      </c>
      <c r="H120" s="2318"/>
      <c r="I120" s="2319"/>
      <c r="J120" s="837"/>
    </row>
    <row r="121" spans="1:10" ht="27.95" customHeight="1">
      <c r="A121" s="2336"/>
      <c r="B121" s="2339"/>
      <c r="C121" s="2341"/>
      <c r="D121" s="2320">
        <f>'BS old'!E62</f>
        <v>0</v>
      </c>
      <c r="E121" s="2320"/>
      <c r="F121" s="2320"/>
      <c r="G121" s="838"/>
      <c r="H121" s="2317">
        <f>'BS old'!G62</f>
        <v>0</v>
      </c>
      <c r="I121" s="2318"/>
      <c r="J121" s="2321"/>
    </row>
    <row r="122" spans="1:10" ht="27.95" customHeight="1">
      <c r="A122" s="2465" t="s">
        <v>568</v>
      </c>
      <c r="B122" s="2339" t="s">
        <v>1494</v>
      </c>
      <c r="C122" s="2340" t="s">
        <v>962</v>
      </c>
      <c r="D122" s="2320">
        <f>'BS old'!D63</f>
        <v>0</v>
      </c>
      <c r="E122" s="2320"/>
      <c r="F122" s="2320"/>
      <c r="G122" s="2317">
        <f>'BS old'!F63</f>
        <v>0</v>
      </c>
      <c r="H122" s="2318"/>
      <c r="I122" s="2319"/>
      <c r="J122" s="837"/>
    </row>
    <row r="123" spans="1:10" ht="27.95" customHeight="1">
      <c r="A123" s="2336"/>
      <c r="B123" s="2477"/>
      <c r="C123" s="2341"/>
      <c r="D123" s="2320">
        <f>'BS old'!E63</f>
        <v>0</v>
      </c>
      <c r="E123" s="2320"/>
      <c r="F123" s="2320"/>
      <c r="G123" s="838"/>
      <c r="H123" s="2317">
        <f>'BS old'!G63</f>
        <v>0</v>
      </c>
      <c r="I123" s="2318"/>
      <c r="J123" s="2321"/>
    </row>
    <row r="124" spans="1:10" ht="27.95" customHeight="1">
      <c r="A124" s="2475" t="s">
        <v>649</v>
      </c>
      <c r="B124" s="2351" t="s">
        <v>650</v>
      </c>
      <c r="C124" s="2341" t="s">
        <v>965</v>
      </c>
      <c r="D124" s="2476">
        <f>'BS old'!D64</f>
        <v>0</v>
      </c>
      <c r="E124" s="2476"/>
      <c r="F124" s="2476"/>
      <c r="G124" s="2317">
        <f>'BS old'!F64</f>
        <v>0</v>
      </c>
      <c r="H124" s="2318"/>
      <c r="I124" s="2319"/>
      <c r="J124" s="837"/>
    </row>
    <row r="125" spans="1:10" ht="27.95" customHeight="1">
      <c r="A125" s="2352"/>
      <c r="B125" s="2351"/>
      <c r="C125" s="2341"/>
      <c r="D125" s="2320">
        <f>'BS old'!E64</f>
        <v>0</v>
      </c>
      <c r="E125" s="2320"/>
      <c r="F125" s="2320"/>
      <c r="G125" s="838"/>
      <c r="H125" s="2317">
        <f>'BS old'!G64</f>
        <v>0</v>
      </c>
      <c r="I125" s="2318"/>
      <c r="J125" s="2321"/>
    </row>
    <row r="126" spans="1:10" s="450" customFormat="1" ht="27.95" customHeight="1">
      <c r="A126" s="2467" t="s">
        <v>652</v>
      </c>
      <c r="B126" s="2339" t="s">
        <v>1501</v>
      </c>
      <c r="C126" s="2340" t="s">
        <v>968</v>
      </c>
      <c r="D126" s="2320">
        <f>'BS old'!D65</f>
        <v>0</v>
      </c>
      <c r="E126" s="2320"/>
      <c r="F126" s="2320"/>
      <c r="G126" s="2317">
        <f>'BS old'!F65</f>
        <v>0</v>
      </c>
      <c r="H126" s="2318"/>
      <c r="I126" s="2319"/>
      <c r="J126" s="837"/>
    </row>
    <row r="127" spans="1:10" s="450" customFormat="1" ht="27.95" customHeight="1">
      <c r="A127" s="2468"/>
      <c r="B127" s="2339"/>
      <c r="C127" s="2341"/>
      <c r="D127" s="2320">
        <f>'BS old'!E65</f>
        <v>0</v>
      </c>
      <c r="E127" s="2320"/>
      <c r="F127" s="2320"/>
      <c r="G127" s="802"/>
      <c r="H127" s="2317">
        <f>'BS old'!G65</f>
        <v>0</v>
      </c>
      <c r="I127" s="2318"/>
      <c r="J127" s="2321"/>
    </row>
    <row r="128" spans="1:10" ht="11.25" customHeight="1">
      <c r="A128" s="2471" t="s">
        <v>1447</v>
      </c>
      <c r="B128" s="2472" t="s">
        <v>1448</v>
      </c>
      <c r="C128" s="2473" t="s">
        <v>1449</v>
      </c>
      <c r="D128" s="2324" t="s">
        <v>1450</v>
      </c>
      <c r="E128" s="2346"/>
      <c r="F128" s="2346"/>
      <c r="G128" s="2346"/>
      <c r="H128" s="2327"/>
      <c r="I128" s="2328" t="s">
        <v>1451</v>
      </c>
      <c r="J128" s="2329"/>
    </row>
    <row r="129" spans="1:10" ht="11.25" customHeight="1">
      <c r="A129" s="2471"/>
      <c r="B129" s="2472"/>
      <c r="C129" s="2473"/>
      <c r="D129" s="2364">
        <v>1</v>
      </c>
      <c r="E129" s="2332" t="s">
        <v>1452</v>
      </c>
      <c r="F129" s="2392"/>
      <c r="G129" s="2388" t="s">
        <v>1453</v>
      </c>
      <c r="H129" s="2390"/>
      <c r="I129" s="2324"/>
      <c r="J129" s="2325"/>
    </row>
    <row r="130" spans="1:10" ht="11.25" customHeight="1">
      <c r="A130" s="2334"/>
      <c r="B130" s="2342"/>
      <c r="C130" s="2344"/>
      <c r="D130" s="2474"/>
      <c r="E130" s="2332" t="s">
        <v>1454</v>
      </c>
      <c r="F130" s="2392"/>
      <c r="G130" s="2324"/>
      <c r="H130" s="2327"/>
      <c r="I130" s="2332" t="s">
        <v>1455</v>
      </c>
      <c r="J130" s="2333"/>
    </row>
    <row r="131" spans="1:10" s="519" customFormat="1" ht="27.95" customHeight="1">
      <c r="A131" s="2465" t="s">
        <v>532</v>
      </c>
      <c r="B131" s="2338" t="s">
        <v>1502</v>
      </c>
      <c r="C131" s="2341" t="s">
        <v>656</v>
      </c>
      <c r="D131" s="2320">
        <f>'BS old'!D66</f>
        <v>0</v>
      </c>
      <c r="E131" s="2320"/>
      <c r="F131" s="2320"/>
      <c r="G131" s="2317">
        <f>'BS old'!F66</f>
        <v>0</v>
      </c>
      <c r="H131" s="2318"/>
      <c r="I131" s="2319"/>
      <c r="J131" s="520"/>
    </row>
    <row r="132" spans="1:10" s="519" customFormat="1" ht="27.95" customHeight="1">
      <c r="A132" s="2336"/>
      <c r="B132" s="2339"/>
      <c r="C132" s="2341"/>
      <c r="D132" s="2320">
        <f>'BS old'!E66</f>
        <v>0</v>
      </c>
      <c r="E132" s="2320"/>
      <c r="F132" s="2320"/>
      <c r="G132" s="839"/>
      <c r="H132" s="2317">
        <f>'BS old'!G66</f>
        <v>0</v>
      </c>
      <c r="I132" s="2318"/>
      <c r="J132" s="2321"/>
    </row>
    <row r="133" spans="1:10" s="519" customFormat="1" ht="27.95" customHeight="1">
      <c r="A133" s="2465" t="s">
        <v>535</v>
      </c>
      <c r="B133" s="2339" t="s">
        <v>1503</v>
      </c>
      <c r="C133" s="2341" t="s">
        <v>658</v>
      </c>
      <c r="D133" s="2320">
        <f>'BS old'!D67</f>
        <v>0</v>
      </c>
      <c r="E133" s="2320"/>
      <c r="F133" s="2320"/>
      <c r="G133" s="2317">
        <f>'BS old'!F67</f>
        <v>0</v>
      </c>
      <c r="H133" s="2318"/>
      <c r="I133" s="2319"/>
      <c r="J133" s="520"/>
    </row>
    <row r="134" spans="1:10" ht="27.95" customHeight="1">
      <c r="A134" s="2336"/>
      <c r="B134" s="2339"/>
      <c r="C134" s="2341"/>
      <c r="D134" s="2320">
        <f>'BS old'!E67</f>
        <v>0</v>
      </c>
      <c r="E134" s="2320"/>
      <c r="F134" s="2320"/>
      <c r="G134" s="839"/>
      <c r="H134" s="2317">
        <f>'BS old'!G67</f>
        <v>0</v>
      </c>
      <c r="I134" s="2318"/>
      <c r="J134" s="2321"/>
    </row>
    <row r="135" spans="1:10" ht="27.95" customHeight="1">
      <c r="A135" s="2465" t="s">
        <v>538</v>
      </c>
      <c r="B135" s="2339" t="s">
        <v>1504</v>
      </c>
      <c r="C135" s="2341" t="s">
        <v>660</v>
      </c>
      <c r="D135" s="2320">
        <f>'BS old'!D68</f>
        <v>0</v>
      </c>
      <c r="E135" s="2320"/>
      <c r="F135" s="2320"/>
      <c r="G135" s="2317">
        <f>'BS old'!F68</f>
        <v>0</v>
      </c>
      <c r="H135" s="2318"/>
      <c r="I135" s="2319"/>
      <c r="J135" s="837"/>
    </row>
    <row r="136" spans="1:10" ht="27.95" customHeight="1">
      <c r="A136" s="2336"/>
      <c r="B136" s="2339"/>
      <c r="C136" s="2341"/>
      <c r="D136" s="2320">
        <f>'BS old'!E68</f>
        <v>0</v>
      </c>
      <c r="E136" s="2320"/>
      <c r="F136" s="2320"/>
      <c r="G136" s="839"/>
      <c r="H136" s="2317">
        <f>'BS old'!G68</f>
        <v>0</v>
      </c>
      <c r="I136" s="2318"/>
      <c r="J136" s="2321"/>
    </row>
    <row r="137" spans="1:10" ht="27.95" customHeight="1">
      <c r="A137" s="2465" t="s">
        <v>541</v>
      </c>
      <c r="B137" s="2339" t="s">
        <v>1505</v>
      </c>
      <c r="C137" s="2341" t="s">
        <v>662</v>
      </c>
      <c r="D137" s="2320">
        <f>'BS old'!D69</f>
        <v>0</v>
      </c>
      <c r="E137" s="2320"/>
      <c r="F137" s="2320"/>
      <c r="G137" s="2317">
        <f>'BS old'!F69</f>
        <v>0</v>
      </c>
      <c r="H137" s="2318"/>
      <c r="I137" s="2319"/>
      <c r="J137" s="837"/>
    </row>
    <row r="138" spans="1:10" ht="27.95" customHeight="1">
      <c r="A138" s="2336"/>
      <c r="B138" s="2339"/>
      <c r="C138" s="2341"/>
      <c r="D138" s="2320">
        <f>'BS old'!E69</f>
        <v>0</v>
      </c>
      <c r="E138" s="2320"/>
      <c r="F138" s="2320"/>
      <c r="G138" s="839"/>
      <c r="H138" s="2317">
        <f>'BS old'!G69</f>
        <v>0</v>
      </c>
      <c r="I138" s="2318"/>
      <c r="J138" s="2321"/>
    </row>
    <row r="139" spans="1:10" ht="27.95" customHeight="1">
      <c r="A139" s="2469" t="s">
        <v>663</v>
      </c>
      <c r="B139" s="2351" t="s">
        <v>1506</v>
      </c>
      <c r="C139" s="2354" t="s">
        <v>665</v>
      </c>
      <c r="D139" s="2320">
        <f>'BS old'!D70</f>
        <v>0</v>
      </c>
      <c r="E139" s="2320"/>
      <c r="F139" s="2320"/>
      <c r="G139" s="2317">
        <f>'BS old'!F70</f>
        <v>0</v>
      </c>
      <c r="H139" s="2318"/>
      <c r="I139" s="2319"/>
      <c r="J139" s="837"/>
    </row>
    <row r="140" spans="1:10" ht="27.95" customHeight="1">
      <c r="A140" s="2470"/>
      <c r="B140" s="2351"/>
      <c r="C140" s="2354"/>
      <c r="D140" s="2320">
        <f>'BS old'!E70</f>
        <v>0</v>
      </c>
      <c r="E140" s="2320"/>
      <c r="F140" s="2320"/>
      <c r="G140" s="839"/>
      <c r="H140" s="2317">
        <f>'BS old'!G70</f>
        <v>0</v>
      </c>
      <c r="I140" s="2318"/>
      <c r="J140" s="2321"/>
    </row>
    <row r="141" spans="1:10" ht="27.95" customHeight="1">
      <c r="A141" s="2467" t="s">
        <v>666</v>
      </c>
      <c r="B141" s="2466" t="s">
        <v>1507</v>
      </c>
      <c r="C141" s="2341" t="s">
        <v>668</v>
      </c>
      <c r="D141" s="2320">
        <f>'BS old'!D71</f>
        <v>0</v>
      </c>
      <c r="E141" s="2320"/>
      <c r="F141" s="2320"/>
      <c r="G141" s="2317">
        <f>'BS old'!F71</f>
        <v>0</v>
      </c>
      <c r="H141" s="2318"/>
      <c r="I141" s="2319"/>
      <c r="J141" s="837"/>
    </row>
    <row r="142" spans="1:10" ht="27.95" customHeight="1">
      <c r="A142" s="2468"/>
      <c r="B142" s="2339"/>
      <c r="C142" s="2341"/>
      <c r="D142" s="2320">
        <f>'BS old'!E71</f>
        <v>0</v>
      </c>
      <c r="E142" s="2320"/>
      <c r="F142" s="2320"/>
      <c r="G142" s="839"/>
      <c r="H142" s="2317">
        <f>'BS old'!G71</f>
        <v>0</v>
      </c>
      <c r="I142" s="2318"/>
      <c r="J142" s="2321"/>
    </row>
    <row r="143" spans="1:10" ht="27.95" customHeight="1">
      <c r="A143" s="2465" t="s">
        <v>532</v>
      </c>
      <c r="B143" s="2466" t="s">
        <v>1508</v>
      </c>
      <c r="C143" s="2341" t="s">
        <v>670</v>
      </c>
      <c r="D143" s="2320">
        <f>'BS old'!D72</f>
        <v>0</v>
      </c>
      <c r="E143" s="2320"/>
      <c r="F143" s="2320"/>
      <c r="G143" s="2317">
        <f>'BS old'!F72</f>
        <v>0</v>
      </c>
      <c r="H143" s="2318"/>
      <c r="I143" s="2319"/>
      <c r="J143" s="837"/>
    </row>
    <row r="144" spans="1:10" s="450" customFormat="1" ht="27.95" customHeight="1">
      <c r="A144" s="2336"/>
      <c r="B144" s="2339"/>
      <c r="C144" s="2341"/>
      <c r="D144" s="2320">
        <f>'BS old'!E72</f>
        <v>0</v>
      </c>
      <c r="E144" s="2320"/>
      <c r="F144" s="2320"/>
      <c r="G144" s="839"/>
      <c r="H144" s="2317">
        <f>'BS old'!G72</f>
        <v>0</v>
      </c>
      <c r="I144" s="2318"/>
      <c r="J144" s="2321"/>
    </row>
    <row r="145" spans="1:10" s="450" customFormat="1" ht="27.95" customHeight="1">
      <c r="A145" s="2465" t="s">
        <v>535</v>
      </c>
      <c r="B145" s="2466" t="s">
        <v>1509</v>
      </c>
      <c r="C145" s="2341" t="s">
        <v>672</v>
      </c>
      <c r="D145" s="2320">
        <f>'BS old'!D73</f>
        <v>0</v>
      </c>
      <c r="E145" s="2320"/>
      <c r="F145" s="2320"/>
      <c r="G145" s="2317">
        <f>'BS old'!F73</f>
        <v>0</v>
      </c>
      <c r="H145" s="2318"/>
      <c r="I145" s="2319"/>
      <c r="J145" s="837"/>
    </row>
    <row r="146" spans="1:10" ht="27.95" customHeight="1">
      <c r="A146" s="2336"/>
      <c r="B146" s="2339"/>
      <c r="C146" s="2341"/>
      <c r="D146" s="2320">
        <f>'BS old'!E73</f>
        <v>0</v>
      </c>
      <c r="E146" s="2320"/>
      <c r="F146" s="2320"/>
      <c r="G146" s="839"/>
      <c r="H146" s="2317">
        <f>'BS old'!G73</f>
        <v>0</v>
      </c>
      <c r="I146" s="2318"/>
      <c r="J146" s="2321"/>
    </row>
    <row r="147" spans="1:10" ht="27.95" customHeight="1">
      <c r="A147" s="2465" t="s">
        <v>538</v>
      </c>
      <c r="B147" s="2466" t="s">
        <v>1510</v>
      </c>
      <c r="C147" s="2341" t="s">
        <v>674</v>
      </c>
      <c r="D147" s="2320">
        <f>'BS old'!D74</f>
        <v>0</v>
      </c>
      <c r="E147" s="2320"/>
      <c r="F147" s="2320"/>
      <c r="G147" s="2317">
        <f>'BS old'!F74</f>
        <v>0</v>
      </c>
      <c r="H147" s="2318"/>
      <c r="I147" s="2319"/>
      <c r="J147" s="837"/>
    </row>
    <row r="148" spans="1:10" s="515" customFormat="1" ht="27.95" customHeight="1">
      <c r="A148" s="2336"/>
      <c r="B148" s="2339"/>
      <c r="C148" s="2341"/>
      <c r="D148" s="2320">
        <f>'BS old'!E74</f>
        <v>0</v>
      </c>
      <c r="E148" s="2320"/>
      <c r="F148" s="2320"/>
      <c r="G148" s="802"/>
      <c r="H148" s="2317">
        <f>'BS old'!G74</f>
        <v>0</v>
      </c>
      <c r="I148" s="2318"/>
      <c r="J148" s="2321"/>
    </row>
    <row r="149" spans="1:10" s="515" customFormat="1" ht="30" customHeight="1">
      <c r="A149" s="794" t="s">
        <v>1447</v>
      </c>
      <c r="B149" s="2462" t="s">
        <v>1511</v>
      </c>
      <c r="C149" s="2463"/>
      <c r="D149" s="2463"/>
      <c r="E149" s="2464"/>
      <c r="F149" s="800" t="s">
        <v>1449</v>
      </c>
      <c r="G149" s="2324" t="s">
        <v>1512</v>
      </c>
      <c r="H149" s="2327"/>
      <c r="I149" s="2324" t="s">
        <v>1513</v>
      </c>
      <c r="J149" s="2325"/>
    </row>
    <row r="150" spans="1:10" s="515" customFormat="1" ht="27.75" customHeight="1">
      <c r="A150" s="516"/>
      <c r="B150" s="2459" t="s">
        <v>1514</v>
      </c>
      <c r="C150" s="2460"/>
      <c r="D150" s="2460"/>
      <c r="E150" s="2461"/>
      <c r="F150" s="804" t="s">
        <v>681</v>
      </c>
      <c r="G150" s="2317">
        <f>'BS old'!D81</f>
        <v>0</v>
      </c>
      <c r="H150" s="2319"/>
      <c r="I150" s="2317">
        <f>'BS old'!E81</f>
        <v>0</v>
      </c>
      <c r="J150" s="2321"/>
    </row>
    <row r="151" spans="1:10" s="515" customFormat="1" ht="27.75" customHeight="1">
      <c r="A151" s="805" t="s">
        <v>523</v>
      </c>
      <c r="B151" s="2459" t="s">
        <v>1515</v>
      </c>
      <c r="C151" s="2460"/>
      <c r="D151" s="2460"/>
      <c r="E151" s="2461"/>
      <c r="F151" s="804" t="s">
        <v>683</v>
      </c>
      <c r="G151" s="2317">
        <f>'BS old'!D82</f>
        <v>0</v>
      </c>
      <c r="H151" s="2319"/>
      <c r="I151" s="2317">
        <f>'BS old'!E82</f>
        <v>0</v>
      </c>
      <c r="J151" s="2321"/>
    </row>
    <row r="152" spans="1:10" ht="27.75" customHeight="1">
      <c r="A152" s="805" t="s">
        <v>526</v>
      </c>
      <c r="B152" s="2459" t="s">
        <v>684</v>
      </c>
      <c r="C152" s="2460"/>
      <c r="D152" s="2460"/>
      <c r="E152" s="2461"/>
      <c r="F152" s="804" t="s">
        <v>685</v>
      </c>
      <c r="G152" s="2317">
        <f>'BS old'!D83</f>
        <v>0</v>
      </c>
      <c r="H152" s="2319"/>
      <c r="I152" s="2317">
        <f>'BS old'!E83</f>
        <v>0</v>
      </c>
      <c r="J152" s="2321"/>
    </row>
    <row r="153" spans="1:10" s="450" customFormat="1" ht="27.75" customHeight="1">
      <c r="A153" s="803" t="s">
        <v>529</v>
      </c>
      <c r="B153" s="2450" t="s">
        <v>686</v>
      </c>
      <c r="C153" s="2451"/>
      <c r="D153" s="2451"/>
      <c r="E153" s="2452"/>
      <c r="F153" s="798" t="s">
        <v>687</v>
      </c>
      <c r="G153" s="2317">
        <f>'BS old'!D84</f>
        <v>0</v>
      </c>
      <c r="H153" s="2319"/>
      <c r="I153" s="2317">
        <f>'BS old'!E84</f>
        <v>0</v>
      </c>
      <c r="J153" s="2321"/>
    </row>
    <row r="154" spans="1:10" s="450" customFormat="1" ht="27.75" customHeight="1">
      <c r="A154" s="796" t="s">
        <v>532</v>
      </c>
      <c r="B154" s="2450" t="s">
        <v>688</v>
      </c>
      <c r="C154" s="2451"/>
      <c r="D154" s="2451"/>
      <c r="E154" s="2452"/>
      <c r="F154" s="798" t="s">
        <v>689</v>
      </c>
      <c r="G154" s="2317">
        <f>'BS old'!D85</f>
        <v>0</v>
      </c>
      <c r="H154" s="2319"/>
      <c r="I154" s="2317">
        <f>'BS old'!E85</f>
        <v>0</v>
      </c>
      <c r="J154" s="2321"/>
    </row>
    <row r="155" spans="1:10" s="450" customFormat="1" ht="27.75" customHeight="1">
      <c r="A155" s="796" t="s">
        <v>535</v>
      </c>
      <c r="B155" s="2450" t="s">
        <v>690</v>
      </c>
      <c r="C155" s="2451"/>
      <c r="D155" s="2451"/>
      <c r="E155" s="2452"/>
      <c r="F155" s="798" t="s">
        <v>691</v>
      </c>
      <c r="G155" s="2317">
        <f>'BS old'!D86</f>
        <v>0</v>
      </c>
      <c r="H155" s="2319"/>
      <c r="I155" s="2317">
        <f>'BS old'!E86</f>
        <v>0</v>
      </c>
      <c r="J155" s="2321"/>
    </row>
    <row r="156" spans="1:10" ht="27.75" customHeight="1">
      <c r="A156" s="796" t="s">
        <v>538</v>
      </c>
      <c r="B156" s="2450" t="s">
        <v>692</v>
      </c>
      <c r="C156" s="2451"/>
      <c r="D156" s="2451"/>
      <c r="E156" s="2452"/>
      <c r="F156" s="798" t="s">
        <v>693</v>
      </c>
      <c r="G156" s="2317">
        <f>'BS old'!D87</f>
        <v>0</v>
      </c>
      <c r="H156" s="2319"/>
      <c r="I156" s="2317">
        <f>'BS old'!E87</f>
        <v>0</v>
      </c>
      <c r="J156" s="2321"/>
    </row>
    <row r="157" spans="1:10" ht="27.75" customHeight="1">
      <c r="A157" s="805" t="s">
        <v>550</v>
      </c>
      <c r="B157" s="2459" t="s">
        <v>694</v>
      </c>
      <c r="C157" s="2460"/>
      <c r="D157" s="2460"/>
      <c r="E157" s="2461"/>
      <c r="F157" s="804" t="s">
        <v>695</v>
      </c>
      <c r="G157" s="2317">
        <f>'BS old'!D88</f>
        <v>0</v>
      </c>
      <c r="H157" s="2319"/>
      <c r="I157" s="2317">
        <f>'BS old'!E88</f>
        <v>0</v>
      </c>
      <c r="J157" s="2321"/>
    </row>
    <row r="158" spans="1:10" ht="27.75" customHeight="1">
      <c r="A158" s="803" t="s">
        <v>553</v>
      </c>
      <c r="B158" s="2450" t="s">
        <v>696</v>
      </c>
      <c r="C158" s="2451"/>
      <c r="D158" s="2451"/>
      <c r="E158" s="2452"/>
      <c r="F158" s="798" t="s">
        <v>697</v>
      </c>
      <c r="G158" s="2317">
        <f>'BS old'!D89</f>
        <v>0</v>
      </c>
      <c r="H158" s="2319"/>
      <c r="I158" s="2317">
        <f>'BS old'!E89</f>
        <v>0</v>
      </c>
      <c r="J158" s="2321"/>
    </row>
    <row r="159" spans="1:10" ht="27.75" customHeight="1">
      <c r="A159" s="796" t="s">
        <v>532</v>
      </c>
      <c r="B159" s="2450" t="s">
        <v>698</v>
      </c>
      <c r="C159" s="2451"/>
      <c r="D159" s="2451"/>
      <c r="E159" s="2452"/>
      <c r="F159" s="798" t="s">
        <v>699</v>
      </c>
      <c r="G159" s="2317">
        <f>'BS old'!D90</f>
        <v>0</v>
      </c>
      <c r="H159" s="2319"/>
      <c r="I159" s="2317">
        <f>'BS old'!E90</f>
        <v>0</v>
      </c>
      <c r="J159" s="2321"/>
    </row>
    <row r="160" spans="1:10" s="450" customFormat="1" ht="27.75" customHeight="1">
      <c r="A160" s="796" t="s">
        <v>535</v>
      </c>
      <c r="B160" s="2450" t="s">
        <v>700</v>
      </c>
      <c r="C160" s="2451"/>
      <c r="D160" s="2451"/>
      <c r="E160" s="2452"/>
      <c r="F160" s="798" t="s">
        <v>701</v>
      </c>
      <c r="G160" s="2317">
        <f>'BS old'!D91</f>
        <v>0</v>
      </c>
      <c r="H160" s="2319"/>
      <c r="I160" s="2317">
        <f>'BS old'!E91</f>
        <v>0</v>
      </c>
      <c r="J160" s="2321"/>
    </row>
    <row r="161" spans="1:10" ht="27.75" customHeight="1">
      <c r="A161" s="796" t="s">
        <v>538</v>
      </c>
      <c r="B161" s="2450" t="s">
        <v>1516</v>
      </c>
      <c r="C161" s="2451"/>
      <c r="D161" s="2451"/>
      <c r="E161" s="2452"/>
      <c r="F161" s="798" t="s">
        <v>703</v>
      </c>
      <c r="G161" s="2317">
        <f>'BS old'!D92</f>
        <v>0</v>
      </c>
      <c r="H161" s="2319"/>
      <c r="I161" s="2317">
        <f>'BS old'!E92</f>
        <v>0</v>
      </c>
      <c r="J161" s="2321"/>
    </row>
    <row r="162" spans="1:10" ht="27.75" customHeight="1">
      <c r="A162" s="796" t="s">
        <v>541</v>
      </c>
      <c r="B162" s="2450" t="s">
        <v>704</v>
      </c>
      <c r="C162" s="2451"/>
      <c r="D162" s="2451"/>
      <c r="E162" s="2452"/>
      <c r="F162" s="798" t="s">
        <v>705</v>
      </c>
      <c r="G162" s="2317">
        <f>'BS old'!D93</f>
        <v>0</v>
      </c>
      <c r="H162" s="2319"/>
      <c r="I162" s="2317">
        <f>'BS old'!E93</f>
        <v>0</v>
      </c>
      <c r="J162" s="2321"/>
    </row>
    <row r="163" spans="1:10" ht="27.75" customHeight="1">
      <c r="A163" s="796" t="s">
        <v>544</v>
      </c>
      <c r="B163" s="2450" t="s">
        <v>706</v>
      </c>
      <c r="C163" s="2451"/>
      <c r="D163" s="2451"/>
      <c r="E163" s="2452"/>
      <c r="F163" s="798" t="s">
        <v>707</v>
      </c>
      <c r="G163" s="2317">
        <f>'BS old'!D94</f>
        <v>0</v>
      </c>
      <c r="H163" s="2319"/>
      <c r="I163" s="2317">
        <f>'BS old'!E94</f>
        <v>0</v>
      </c>
      <c r="J163" s="2321"/>
    </row>
    <row r="164" spans="1:10" ht="27.75" customHeight="1">
      <c r="A164" s="805" t="s">
        <v>574</v>
      </c>
      <c r="B164" s="2459" t="s">
        <v>708</v>
      </c>
      <c r="C164" s="2460"/>
      <c r="D164" s="2460"/>
      <c r="E164" s="2461"/>
      <c r="F164" s="804" t="s">
        <v>709</v>
      </c>
      <c r="G164" s="2317">
        <f>'BS old'!D95</f>
        <v>0</v>
      </c>
      <c r="H164" s="2319"/>
      <c r="I164" s="2317">
        <f>'BS old'!E95</f>
        <v>0</v>
      </c>
      <c r="J164" s="2321"/>
    </row>
    <row r="165" spans="1:10" ht="27.75" customHeight="1">
      <c r="A165" s="796" t="s">
        <v>577</v>
      </c>
      <c r="B165" s="2450" t="s">
        <v>710</v>
      </c>
      <c r="C165" s="2451"/>
      <c r="D165" s="2451"/>
      <c r="E165" s="2452"/>
      <c r="F165" s="798" t="s">
        <v>711</v>
      </c>
      <c r="G165" s="2317">
        <f>'BS old'!D96</f>
        <v>0</v>
      </c>
      <c r="H165" s="2319"/>
      <c r="I165" s="2317">
        <f>'BS old'!E96</f>
        <v>0</v>
      </c>
      <c r="J165" s="2321"/>
    </row>
    <row r="166" spans="1:10" ht="27.75" customHeight="1">
      <c r="A166" s="796" t="s">
        <v>532</v>
      </c>
      <c r="B166" s="2450" t="s">
        <v>712</v>
      </c>
      <c r="C166" s="2451"/>
      <c r="D166" s="2451"/>
      <c r="E166" s="2452"/>
      <c r="F166" s="798" t="s">
        <v>713</v>
      </c>
      <c r="G166" s="2317">
        <f>'BS old'!D97</f>
        <v>0</v>
      </c>
      <c r="H166" s="2319"/>
      <c r="I166" s="2317">
        <f>'BS old'!E97</f>
        <v>0</v>
      </c>
      <c r="J166" s="2321"/>
    </row>
    <row r="167" spans="1:10" s="450" customFormat="1" ht="27.75" customHeight="1">
      <c r="A167" s="796" t="s">
        <v>535</v>
      </c>
      <c r="B167" s="2450" t="s">
        <v>714</v>
      </c>
      <c r="C167" s="2451"/>
      <c r="D167" s="2451"/>
      <c r="E167" s="2452"/>
      <c r="F167" s="798" t="s">
        <v>715</v>
      </c>
      <c r="G167" s="2317">
        <f>'BS old'!D98</f>
        <v>0</v>
      </c>
      <c r="H167" s="2319"/>
      <c r="I167" s="2317">
        <f>'BS old'!E98</f>
        <v>0</v>
      </c>
      <c r="J167" s="2321"/>
    </row>
    <row r="168" spans="1:10" ht="27.75" customHeight="1">
      <c r="A168" s="805" t="s">
        <v>716</v>
      </c>
      <c r="B168" s="2459" t="s">
        <v>717</v>
      </c>
      <c r="C168" s="2460"/>
      <c r="D168" s="2460"/>
      <c r="E168" s="2461"/>
      <c r="F168" s="804" t="s">
        <v>718</v>
      </c>
      <c r="G168" s="2317">
        <f>'BS old'!D99</f>
        <v>0</v>
      </c>
      <c r="H168" s="2319"/>
      <c r="I168" s="2317">
        <f>'BS old'!E99</f>
        <v>0</v>
      </c>
      <c r="J168" s="2321"/>
    </row>
    <row r="169" spans="1:10" ht="27.75" customHeight="1">
      <c r="A169" s="514" t="s">
        <v>719</v>
      </c>
      <c r="B169" s="2450" t="s">
        <v>720</v>
      </c>
      <c r="C169" s="2451"/>
      <c r="D169" s="2451"/>
      <c r="E169" s="2452"/>
      <c r="F169" s="798" t="s">
        <v>721</v>
      </c>
      <c r="G169" s="2317">
        <f>'BS old'!D100</f>
        <v>0</v>
      </c>
      <c r="H169" s="2319"/>
      <c r="I169" s="2317">
        <f>'BS old'!E100</f>
        <v>0</v>
      </c>
      <c r="J169" s="2321"/>
    </row>
    <row r="170" spans="1:10" ht="27.75" customHeight="1">
      <c r="A170" s="796" t="s">
        <v>532</v>
      </c>
      <c r="B170" s="2450" t="s">
        <v>722</v>
      </c>
      <c r="C170" s="2451"/>
      <c r="D170" s="2451"/>
      <c r="E170" s="2452"/>
      <c r="F170" s="798" t="s">
        <v>723</v>
      </c>
      <c r="G170" s="2317">
        <f>'BS old'!D101</f>
        <v>0</v>
      </c>
      <c r="H170" s="2319"/>
      <c r="I170" s="2317">
        <f>'BS old'!E101</f>
        <v>0</v>
      </c>
      <c r="J170" s="2321"/>
    </row>
    <row r="171" spans="1:10" s="450" customFormat="1" ht="31.5" customHeight="1">
      <c r="A171" s="805" t="s">
        <v>724</v>
      </c>
      <c r="B171" s="2459" t="s">
        <v>2217</v>
      </c>
      <c r="C171" s="2460"/>
      <c r="D171" s="2460"/>
      <c r="E171" s="2461"/>
      <c r="F171" s="804" t="s">
        <v>726</v>
      </c>
      <c r="G171" s="2317">
        <f>'BS old'!D102</f>
        <v>0</v>
      </c>
      <c r="H171" s="2319"/>
      <c r="I171" s="2317">
        <f>'BS old'!E102</f>
        <v>0</v>
      </c>
      <c r="J171" s="2321"/>
    </row>
    <row r="172" spans="1:10" ht="27.75" customHeight="1">
      <c r="A172" s="805" t="s">
        <v>594</v>
      </c>
      <c r="B172" s="2459" t="s">
        <v>727</v>
      </c>
      <c r="C172" s="2460"/>
      <c r="D172" s="2460"/>
      <c r="E172" s="2461"/>
      <c r="F172" s="804" t="s">
        <v>728</v>
      </c>
      <c r="G172" s="2317">
        <f>'BS old'!D103</f>
        <v>0</v>
      </c>
      <c r="H172" s="2319"/>
      <c r="I172" s="2317">
        <f>'BS old'!E103</f>
        <v>0</v>
      </c>
      <c r="J172" s="2321"/>
    </row>
    <row r="173" spans="1:10" ht="27.75" customHeight="1">
      <c r="A173" s="805" t="s">
        <v>597</v>
      </c>
      <c r="B173" s="2459" t="s">
        <v>729</v>
      </c>
      <c r="C173" s="2460"/>
      <c r="D173" s="2460"/>
      <c r="E173" s="2461"/>
      <c r="F173" s="804" t="s">
        <v>730</v>
      </c>
      <c r="G173" s="2317">
        <f>'BS old'!D104</f>
        <v>0</v>
      </c>
      <c r="H173" s="2319"/>
      <c r="I173" s="2317">
        <f>'BS old'!E104</f>
        <v>0</v>
      </c>
      <c r="J173" s="2321"/>
    </row>
    <row r="174" spans="1:10" s="450" customFormat="1" ht="27.75" customHeight="1">
      <c r="A174" s="803" t="s">
        <v>600</v>
      </c>
      <c r="B174" s="2450" t="s">
        <v>731</v>
      </c>
      <c r="C174" s="2451"/>
      <c r="D174" s="2451"/>
      <c r="E174" s="2452"/>
      <c r="F174" s="798" t="s">
        <v>732</v>
      </c>
      <c r="G174" s="2317">
        <f>'BS old'!D105</f>
        <v>0</v>
      </c>
      <c r="H174" s="2319"/>
      <c r="I174" s="2317">
        <f>'BS old'!E105</f>
        <v>0</v>
      </c>
      <c r="J174" s="2321"/>
    </row>
    <row r="175" spans="1:10" s="450" customFormat="1" ht="27.75" customHeight="1">
      <c r="A175" s="796" t="s">
        <v>532</v>
      </c>
      <c r="B175" s="2450" t="s">
        <v>733</v>
      </c>
      <c r="C175" s="2451"/>
      <c r="D175" s="2451"/>
      <c r="E175" s="2452"/>
      <c r="F175" s="798" t="s">
        <v>734</v>
      </c>
      <c r="G175" s="2317">
        <f>'BS old'!D106</f>
        <v>0</v>
      </c>
      <c r="H175" s="2319"/>
      <c r="I175" s="2317">
        <f>'BS old'!E106</f>
        <v>0</v>
      </c>
      <c r="J175" s="2321"/>
    </row>
    <row r="176" spans="1:10" s="450" customFormat="1" ht="27.75" customHeight="1">
      <c r="A176" s="796" t="s">
        <v>535</v>
      </c>
      <c r="B176" s="2450" t="s">
        <v>735</v>
      </c>
      <c r="C176" s="2451"/>
      <c r="D176" s="2451"/>
      <c r="E176" s="2452"/>
      <c r="F176" s="798" t="s">
        <v>736</v>
      </c>
      <c r="G176" s="2317">
        <f>'BS old'!D107</f>
        <v>0</v>
      </c>
      <c r="H176" s="2319"/>
      <c r="I176" s="2317">
        <f>'BS old'!E107</f>
        <v>0</v>
      </c>
      <c r="J176" s="2321"/>
    </row>
    <row r="177" spans="1:10" ht="27.75" customHeight="1">
      <c r="A177" s="796" t="s">
        <v>538</v>
      </c>
      <c r="B177" s="2450" t="s">
        <v>737</v>
      </c>
      <c r="C177" s="2451"/>
      <c r="D177" s="2451"/>
      <c r="E177" s="2452"/>
      <c r="F177" s="798" t="s">
        <v>738</v>
      </c>
      <c r="G177" s="2317">
        <f>'BS old'!D108</f>
        <v>0</v>
      </c>
      <c r="H177" s="2319"/>
      <c r="I177" s="2317">
        <f>'BS old'!E108</f>
        <v>0</v>
      </c>
      <c r="J177" s="2321"/>
    </row>
    <row r="178" spans="1:10" ht="25.5" customHeight="1" thickBot="1">
      <c r="A178" s="512" t="s">
        <v>613</v>
      </c>
      <c r="B178" s="2459" t="s">
        <v>739</v>
      </c>
      <c r="C178" s="2460"/>
      <c r="D178" s="2460"/>
      <c r="E178" s="2461"/>
      <c r="F178" s="511" t="s">
        <v>740</v>
      </c>
      <c r="G178" s="2456">
        <f>'BS old'!D109</f>
        <v>0</v>
      </c>
      <c r="H178" s="2457"/>
      <c r="I178" s="2456">
        <f>'BS old'!E109</f>
        <v>0</v>
      </c>
      <c r="J178" s="2458"/>
    </row>
    <row r="179" spans="1:10" ht="30" customHeight="1">
      <c r="A179" s="794" t="s">
        <v>1447</v>
      </c>
      <c r="B179" s="2462" t="s">
        <v>1511</v>
      </c>
      <c r="C179" s="2463"/>
      <c r="D179" s="2463"/>
      <c r="E179" s="2464"/>
      <c r="F179" s="800" t="s">
        <v>1449</v>
      </c>
      <c r="G179" s="2324" t="s">
        <v>1512</v>
      </c>
      <c r="H179" s="2327"/>
      <c r="I179" s="2324" t="s">
        <v>1513</v>
      </c>
      <c r="J179" s="2325"/>
    </row>
    <row r="180" spans="1:10" ht="27.75" customHeight="1">
      <c r="A180" s="803" t="s">
        <v>616</v>
      </c>
      <c r="B180" s="2459" t="s">
        <v>741</v>
      </c>
      <c r="C180" s="2460"/>
      <c r="D180" s="2460"/>
      <c r="E180" s="2461"/>
      <c r="F180" s="798" t="s">
        <v>742</v>
      </c>
      <c r="G180" s="2317">
        <f>'BS old'!D110</f>
        <v>0</v>
      </c>
      <c r="H180" s="2319"/>
      <c r="I180" s="2317">
        <f>'BS old'!E110</f>
        <v>0</v>
      </c>
      <c r="J180" s="2321"/>
    </row>
    <row r="181" spans="1:10" ht="27.75" customHeight="1">
      <c r="A181" s="796" t="s">
        <v>532</v>
      </c>
      <c r="B181" s="2450" t="s">
        <v>619</v>
      </c>
      <c r="C181" s="2451"/>
      <c r="D181" s="2451"/>
      <c r="E181" s="2452"/>
      <c r="F181" s="798" t="s">
        <v>743</v>
      </c>
      <c r="G181" s="2317">
        <f>'BS old'!D111</f>
        <v>0</v>
      </c>
      <c r="H181" s="2319"/>
      <c r="I181" s="2317">
        <f>'BS old'!E111</f>
        <v>0</v>
      </c>
      <c r="J181" s="2321"/>
    </row>
    <row r="182" spans="1:10" s="450" customFormat="1" ht="27.75" customHeight="1">
      <c r="A182" s="796" t="s">
        <v>535</v>
      </c>
      <c r="B182" s="2450" t="s">
        <v>744</v>
      </c>
      <c r="C182" s="2451"/>
      <c r="D182" s="2451"/>
      <c r="E182" s="2452"/>
      <c r="F182" s="798" t="s">
        <v>745</v>
      </c>
      <c r="G182" s="2317">
        <f>'BS old'!D112</f>
        <v>0</v>
      </c>
      <c r="H182" s="2319"/>
      <c r="I182" s="2317">
        <f>'BS old'!E112</f>
        <v>0</v>
      </c>
      <c r="J182" s="2321"/>
    </row>
    <row r="183" spans="1:10" ht="27.75" customHeight="1">
      <c r="A183" s="796" t="s">
        <v>538</v>
      </c>
      <c r="B183" s="2450" t="s">
        <v>746</v>
      </c>
      <c r="C183" s="2451"/>
      <c r="D183" s="2451"/>
      <c r="E183" s="2452"/>
      <c r="F183" s="798" t="s">
        <v>747</v>
      </c>
      <c r="G183" s="2317">
        <f>'BS old'!D113</f>
        <v>0</v>
      </c>
      <c r="H183" s="2319"/>
      <c r="I183" s="2317">
        <f>'BS old'!E113</f>
        <v>0</v>
      </c>
      <c r="J183" s="2321"/>
    </row>
    <row r="184" spans="1:10" ht="27.75" customHeight="1">
      <c r="A184" s="796" t="s">
        <v>541</v>
      </c>
      <c r="B184" s="2450" t="s">
        <v>748</v>
      </c>
      <c r="C184" s="2451"/>
      <c r="D184" s="2451"/>
      <c r="E184" s="2452"/>
      <c r="F184" s="798" t="s">
        <v>749</v>
      </c>
      <c r="G184" s="2317">
        <f>'BS old'!D114</f>
        <v>0</v>
      </c>
      <c r="H184" s="2319"/>
      <c r="I184" s="2317">
        <f>'BS old'!E114</f>
        <v>0</v>
      </c>
      <c r="J184" s="2321"/>
    </row>
    <row r="185" spans="1:10" ht="27.75" customHeight="1">
      <c r="A185" s="796" t="s">
        <v>544</v>
      </c>
      <c r="B185" s="2450" t="s">
        <v>2218</v>
      </c>
      <c r="C185" s="2451"/>
      <c r="D185" s="2451"/>
      <c r="E185" s="2452"/>
      <c r="F185" s="798" t="s">
        <v>751</v>
      </c>
      <c r="G185" s="2317">
        <f>'BS old'!D115</f>
        <v>0</v>
      </c>
      <c r="H185" s="2319"/>
      <c r="I185" s="2317">
        <f>'BS old'!E115</f>
        <v>0</v>
      </c>
      <c r="J185" s="2321"/>
    </row>
    <row r="186" spans="1:10" ht="27.75" customHeight="1">
      <c r="A186" s="796" t="s">
        <v>547</v>
      </c>
      <c r="B186" s="2450" t="s">
        <v>752</v>
      </c>
      <c r="C186" s="2451"/>
      <c r="D186" s="2451"/>
      <c r="E186" s="2452"/>
      <c r="F186" s="798" t="s">
        <v>753</v>
      </c>
      <c r="G186" s="2317">
        <f>'BS old'!D116</f>
        <v>0</v>
      </c>
      <c r="H186" s="2319"/>
      <c r="I186" s="2317">
        <f>'BS old'!E116</f>
        <v>0</v>
      </c>
      <c r="J186" s="2321"/>
    </row>
    <row r="187" spans="1:10" ht="27.75" customHeight="1">
      <c r="A187" s="796" t="s">
        <v>568</v>
      </c>
      <c r="B187" s="2450" t="s">
        <v>754</v>
      </c>
      <c r="C187" s="2451"/>
      <c r="D187" s="2451"/>
      <c r="E187" s="2452"/>
      <c r="F187" s="798" t="s">
        <v>755</v>
      </c>
      <c r="G187" s="2317">
        <f>'BS old'!D117</f>
        <v>0</v>
      </c>
      <c r="H187" s="2319"/>
      <c r="I187" s="2317">
        <f>'BS old'!E117</f>
        <v>0</v>
      </c>
      <c r="J187" s="2321"/>
    </row>
    <row r="188" spans="1:10" ht="27.75" customHeight="1">
      <c r="A188" s="796" t="s">
        <v>571</v>
      </c>
      <c r="B188" s="2450" t="s">
        <v>756</v>
      </c>
      <c r="C188" s="2451"/>
      <c r="D188" s="2451"/>
      <c r="E188" s="2452"/>
      <c r="F188" s="798" t="s">
        <v>757</v>
      </c>
      <c r="G188" s="2317">
        <f>'BS old'!D118</f>
        <v>0</v>
      </c>
      <c r="H188" s="2319"/>
      <c r="I188" s="2317">
        <f>'BS old'!E118</f>
        <v>0</v>
      </c>
      <c r="J188" s="2321"/>
    </row>
    <row r="189" spans="1:10" ht="27.75" customHeight="1">
      <c r="A189" s="796" t="s">
        <v>758</v>
      </c>
      <c r="B189" s="2450" t="s">
        <v>1517</v>
      </c>
      <c r="C189" s="2451"/>
      <c r="D189" s="2451"/>
      <c r="E189" s="2452"/>
      <c r="F189" s="798" t="s">
        <v>760</v>
      </c>
      <c r="G189" s="2317">
        <f>'BS old'!D119</f>
        <v>0</v>
      </c>
      <c r="H189" s="2319"/>
      <c r="I189" s="2317">
        <f>'BS old'!E119</f>
        <v>0</v>
      </c>
      <c r="J189" s="2321"/>
    </row>
    <row r="190" spans="1:10" ht="27.75" customHeight="1">
      <c r="A190" s="796" t="s">
        <v>761</v>
      </c>
      <c r="B190" s="2450" t="s">
        <v>762</v>
      </c>
      <c r="C190" s="2451"/>
      <c r="D190" s="2451"/>
      <c r="E190" s="2452"/>
      <c r="F190" s="798" t="s">
        <v>763</v>
      </c>
      <c r="G190" s="2317">
        <f>'BS old'!D120</f>
        <v>0</v>
      </c>
      <c r="H190" s="2319"/>
      <c r="I190" s="2317">
        <f>'BS old'!E120</f>
        <v>0</v>
      </c>
      <c r="J190" s="2321"/>
    </row>
    <row r="191" spans="1:10" ht="27.75" customHeight="1">
      <c r="A191" s="805" t="s">
        <v>631</v>
      </c>
      <c r="B191" s="2459" t="s">
        <v>764</v>
      </c>
      <c r="C191" s="2460"/>
      <c r="D191" s="2460"/>
      <c r="E191" s="2461"/>
      <c r="F191" s="798" t="s">
        <v>765</v>
      </c>
      <c r="G191" s="2317">
        <f>'BS old'!D121</f>
        <v>0</v>
      </c>
      <c r="H191" s="2319"/>
      <c r="I191" s="2317">
        <f>'BS old'!E121</f>
        <v>0</v>
      </c>
      <c r="J191" s="2321"/>
    </row>
    <row r="192" spans="1:10" ht="27.75" customHeight="1">
      <c r="A192" s="796" t="s">
        <v>634</v>
      </c>
      <c r="B192" s="2450" t="s">
        <v>1518</v>
      </c>
      <c r="C192" s="2451"/>
      <c r="D192" s="2451"/>
      <c r="E192" s="2452"/>
      <c r="F192" s="798" t="s">
        <v>767</v>
      </c>
      <c r="G192" s="2317">
        <f>'BS old'!D122</f>
        <v>0</v>
      </c>
      <c r="H192" s="2319"/>
      <c r="I192" s="2317">
        <f>'BS old'!E122</f>
        <v>0</v>
      </c>
      <c r="J192" s="2321"/>
    </row>
    <row r="193" spans="1:10" ht="27.75" customHeight="1">
      <c r="A193" s="796" t="s">
        <v>532</v>
      </c>
      <c r="B193" s="2450" t="s">
        <v>619</v>
      </c>
      <c r="C193" s="2451"/>
      <c r="D193" s="2451"/>
      <c r="E193" s="2452"/>
      <c r="F193" s="798" t="s">
        <v>768</v>
      </c>
      <c r="G193" s="2317">
        <f>'BS old'!D123</f>
        <v>0</v>
      </c>
      <c r="H193" s="2319"/>
      <c r="I193" s="2317">
        <f>'BS old'!E123</f>
        <v>0</v>
      </c>
      <c r="J193" s="2321"/>
    </row>
    <row r="194" spans="1:10" ht="27.75" customHeight="1">
      <c r="A194" s="796" t="s">
        <v>535</v>
      </c>
      <c r="B194" s="2450" t="s">
        <v>769</v>
      </c>
      <c r="C194" s="2451"/>
      <c r="D194" s="2451"/>
      <c r="E194" s="2452"/>
      <c r="F194" s="798" t="s">
        <v>770</v>
      </c>
      <c r="G194" s="2317">
        <f>'BS old'!D124</f>
        <v>0</v>
      </c>
      <c r="H194" s="2319"/>
      <c r="I194" s="2317">
        <f>'BS old'!E124</f>
        <v>0</v>
      </c>
      <c r="J194" s="2321"/>
    </row>
    <row r="195" spans="1:10" s="450" customFormat="1" ht="27.75" customHeight="1">
      <c r="A195" s="796" t="s">
        <v>538</v>
      </c>
      <c r="B195" s="2450" t="s">
        <v>771</v>
      </c>
      <c r="C195" s="2451"/>
      <c r="D195" s="2451"/>
      <c r="E195" s="2452"/>
      <c r="F195" s="798" t="s">
        <v>772</v>
      </c>
      <c r="G195" s="2317">
        <f>'BS old'!D125</f>
        <v>0</v>
      </c>
      <c r="H195" s="2319"/>
      <c r="I195" s="2317">
        <f>'BS old'!E125</f>
        <v>0</v>
      </c>
      <c r="J195" s="2321"/>
    </row>
    <row r="196" spans="1:10" ht="27.75" customHeight="1">
      <c r="A196" s="796" t="s">
        <v>541</v>
      </c>
      <c r="B196" s="2450" t="s">
        <v>1519</v>
      </c>
      <c r="C196" s="2451"/>
      <c r="D196" s="2451"/>
      <c r="E196" s="2452"/>
      <c r="F196" s="798" t="s">
        <v>774</v>
      </c>
      <c r="G196" s="2317">
        <f>'BS old'!D126</f>
        <v>0</v>
      </c>
      <c r="H196" s="2319"/>
      <c r="I196" s="2317">
        <f>'BS old'!E126</f>
        <v>0</v>
      </c>
      <c r="J196" s="2321"/>
    </row>
    <row r="197" spans="1:10" ht="27.75" customHeight="1">
      <c r="A197" s="796" t="s">
        <v>544</v>
      </c>
      <c r="B197" s="2450" t="s">
        <v>775</v>
      </c>
      <c r="C197" s="2451"/>
      <c r="D197" s="2451"/>
      <c r="E197" s="2452"/>
      <c r="F197" s="798" t="s">
        <v>776</v>
      </c>
      <c r="G197" s="2317">
        <f>'BS old'!D127</f>
        <v>0</v>
      </c>
      <c r="H197" s="2319"/>
      <c r="I197" s="2317">
        <f>'BS old'!E127</f>
        <v>0</v>
      </c>
      <c r="J197" s="2321"/>
    </row>
    <row r="198" spans="1:10" ht="27.75" customHeight="1">
      <c r="A198" s="796" t="s">
        <v>547</v>
      </c>
      <c r="B198" s="2450" t="s">
        <v>777</v>
      </c>
      <c r="C198" s="2451"/>
      <c r="D198" s="2451"/>
      <c r="E198" s="2452"/>
      <c r="F198" s="798" t="s">
        <v>778</v>
      </c>
      <c r="G198" s="2317">
        <f>'BS old'!D128</f>
        <v>0</v>
      </c>
      <c r="H198" s="2319"/>
      <c r="I198" s="2317">
        <f>'BS old'!E128</f>
        <v>0</v>
      </c>
      <c r="J198" s="2321"/>
    </row>
    <row r="199" spans="1:10" ht="27.75" customHeight="1">
      <c r="A199" s="796" t="s">
        <v>568</v>
      </c>
      <c r="B199" s="2450" t="s">
        <v>779</v>
      </c>
      <c r="C199" s="2451"/>
      <c r="D199" s="2451"/>
      <c r="E199" s="2452"/>
      <c r="F199" s="798" t="s">
        <v>780</v>
      </c>
      <c r="G199" s="2317">
        <f>'BS old'!D129</f>
        <v>0</v>
      </c>
      <c r="H199" s="2319"/>
      <c r="I199" s="2317">
        <f>'BS old'!E129</f>
        <v>0</v>
      </c>
      <c r="J199" s="2321"/>
    </row>
    <row r="200" spans="1:10" ht="27.75" customHeight="1">
      <c r="A200" s="796" t="s">
        <v>571</v>
      </c>
      <c r="B200" s="2450" t="s">
        <v>1520</v>
      </c>
      <c r="C200" s="2451"/>
      <c r="D200" s="2451"/>
      <c r="E200" s="2452"/>
      <c r="F200" s="798" t="s">
        <v>782</v>
      </c>
      <c r="G200" s="2317">
        <f>'BS old'!D130</f>
        <v>0</v>
      </c>
      <c r="H200" s="2319"/>
      <c r="I200" s="2317">
        <f>'BS old'!E130</f>
        <v>0</v>
      </c>
      <c r="J200" s="2321"/>
    </row>
    <row r="201" spans="1:10" ht="27.75" customHeight="1">
      <c r="A201" s="796" t="s">
        <v>758</v>
      </c>
      <c r="B201" s="2450" t="s">
        <v>1521</v>
      </c>
      <c r="C201" s="2451"/>
      <c r="D201" s="2451"/>
      <c r="E201" s="2452"/>
      <c r="F201" s="798" t="s">
        <v>784</v>
      </c>
      <c r="G201" s="2317">
        <f>'BS old'!D131</f>
        <v>0</v>
      </c>
      <c r="H201" s="2319"/>
      <c r="I201" s="2317">
        <f>'BS old'!E131</f>
        <v>0</v>
      </c>
      <c r="J201" s="2321"/>
    </row>
    <row r="202" spans="1:10" ht="27.75" customHeight="1">
      <c r="A202" s="805" t="s">
        <v>649</v>
      </c>
      <c r="B202" s="2459" t="s">
        <v>785</v>
      </c>
      <c r="C202" s="2460"/>
      <c r="D202" s="2460"/>
      <c r="E202" s="2461"/>
      <c r="F202" s="798" t="s">
        <v>786</v>
      </c>
      <c r="G202" s="2317">
        <f>'BS old'!D132</f>
        <v>0</v>
      </c>
      <c r="H202" s="2319"/>
      <c r="I202" s="2317">
        <f>'BS old'!E132</f>
        <v>0</v>
      </c>
      <c r="J202" s="2321"/>
    </row>
    <row r="203" spans="1:10" ht="27.75" customHeight="1">
      <c r="A203" s="807" t="s">
        <v>787</v>
      </c>
      <c r="B203" s="2459" t="s">
        <v>788</v>
      </c>
      <c r="C203" s="2460"/>
      <c r="D203" s="2460"/>
      <c r="E203" s="2461"/>
      <c r="F203" s="798" t="s">
        <v>789</v>
      </c>
      <c r="G203" s="2317">
        <f>'BS old'!D133</f>
        <v>0</v>
      </c>
      <c r="H203" s="2319"/>
      <c r="I203" s="2317">
        <f>'BS old'!E133</f>
        <v>0</v>
      </c>
      <c r="J203" s="2321"/>
    </row>
    <row r="204" spans="1:10" ht="27.75" customHeight="1">
      <c r="A204" s="796" t="s">
        <v>790</v>
      </c>
      <c r="B204" s="2450" t="s">
        <v>791</v>
      </c>
      <c r="C204" s="2451"/>
      <c r="D204" s="2451"/>
      <c r="E204" s="2452"/>
      <c r="F204" s="798" t="s">
        <v>792</v>
      </c>
      <c r="G204" s="2317">
        <f>'BS old'!D134</f>
        <v>0</v>
      </c>
      <c r="H204" s="2319"/>
      <c r="I204" s="2317">
        <f>'BS old'!E134</f>
        <v>0</v>
      </c>
      <c r="J204" s="2321"/>
    </row>
    <row r="205" spans="1:10" s="450" customFormat="1" ht="27.75" customHeight="1">
      <c r="A205" s="796" t="s">
        <v>532</v>
      </c>
      <c r="B205" s="2450" t="s">
        <v>793</v>
      </c>
      <c r="C205" s="2451"/>
      <c r="D205" s="2451"/>
      <c r="E205" s="2452"/>
      <c r="F205" s="798" t="s">
        <v>794</v>
      </c>
      <c r="G205" s="2317">
        <f>'BS old'!D135</f>
        <v>0</v>
      </c>
      <c r="H205" s="2319"/>
      <c r="I205" s="2317">
        <f>'BS old'!E135</f>
        <v>0</v>
      </c>
      <c r="J205" s="2321"/>
    </row>
    <row r="206" spans="1:10" ht="27.75" customHeight="1">
      <c r="A206" s="805" t="s">
        <v>663</v>
      </c>
      <c r="B206" s="2459" t="s">
        <v>795</v>
      </c>
      <c r="C206" s="2460"/>
      <c r="D206" s="2460"/>
      <c r="E206" s="2461"/>
      <c r="F206" s="798" t="s">
        <v>796</v>
      </c>
      <c r="G206" s="2317">
        <f>'BS old'!D136</f>
        <v>0</v>
      </c>
      <c r="H206" s="2319"/>
      <c r="I206" s="2317">
        <f>'BS old'!E136</f>
        <v>0</v>
      </c>
      <c r="J206" s="2321"/>
    </row>
    <row r="207" spans="1:10" ht="27.75" customHeight="1">
      <c r="A207" s="803" t="s">
        <v>666</v>
      </c>
      <c r="B207" s="2450" t="s">
        <v>2219</v>
      </c>
      <c r="C207" s="2451"/>
      <c r="D207" s="2451"/>
      <c r="E207" s="2452"/>
      <c r="F207" s="798" t="s">
        <v>798</v>
      </c>
      <c r="G207" s="2317">
        <f>'BS old'!D137</f>
        <v>0</v>
      </c>
      <c r="H207" s="2319"/>
      <c r="I207" s="2317">
        <f>'BS old'!E137</f>
        <v>0</v>
      </c>
      <c r="J207" s="2321"/>
    </row>
    <row r="208" spans="1:10" ht="27.75" customHeight="1">
      <c r="A208" s="796" t="s">
        <v>532</v>
      </c>
      <c r="B208" s="2450" t="s">
        <v>2220</v>
      </c>
      <c r="C208" s="2451"/>
      <c r="D208" s="2451"/>
      <c r="E208" s="2452"/>
      <c r="F208" s="798" t="s">
        <v>800</v>
      </c>
      <c r="G208" s="2317">
        <f>'BS old'!D138</f>
        <v>0</v>
      </c>
      <c r="H208" s="2319"/>
      <c r="I208" s="2317">
        <f>'BS old'!E138</f>
        <v>0</v>
      </c>
      <c r="J208" s="2321"/>
    </row>
    <row r="209" spans="1:10" s="450" customFormat="1" ht="27.75" customHeight="1">
      <c r="A209" s="796" t="s">
        <v>535</v>
      </c>
      <c r="B209" s="2450" t="s">
        <v>2221</v>
      </c>
      <c r="C209" s="2451"/>
      <c r="D209" s="2451"/>
      <c r="E209" s="2452"/>
      <c r="F209" s="798" t="s">
        <v>802</v>
      </c>
      <c r="G209" s="2317">
        <f>'BS old'!D139</f>
        <v>0</v>
      </c>
      <c r="H209" s="2319"/>
      <c r="I209" s="2317">
        <f>'BS old'!E139</f>
        <v>0</v>
      </c>
      <c r="J209" s="2321"/>
    </row>
    <row r="210" spans="1:10" ht="27.75" customHeight="1" thickBot="1">
      <c r="A210" s="504" t="s">
        <v>538</v>
      </c>
      <c r="B210" s="2453" t="s">
        <v>2222</v>
      </c>
      <c r="C210" s="2454"/>
      <c r="D210" s="2454"/>
      <c r="E210" s="2455"/>
      <c r="F210" s="798" t="s">
        <v>804</v>
      </c>
      <c r="G210" s="2456">
        <f>'BS old'!D140</f>
        <v>0</v>
      </c>
      <c r="H210" s="2457"/>
      <c r="I210" s="2456">
        <f>'BS old'!E140</f>
        <v>0</v>
      </c>
      <c r="J210" s="2458"/>
    </row>
    <row r="211" spans="1:10" ht="24.75" customHeight="1"/>
    <row r="212" spans="1:10" ht="24.75" customHeight="1"/>
    <row r="213" spans="1:10" ht="24.75" customHeight="1"/>
  </sheetData>
  <mergeCells count="698">
    <mergeCell ref="B2:C2"/>
    <mergeCell ref="G2:I2"/>
    <mergeCell ref="A4:A6"/>
    <mergeCell ref="B4:B6"/>
    <mergeCell ref="C4:C6"/>
    <mergeCell ref="D4:H4"/>
    <mergeCell ref="I4:J5"/>
    <mergeCell ref="D5:D6"/>
    <mergeCell ref="E5:F5"/>
    <mergeCell ref="G5:H5"/>
    <mergeCell ref="E6:F6"/>
    <mergeCell ref="G6:H6"/>
    <mergeCell ref="I6:J6"/>
    <mergeCell ref="A7:A8"/>
    <mergeCell ref="B7:B8"/>
    <mergeCell ref="C7:C8"/>
    <mergeCell ref="D7:F7"/>
    <mergeCell ref="G7:I7"/>
    <mergeCell ref="D8:F8"/>
    <mergeCell ref="H8:J8"/>
    <mergeCell ref="A11:A12"/>
    <mergeCell ref="B11:B12"/>
    <mergeCell ref="C11:C12"/>
    <mergeCell ref="D11:F11"/>
    <mergeCell ref="G11:I11"/>
    <mergeCell ref="D12:F12"/>
    <mergeCell ref="H12:J12"/>
    <mergeCell ref="A9:A10"/>
    <mergeCell ref="B9:B10"/>
    <mergeCell ref="C9:C10"/>
    <mergeCell ref="D9:F9"/>
    <mergeCell ref="G9:I9"/>
    <mergeCell ref="D10:F10"/>
    <mergeCell ref="H10:J10"/>
    <mergeCell ref="A15:A16"/>
    <mergeCell ref="B15:B16"/>
    <mergeCell ref="C15:C16"/>
    <mergeCell ref="D15:F15"/>
    <mergeCell ref="G15:I15"/>
    <mergeCell ref="D16:F16"/>
    <mergeCell ref="H16:J16"/>
    <mergeCell ref="A13:A14"/>
    <mergeCell ref="B13:B14"/>
    <mergeCell ref="C13:C14"/>
    <mergeCell ref="D13:F13"/>
    <mergeCell ref="G13:I13"/>
    <mergeCell ref="D14:F14"/>
    <mergeCell ref="H14:J14"/>
    <mergeCell ref="A19:A20"/>
    <mergeCell ref="B19:B20"/>
    <mergeCell ref="C19:C20"/>
    <mergeCell ref="D19:F19"/>
    <mergeCell ref="G19:I19"/>
    <mergeCell ref="D20:F20"/>
    <mergeCell ref="H20:J20"/>
    <mergeCell ref="A17:A18"/>
    <mergeCell ref="B17:B18"/>
    <mergeCell ref="C17:C18"/>
    <mergeCell ref="D17:F17"/>
    <mergeCell ref="G17:I17"/>
    <mergeCell ref="D18:F18"/>
    <mergeCell ref="H18:J18"/>
    <mergeCell ref="A23:A24"/>
    <mergeCell ref="B23:B24"/>
    <mergeCell ref="C23:C24"/>
    <mergeCell ref="D23:F23"/>
    <mergeCell ref="G23:I23"/>
    <mergeCell ref="D24:F24"/>
    <mergeCell ref="H24:J24"/>
    <mergeCell ref="A21:A22"/>
    <mergeCell ref="B21:B22"/>
    <mergeCell ref="C21:C22"/>
    <mergeCell ref="D21:F21"/>
    <mergeCell ref="G21:I21"/>
    <mergeCell ref="D22:F22"/>
    <mergeCell ref="H22:J22"/>
    <mergeCell ref="A27:A28"/>
    <mergeCell ref="B27:B28"/>
    <mergeCell ref="C27:C28"/>
    <mergeCell ref="D27:F27"/>
    <mergeCell ref="G27:I27"/>
    <mergeCell ref="D28:F28"/>
    <mergeCell ref="H28:J28"/>
    <mergeCell ref="A25:A26"/>
    <mergeCell ref="B25:B26"/>
    <mergeCell ref="C25:C26"/>
    <mergeCell ref="D25:F25"/>
    <mergeCell ref="G25:I25"/>
    <mergeCell ref="D26:F26"/>
    <mergeCell ref="H26:J26"/>
    <mergeCell ref="G35:H35"/>
    <mergeCell ref="A31:A32"/>
    <mergeCell ref="B31:B32"/>
    <mergeCell ref="C31:C32"/>
    <mergeCell ref="D31:F31"/>
    <mergeCell ref="G31:I31"/>
    <mergeCell ref="D32:F32"/>
    <mergeCell ref="H32:J32"/>
    <mergeCell ref="A29:A30"/>
    <mergeCell ref="B29:B30"/>
    <mergeCell ref="C29:C30"/>
    <mergeCell ref="D29:F29"/>
    <mergeCell ref="G29:I29"/>
    <mergeCell ref="D30:F30"/>
    <mergeCell ref="H30:J30"/>
    <mergeCell ref="A38:A39"/>
    <mergeCell ref="B38:B39"/>
    <mergeCell ref="C38:C39"/>
    <mergeCell ref="D38:F38"/>
    <mergeCell ref="G38:I38"/>
    <mergeCell ref="D39:F39"/>
    <mergeCell ref="H39:J39"/>
    <mergeCell ref="I35:J35"/>
    <mergeCell ref="A36:A37"/>
    <mergeCell ref="B36:B37"/>
    <mergeCell ref="C36:C37"/>
    <mergeCell ref="D36:F36"/>
    <mergeCell ref="G36:I36"/>
    <mergeCell ref="D37:F37"/>
    <mergeCell ref="H37:J37"/>
    <mergeCell ref="A33:A35"/>
    <mergeCell ref="B33:B35"/>
    <mergeCell ref="C33:C35"/>
    <mergeCell ref="D33:H33"/>
    <mergeCell ref="I33:J34"/>
    <mergeCell ref="D34:D35"/>
    <mergeCell ref="E34:F34"/>
    <mergeCell ref="G34:H34"/>
    <mergeCell ref="E35:F35"/>
    <mergeCell ref="A42:A43"/>
    <mergeCell ref="B42:B43"/>
    <mergeCell ref="C42:C43"/>
    <mergeCell ref="D42:F42"/>
    <mergeCell ref="G42:I42"/>
    <mergeCell ref="D43:F43"/>
    <mergeCell ref="H43:J43"/>
    <mergeCell ref="A40:A41"/>
    <mergeCell ref="B40:B41"/>
    <mergeCell ref="C40:C41"/>
    <mergeCell ref="D40:F40"/>
    <mergeCell ref="G40:I40"/>
    <mergeCell ref="D41:F41"/>
    <mergeCell ref="H41:J41"/>
    <mergeCell ref="A46:A47"/>
    <mergeCell ref="B46:B47"/>
    <mergeCell ref="C46:C47"/>
    <mergeCell ref="D46:F46"/>
    <mergeCell ref="G46:I46"/>
    <mergeCell ref="D47:F47"/>
    <mergeCell ref="H47:J47"/>
    <mergeCell ref="A44:A45"/>
    <mergeCell ref="B44:B45"/>
    <mergeCell ref="C44:C45"/>
    <mergeCell ref="D44:F44"/>
    <mergeCell ref="G44:I44"/>
    <mergeCell ref="D45:F45"/>
    <mergeCell ref="H45:J45"/>
    <mergeCell ref="A50:A51"/>
    <mergeCell ref="B50:B51"/>
    <mergeCell ref="C50:C51"/>
    <mergeCell ref="D50:F50"/>
    <mergeCell ref="G50:I50"/>
    <mergeCell ref="D51:F51"/>
    <mergeCell ref="H51:J51"/>
    <mergeCell ref="A48:A49"/>
    <mergeCell ref="B48:B49"/>
    <mergeCell ref="C48:C49"/>
    <mergeCell ref="D48:F48"/>
    <mergeCell ref="G48:I48"/>
    <mergeCell ref="D49:F49"/>
    <mergeCell ref="H49:J49"/>
    <mergeCell ref="A54:A55"/>
    <mergeCell ref="B54:B55"/>
    <mergeCell ref="C54:C55"/>
    <mergeCell ref="D54:F54"/>
    <mergeCell ref="G54:I54"/>
    <mergeCell ref="D55:F55"/>
    <mergeCell ref="H55:J55"/>
    <mergeCell ref="A52:A53"/>
    <mergeCell ref="B52:B53"/>
    <mergeCell ref="C52:C53"/>
    <mergeCell ref="D52:F52"/>
    <mergeCell ref="G52:I52"/>
    <mergeCell ref="D53:F53"/>
    <mergeCell ref="H53:J53"/>
    <mergeCell ref="A58:A59"/>
    <mergeCell ref="B58:B59"/>
    <mergeCell ref="C58:C59"/>
    <mergeCell ref="D58:F58"/>
    <mergeCell ref="G58:I58"/>
    <mergeCell ref="D59:F59"/>
    <mergeCell ref="H59:J59"/>
    <mergeCell ref="A56:A57"/>
    <mergeCell ref="B56:B57"/>
    <mergeCell ref="C56:C57"/>
    <mergeCell ref="D56:F56"/>
    <mergeCell ref="G56:I56"/>
    <mergeCell ref="D57:F57"/>
    <mergeCell ref="H57:J57"/>
    <mergeCell ref="G66:H66"/>
    <mergeCell ref="A62:A63"/>
    <mergeCell ref="B62:B63"/>
    <mergeCell ref="C62:C63"/>
    <mergeCell ref="D62:F62"/>
    <mergeCell ref="G62:I62"/>
    <mergeCell ref="D63:F63"/>
    <mergeCell ref="H63:J63"/>
    <mergeCell ref="A60:A61"/>
    <mergeCell ref="B60:B61"/>
    <mergeCell ref="C60:C61"/>
    <mergeCell ref="D60:F60"/>
    <mergeCell ref="G60:I60"/>
    <mergeCell ref="D61:F61"/>
    <mergeCell ref="H61:J61"/>
    <mergeCell ref="A69:A70"/>
    <mergeCell ref="B69:B70"/>
    <mergeCell ref="C69:C70"/>
    <mergeCell ref="D69:F69"/>
    <mergeCell ref="G69:I69"/>
    <mergeCell ref="D70:F70"/>
    <mergeCell ref="H70:J70"/>
    <mergeCell ref="I66:J66"/>
    <mergeCell ref="A67:A68"/>
    <mergeCell ref="B67:B68"/>
    <mergeCell ref="C67:C68"/>
    <mergeCell ref="D67:F67"/>
    <mergeCell ref="G67:I67"/>
    <mergeCell ref="D68:F68"/>
    <mergeCell ref="H68:J68"/>
    <mergeCell ref="A64:A66"/>
    <mergeCell ref="B64:B66"/>
    <mergeCell ref="C64:C66"/>
    <mergeCell ref="D64:H64"/>
    <mergeCell ref="I64:J65"/>
    <mergeCell ref="D65:D66"/>
    <mergeCell ref="E65:F65"/>
    <mergeCell ref="G65:H65"/>
    <mergeCell ref="E66:F66"/>
    <mergeCell ref="A73:A74"/>
    <mergeCell ref="B73:B74"/>
    <mergeCell ref="C73:C74"/>
    <mergeCell ref="D73:F73"/>
    <mergeCell ref="G73:I73"/>
    <mergeCell ref="D74:F74"/>
    <mergeCell ref="H74:J74"/>
    <mergeCell ref="A71:A72"/>
    <mergeCell ref="B71:B72"/>
    <mergeCell ref="C71:C72"/>
    <mergeCell ref="D71:F71"/>
    <mergeCell ref="G71:I71"/>
    <mergeCell ref="D72:F72"/>
    <mergeCell ref="H72:J72"/>
    <mergeCell ref="A77:A78"/>
    <mergeCell ref="B77:B78"/>
    <mergeCell ref="C77:C78"/>
    <mergeCell ref="D77:F77"/>
    <mergeCell ref="G77:I77"/>
    <mergeCell ref="D78:F78"/>
    <mergeCell ref="H78:J78"/>
    <mergeCell ref="A75:A76"/>
    <mergeCell ref="B75:B76"/>
    <mergeCell ref="C75:C76"/>
    <mergeCell ref="D75:F75"/>
    <mergeCell ref="G75:I75"/>
    <mergeCell ref="D76:F76"/>
    <mergeCell ref="H76:J76"/>
    <mergeCell ref="A81:A82"/>
    <mergeCell ref="B81:B82"/>
    <mergeCell ref="C81:C82"/>
    <mergeCell ref="D81:F81"/>
    <mergeCell ref="G81:I81"/>
    <mergeCell ref="D82:F82"/>
    <mergeCell ref="H82:J82"/>
    <mergeCell ref="A79:A80"/>
    <mergeCell ref="B79:B80"/>
    <mergeCell ref="C79:C80"/>
    <mergeCell ref="D79:F79"/>
    <mergeCell ref="G79:I79"/>
    <mergeCell ref="D80:F80"/>
    <mergeCell ref="H80:J80"/>
    <mergeCell ref="A85:A86"/>
    <mergeCell ref="B85:B86"/>
    <mergeCell ref="C85:C86"/>
    <mergeCell ref="D85:F85"/>
    <mergeCell ref="G85:I85"/>
    <mergeCell ref="D86:F86"/>
    <mergeCell ref="H86:J86"/>
    <mergeCell ref="A83:A84"/>
    <mergeCell ref="B83:B84"/>
    <mergeCell ref="C83:C84"/>
    <mergeCell ref="D83:F83"/>
    <mergeCell ref="G83:I83"/>
    <mergeCell ref="D84:F84"/>
    <mergeCell ref="H84:J84"/>
    <mergeCell ref="A89:A90"/>
    <mergeCell ref="B89:B90"/>
    <mergeCell ref="C89:C90"/>
    <mergeCell ref="D89:F89"/>
    <mergeCell ref="G89:I89"/>
    <mergeCell ref="D90:F90"/>
    <mergeCell ref="H90:J90"/>
    <mergeCell ref="A87:A88"/>
    <mergeCell ref="B87:B88"/>
    <mergeCell ref="C87:C88"/>
    <mergeCell ref="D87:F87"/>
    <mergeCell ref="G87:I87"/>
    <mergeCell ref="D88:F88"/>
    <mergeCell ref="H88:J88"/>
    <mergeCell ref="A93:A94"/>
    <mergeCell ref="B93:B94"/>
    <mergeCell ref="C93:C94"/>
    <mergeCell ref="D93:F93"/>
    <mergeCell ref="G93:I93"/>
    <mergeCell ref="D94:F94"/>
    <mergeCell ref="H94:J94"/>
    <mergeCell ref="A91:A92"/>
    <mergeCell ref="B91:B92"/>
    <mergeCell ref="C91:C92"/>
    <mergeCell ref="D91:F91"/>
    <mergeCell ref="G91:I91"/>
    <mergeCell ref="D92:F92"/>
    <mergeCell ref="H92:J92"/>
    <mergeCell ref="I97:J97"/>
    <mergeCell ref="A98:A99"/>
    <mergeCell ref="B98:B99"/>
    <mergeCell ref="C98:C99"/>
    <mergeCell ref="D98:F98"/>
    <mergeCell ref="G98:I98"/>
    <mergeCell ref="D99:F99"/>
    <mergeCell ref="H99:J99"/>
    <mergeCell ref="A95:A97"/>
    <mergeCell ref="B95:B97"/>
    <mergeCell ref="C95:C97"/>
    <mergeCell ref="D95:H95"/>
    <mergeCell ref="I95:J96"/>
    <mergeCell ref="D96:D97"/>
    <mergeCell ref="E96:F96"/>
    <mergeCell ref="G96:H96"/>
    <mergeCell ref="E97:F97"/>
    <mergeCell ref="G97:H97"/>
    <mergeCell ref="A102:A103"/>
    <mergeCell ref="B102:B103"/>
    <mergeCell ref="C102:C103"/>
    <mergeCell ref="D102:F102"/>
    <mergeCell ref="G102:I102"/>
    <mergeCell ref="D103:F103"/>
    <mergeCell ref="H103:J103"/>
    <mergeCell ref="A100:A101"/>
    <mergeCell ref="B100:B101"/>
    <mergeCell ref="C100:C101"/>
    <mergeCell ref="D100:F100"/>
    <mergeCell ref="G100:I100"/>
    <mergeCell ref="D101:F101"/>
    <mergeCell ref="H101:J101"/>
    <mergeCell ref="A106:A107"/>
    <mergeCell ref="B106:B107"/>
    <mergeCell ref="C106:C107"/>
    <mergeCell ref="D106:F106"/>
    <mergeCell ref="G106:I106"/>
    <mergeCell ref="D107:F107"/>
    <mergeCell ref="H107:J107"/>
    <mergeCell ref="A104:A105"/>
    <mergeCell ref="B104:B105"/>
    <mergeCell ref="C104:C105"/>
    <mergeCell ref="D104:F104"/>
    <mergeCell ref="G104:I104"/>
    <mergeCell ref="D105:F105"/>
    <mergeCell ref="H105:J105"/>
    <mergeCell ref="A110:A111"/>
    <mergeCell ref="B110:B111"/>
    <mergeCell ref="C110:C111"/>
    <mergeCell ref="D110:F110"/>
    <mergeCell ref="G110:I110"/>
    <mergeCell ref="D111:F111"/>
    <mergeCell ref="H111:J111"/>
    <mergeCell ref="A108:A109"/>
    <mergeCell ref="B108:B109"/>
    <mergeCell ref="C108:C109"/>
    <mergeCell ref="D108:F108"/>
    <mergeCell ref="G108:I108"/>
    <mergeCell ref="D109:F109"/>
    <mergeCell ref="H109:J109"/>
    <mergeCell ref="A114:A115"/>
    <mergeCell ref="B114:B115"/>
    <mergeCell ref="C114:C115"/>
    <mergeCell ref="D114:F114"/>
    <mergeCell ref="G114:I114"/>
    <mergeCell ref="D115:F115"/>
    <mergeCell ref="H115:J115"/>
    <mergeCell ref="A112:A113"/>
    <mergeCell ref="B112:B113"/>
    <mergeCell ref="C112:C113"/>
    <mergeCell ref="D112:F112"/>
    <mergeCell ref="G112:I112"/>
    <mergeCell ref="D113:F113"/>
    <mergeCell ref="H113:J113"/>
    <mergeCell ref="A118:A119"/>
    <mergeCell ref="B118:B119"/>
    <mergeCell ref="C118:C119"/>
    <mergeCell ref="D118:F118"/>
    <mergeCell ref="G118:I118"/>
    <mergeCell ref="D119:F119"/>
    <mergeCell ref="H119:J119"/>
    <mergeCell ref="A116:A117"/>
    <mergeCell ref="B116:B117"/>
    <mergeCell ref="C116:C117"/>
    <mergeCell ref="D116:F116"/>
    <mergeCell ref="G116:I116"/>
    <mergeCell ref="D117:F117"/>
    <mergeCell ref="H117:J117"/>
    <mergeCell ref="A122:A123"/>
    <mergeCell ref="B122:B123"/>
    <mergeCell ref="C122:C123"/>
    <mergeCell ref="D122:F122"/>
    <mergeCell ref="G122:I122"/>
    <mergeCell ref="D123:F123"/>
    <mergeCell ref="H123:J123"/>
    <mergeCell ref="A120:A121"/>
    <mergeCell ref="B120:B121"/>
    <mergeCell ref="C120:C121"/>
    <mergeCell ref="D120:F120"/>
    <mergeCell ref="G120:I120"/>
    <mergeCell ref="D121:F121"/>
    <mergeCell ref="H121:J121"/>
    <mergeCell ref="G130:H130"/>
    <mergeCell ref="A126:A127"/>
    <mergeCell ref="B126:B127"/>
    <mergeCell ref="C126:C127"/>
    <mergeCell ref="D126:F126"/>
    <mergeCell ref="G126:I126"/>
    <mergeCell ref="D127:F127"/>
    <mergeCell ref="H127:J127"/>
    <mergeCell ref="A124:A125"/>
    <mergeCell ref="B124:B125"/>
    <mergeCell ref="C124:C125"/>
    <mergeCell ref="D124:F124"/>
    <mergeCell ref="G124:I124"/>
    <mergeCell ref="D125:F125"/>
    <mergeCell ref="H125:J125"/>
    <mergeCell ref="A133:A134"/>
    <mergeCell ref="B133:B134"/>
    <mergeCell ref="C133:C134"/>
    <mergeCell ref="D133:F133"/>
    <mergeCell ref="G133:I133"/>
    <mergeCell ref="D134:F134"/>
    <mergeCell ref="H134:J134"/>
    <mergeCell ref="I130:J130"/>
    <mergeCell ref="A131:A132"/>
    <mergeCell ref="B131:B132"/>
    <mergeCell ref="C131:C132"/>
    <mergeCell ref="D131:F131"/>
    <mergeCell ref="G131:I131"/>
    <mergeCell ref="D132:F132"/>
    <mergeCell ref="H132:J132"/>
    <mergeCell ref="A128:A130"/>
    <mergeCell ref="B128:B130"/>
    <mergeCell ref="C128:C130"/>
    <mergeCell ref="D128:H128"/>
    <mergeCell ref="I128:J129"/>
    <mergeCell ref="D129:D130"/>
    <mergeCell ref="E129:F129"/>
    <mergeCell ref="G129:H129"/>
    <mergeCell ref="E130:F130"/>
    <mergeCell ref="A137:A138"/>
    <mergeCell ref="B137:B138"/>
    <mergeCell ref="C137:C138"/>
    <mergeCell ref="D137:F137"/>
    <mergeCell ref="G137:I137"/>
    <mergeCell ref="D138:F138"/>
    <mergeCell ref="H138:J138"/>
    <mergeCell ref="A135:A136"/>
    <mergeCell ref="B135:B136"/>
    <mergeCell ref="C135:C136"/>
    <mergeCell ref="D135:F135"/>
    <mergeCell ref="G135:I135"/>
    <mergeCell ref="D136:F136"/>
    <mergeCell ref="H136:J136"/>
    <mergeCell ref="A141:A142"/>
    <mergeCell ref="B141:B142"/>
    <mergeCell ref="C141:C142"/>
    <mergeCell ref="D141:F141"/>
    <mergeCell ref="G141:I141"/>
    <mergeCell ref="D142:F142"/>
    <mergeCell ref="H142:J142"/>
    <mergeCell ref="A139:A140"/>
    <mergeCell ref="B139:B140"/>
    <mergeCell ref="C139:C140"/>
    <mergeCell ref="D139:F139"/>
    <mergeCell ref="G139:I139"/>
    <mergeCell ref="D140:F140"/>
    <mergeCell ref="H140:J140"/>
    <mergeCell ref="A145:A146"/>
    <mergeCell ref="B145:B146"/>
    <mergeCell ref="C145:C146"/>
    <mergeCell ref="D145:F145"/>
    <mergeCell ref="G145:I145"/>
    <mergeCell ref="D146:F146"/>
    <mergeCell ref="H146:J146"/>
    <mergeCell ref="A143:A144"/>
    <mergeCell ref="B143:B144"/>
    <mergeCell ref="C143:C144"/>
    <mergeCell ref="D143:F143"/>
    <mergeCell ref="G143:I143"/>
    <mergeCell ref="D144:F144"/>
    <mergeCell ref="H144:J144"/>
    <mergeCell ref="B149:E149"/>
    <mergeCell ref="G149:H149"/>
    <mergeCell ref="I149:J149"/>
    <mergeCell ref="B150:E150"/>
    <mergeCell ref="G150:H150"/>
    <mergeCell ref="I150:J150"/>
    <mergeCell ref="A147:A148"/>
    <mergeCell ref="B147:B148"/>
    <mergeCell ref="C147:C148"/>
    <mergeCell ref="D147:F147"/>
    <mergeCell ref="G147:I147"/>
    <mergeCell ref="D148:F148"/>
    <mergeCell ref="H148:J148"/>
    <mergeCell ref="B153:E153"/>
    <mergeCell ref="G153:H153"/>
    <mergeCell ref="I153:J153"/>
    <mergeCell ref="B154:E154"/>
    <mergeCell ref="G154:H154"/>
    <mergeCell ref="I154:J154"/>
    <mergeCell ref="B151:E151"/>
    <mergeCell ref="G151:H151"/>
    <mergeCell ref="I151:J151"/>
    <mergeCell ref="B152:E152"/>
    <mergeCell ref="G152:H152"/>
    <mergeCell ref="I152:J152"/>
    <mergeCell ref="B157:E157"/>
    <mergeCell ref="G157:H157"/>
    <mergeCell ref="I157:J157"/>
    <mergeCell ref="B158:E158"/>
    <mergeCell ref="G158:H158"/>
    <mergeCell ref="I158:J158"/>
    <mergeCell ref="B155:E155"/>
    <mergeCell ref="G155:H155"/>
    <mergeCell ref="I155:J155"/>
    <mergeCell ref="B156:E156"/>
    <mergeCell ref="G156:H156"/>
    <mergeCell ref="I156:J156"/>
    <mergeCell ref="B161:E161"/>
    <mergeCell ref="G161:H161"/>
    <mergeCell ref="I161:J161"/>
    <mergeCell ref="B162:E162"/>
    <mergeCell ref="G162:H162"/>
    <mergeCell ref="I162:J162"/>
    <mergeCell ref="B159:E159"/>
    <mergeCell ref="G159:H159"/>
    <mergeCell ref="I159:J159"/>
    <mergeCell ref="B160:E160"/>
    <mergeCell ref="G160:H160"/>
    <mergeCell ref="I160:J160"/>
    <mergeCell ref="B165:E165"/>
    <mergeCell ref="G165:H165"/>
    <mergeCell ref="I165:J165"/>
    <mergeCell ref="B166:E166"/>
    <mergeCell ref="G166:H166"/>
    <mergeCell ref="I166:J166"/>
    <mergeCell ref="B163:E163"/>
    <mergeCell ref="G163:H163"/>
    <mergeCell ref="I163:J163"/>
    <mergeCell ref="B164:E164"/>
    <mergeCell ref="G164:H164"/>
    <mergeCell ref="I164:J164"/>
    <mergeCell ref="B169:E169"/>
    <mergeCell ref="G169:H169"/>
    <mergeCell ref="I169:J169"/>
    <mergeCell ref="B170:E170"/>
    <mergeCell ref="G170:H170"/>
    <mergeCell ref="I170:J170"/>
    <mergeCell ref="B167:E167"/>
    <mergeCell ref="G167:H167"/>
    <mergeCell ref="I167:J167"/>
    <mergeCell ref="B168:E168"/>
    <mergeCell ref="G168:H168"/>
    <mergeCell ref="I168:J168"/>
    <mergeCell ref="B173:E173"/>
    <mergeCell ref="G173:H173"/>
    <mergeCell ref="I173:J173"/>
    <mergeCell ref="B174:E174"/>
    <mergeCell ref="G174:H174"/>
    <mergeCell ref="I174:J174"/>
    <mergeCell ref="B171:E171"/>
    <mergeCell ref="G171:H171"/>
    <mergeCell ref="I171:J171"/>
    <mergeCell ref="B172:E172"/>
    <mergeCell ref="G172:H172"/>
    <mergeCell ref="I172:J172"/>
    <mergeCell ref="B177:E177"/>
    <mergeCell ref="G177:H177"/>
    <mergeCell ref="I177:J177"/>
    <mergeCell ref="B178:E178"/>
    <mergeCell ref="G178:H178"/>
    <mergeCell ref="I178:J178"/>
    <mergeCell ref="B175:E175"/>
    <mergeCell ref="G175:H175"/>
    <mergeCell ref="I175:J175"/>
    <mergeCell ref="B176:E176"/>
    <mergeCell ref="G176:H176"/>
    <mergeCell ref="I176:J176"/>
    <mergeCell ref="B181:E181"/>
    <mergeCell ref="G181:H181"/>
    <mergeCell ref="I181:J181"/>
    <mergeCell ref="B182:E182"/>
    <mergeCell ref="G182:H182"/>
    <mergeCell ref="I182:J182"/>
    <mergeCell ref="B179:E179"/>
    <mergeCell ref="G179:H179"/>
    <mergeCell ref="I179:J179"/>
    <mergeCell ref="B180:E180"/>
    <mergeCell ref="G180:H180"/>
    <mergeCell ref="I180:J180"/>
    <mergeCell ref="B185:E185"/>
    <mergeCell ref="G185:H185"/>
    <mergeCell ref="I185:J185"/>
    <mergeCell ref="B186:E186"/>
    <mergeCell ref="G186:H186"/>
    <mergeCell ref="I186:J186"/>
    <mergeCell ref="B183:E183"/>
    <mergeCell ref="G183:H183"/>
    <mergeCell ref="I183:J183"/>
    <mergeCell ref="B184:E184"/>
    <mergeCell ref="G184:H184"/>
    <mergeCell ref="I184:J184"/>
    <mergeCell ref="B189:E189"/>
    <mergeCell ref="G189:H189"/>
    <mergeCell ref="I189:J189"/>
    <mergeCell ref="B190:E190"/>
    <mergeCell ref="G190:H190"/>
    <mergeCell ref="I190:J190"/>
    <mergeCell ref="B187:E187"/>
    <mergeCell ref="G187:H187"/>
    <mergeCell ref="I187:J187"/>
    <mergeCell ref="B188:E188"/>
    <mergeCell ref="G188:H188"/>
    <mergeCell ref="I188:J188"/>
    <mergeCell ref="B193:E193"/>
    <mergeCell ref="G193:H193"/>
    <mergeCell ref="I193:J193"/>
    <mergeCell ref="B194:E194"/>
    <mergeCell ref="G194:H194"/>
    <mergeCell ref="I194:J194"/>
    <mergeCell ref="B191:E191"/>
    <mergeCell ref="G191:H191"/>
    <mergeCell ref="I191:J191"/>
    <mergeCell ref="B192:E192"/>
    <mergeCell ref="G192:H192"/>
    <mergeCell ref="I192:J192"/>
    <mergeCell ref="B197:E197"/>
    <mergeCell ref="G197:H197"/>
    <mergeCell ref="I197:J197"/>
    <mergeCell ref="B198:E198"/>
    <mergeCell ref="G198:H198"/>
    <mergeCell ref="I198:J198"/>
    <mergeCell ref="B195:E195"/>
    <mergeCell ref="G195:H195"/>
    <mergeCell ref="I195:J195"/>
    <mergeCell ref="B196:E196"/>
    <mergeCell ref="G196:H196"/>
    <mergeCell ref="I196:J196"/>
    <mergeCell ref="B201:E201"/>
    <mergeCell ref="G201:H201"/>
    <mergeCell ref="I201:J201"/>
    <mergeCell ref="B202:E202"/>
    <mergeCell ref="G202:H202"/>
    <mergeCell ref="I202:J202"/>
    <mergeCell ref="B199:E199"/>
    <mergeCell ref="G199:H199"/>
    <mergeCell ref="I199:J199"/>
    <mergeCell ref="B200:E200"/>
    <mergeCell ref="G200:H200"/>
    <mergeCell ref="I200:J200"/>
    <mergeCell ref="B205:E205"/>
    <mergeCell ref="G205:H205"/>
    <mergeCell ref="I205:J205"/>
    <mergeCell ref="B206:E206"/>
    <mergeCell ref="G206:H206"/>
    <mergeCell ref="I206:J206"/>
    <mergeCell ref="B203:E203"/>
    <mergeCell ref="G203:H203"/>
    <mergeCell ref="I203:J203"/>
    <mergeCell ref="B204:E204"/>
    <mergeCell ref="G204:H204"/>
    <mergeCell ref="I204:J204"/>
    <mergeCell ref="B209:E209"/>
    <mergeCell ref="G209:H209"/>
    <mergeCell ref="I209:J209"/>
    <mergeCell ref="B210:E210"/>
    <mergeCell ref="G210:H210"/>
    <mergeCell ref="I210:J210"/>
    <mergeCell ref="B207:E207"/>
    <mergeCell ref="G207:H207"/>
    <mergeCell ref="I207:J207"/>
    <mergeCell ref="B208:E208"/>
    <mergeCell ref="G208:H208"/>
    <mergeCell ref="I208:J208"/>
  </mergeCells>
  <pageMargins left="0.74803149606299213" right="0.55118110236220474" top="0.31496062992125984" bottom="0.35433070866141736" header="0.31496062992125984" footer="0.15748031496062992"/>
  <pageSetup paperSize="9" scale="88" firstPageNumber="2" orientation="portrait" useFirstPageNumber="1" r:id="rId1"/>
  <headerFooter alignWithMargins="0">
    <oddFooter>&amp;LMF SR č. 25947/1/2010&amp;RPage &amp;P</oddFooter>
  </headerFooter>
  <rowBreaks count="6" manualBreakCount="6">
    <brk id="32" max="16383" man="1"/>
    <brk id="63" max="16383" man="1"/>
    <brk id="94" max="16383" man="1"/>
    <brk id="127" max="16383" man="1"/>
    <brk id="148" max="16383" man="1"/>
    <brk id="178" max="16383" man="1"/>
  </rowBreaks>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outlinePr summaryBelow="0" summaryRight="0"/>
  </sheetPr>
  <dimension ref="A1:AQ51"/>
  <sheetViews>
    <sheetView showGridLines="0" view="pageBreakPreview" zoomScaleNormal="100" zoomScaleSheetLayoutView="100" workbookViewId="0">
      <selection activeCell="A6" sqref="A6"/>
    </sheetView>
  </sheetViews>
  <sheetFormatPr defaultColWidth="9.140625" defaultRowHeight="12.75"/>
  <cols>
    <col min="1" max="37" width="2.5703125" style="390" customWidth="1"/>
    <col min="38" max="38" width="0.140625" style="390" customWidth="1"/>
    <col min="39" max="39" width="2.5703125" style="390" customWidth="1"/>
    <col min="40" max="40" width="0.28515625" style="390" customWidth="1"/>
    <col min="41" max="41" width="2.5703125" style="390" customWidth="1"/>
    <col min="42" max="42" width="9.140625" style="390"/>
    <col min="43" max="45" width="2.5703125" style="390" customWidth="1"/>
    <col min="46" max="46" width="7.7109375" style="390" customWidth="1"/>
    <col min="47" max="61" width="2.5703125" style="390" customWidth="1"/>
    <col min="62" max="16384" width="9.140625" style="390"/>
  </cols>
  <sheetData>
    <row r="1" spans="1:37" s="500" customFormat="1" ht="10.5" customHeight="1" thickBot="1">
      <c r="B1" s="817" t="s">
        <v>1234</v>
      </c>
      <c r="N1" s="2394" t="s">
        <v>1522</v>
      </c>
      <c r="O1" s="2394"/>
      <c r="P1" s="2394"/>
      <c r="Q1" s="2394"/>
      <c r="R1" s="2394"/>
      <c r="S1" s="2394"/>
      <c r="T1" s="2394"/>
      <c r="U1" s="2394"/>
      <c r="V1" s="2394"/>
      <c r="W1" s="2394"/>
      <c r="X1" s="2416"/>
    </row>
    <row r="2" spans="1:37" s="397" customFormat="1" ht="21" customHeight="1" thickBot="1">
      <c r="B2" s="819" t="s">
        <v>1523</v>
      </c>
      <c r="C2" s="820"/>
      <c r="D2" s="820"/>
      <c r="E2" s="820"/>
      <c r="F2" s="820"/>
      <c r="G2" s="820"/>
      <c r="H2" s="820"/>
      <c r="I2" s="820"/>
      <c r="J2" s="821"/>
      <c r="K2" s="820"/>
      <c r="L2" s="820"/>
      <c r="M2" s="822"/>
      <c r="N2" s="2394"/>
      <c r="O2" s="2394"/>
      <c r="P2" s="2394"/>
      <c r="Q2" s="2394"/>
      <c r="R2" s="2394"/>
      <c r="S2" s="2394"/>
      <c r="T2" s="2394"/>
      <c r="U2" s="2394"/>
      <c r="V2" s="2394"/>
      <c r="W2" s="2394"/>
      <c r="X2" s="2416"/>
    </row>
    <row r="3" spans="1:37" ht="13.5" customHeight="1" thickBot="1">
      <c r="N3" s="2395"/>
      <c r="O3" s="2395"/>
      <c r="P3" s="2395"/>
      <c r="Q3" s="2395"/>
      <c r="R3" s="2395"/>
      <c r="S3" s="2395"/>
      <c r="T3" s="2395"/>
      <c r="U3" s="2395"/>
      <c r="V3" s="2395"/>
      <c r="W3" s="2395"/>
      <c r="X3" s="2505"/>
    </row>
    <row r="4" spans="1:37" ht="28.5" customHeight="1" thickBot="1">
      <c r="J4" s="2419" t="s">
        <v>1414</v>
      </c>
      <c r="K4" s="2506" t="s">
        <v>1524</v>
      </c>
      <c r="L4" s="494" t="str">
        <f>+MID('Input data'!$B$11,1,1)</f>
        <v>3</v>
      </c>
      <c r="M4" s="494" t="str">
        <f>+MID('Input data'!$B$11,2,1)</f>
        <v>1</v>
      </c>
      <c r="N4" s="494" t="s">
        <v>1063</v>
      </c>
      <c r="O4" s="494" t="str">
        <f>LEFT('Input data'!B13,1)</f>
        <v>0</v>
      </c>
      <c r="P4" s="494" t="str">
        <f>RIGHT('Input data'!B13,1)</f>
        <v>3</v>
      </c>
      <c r="Q4" s="494" t="s">
        <v>1063</v>
      </c>
      <c r="R4" s="494" t="str">
        <f>+LEFT('Input data'!$B$14,1)</f>
        <v>2</v>
      </c>
      <c r="S4" s="494" t="str">
        <f>+MID('Input data'!$B$14,2,1)</f>
        <v>0</v>
      </c>
      <c r="T4" s="494" t="str">
        <f>+MID('Input data'!$B$14,3,1)</f>
        <v>1</v>
      </c>
      <c r="U4" s="494" t="str">
        <f>+MID('Input data'!$B$14,4,1)</f>
        <v>8</v>
      </c>
      <c r="V4" s="824"/>
      <c r="W4" s="492" t="s">
        <v>1415</v>
      </c>
      <c r="X4" s="492"/>
      <c r="Y4" s="492"/>
      <c r="Z4" s="492"/>
      <c r="AA4" s="491"/>
    </row>
    <row r="5" spans="1:37" ht="7.5" customHeight="1" thickBot="1"/>
    <row r="6" spans="1:37" s="487" customFormat="1" ht="14.25" customHeight="1">
      <c r="A6" s="490" t="s">
        <v>2224</v>
      </c>
      <c r="B6" s="489"/>
      <c r="C6" s="489"/>
      <c r="D6" s="489"/>
      <c r="E6" s="489"/>
      <c r="F6" s="489"/>
      <c r="G6" s="489"/>
      <c r="H6" s="489"/>
      <c r="I6" s="489"/>
      <c r="J6" s="489"/>
      <c r="K6" s="489"/>
      <c r="L6" s="489"/>
      <c r="M6" s="489"/>
      <c r="N6" s="489"/>
      <c r="O6" s="489"/>
      <c r="P6" s="489"/>
      <c r="Q6" s="489"/>
      <c r="R6" s="489"/>
      <c r="S6" s="488"/>
      <c r="T6" s="489"/>
      <c r="U6" s="489"/>
      <c r="V6" s="489"/>
      <c r="W6" s="489"/>
      <c r="X6" s="489"/>
      <c r="Y6" s="489"/>
      <c r="Z6" s="489"/>
      <c r="AA6" s="489"/>
      <c r="AB6" s="489"/>
      <c r="AC6" s="489"/>
      <c r="AD6" s="489"/>
      <c r="AE6" s="489"/>
      <c r="AF6" s="489"/>
      <c r="AG6" s="489"/>
      <c r="AH6" s="489"/>
      <c r="AI6" s="489"/>
      <c r="AJ6" s="489"/>
      <c r="AK6" s="488"/>
    </row>
    <row r="7" spans="1:37" s="391" customFormat="1" ht="15" customHeight="1">
      <c r="A7" s="403" t="s">
        <v>1525</v>
      </c>
      <c r="B7" s="402"/>
      <c r="C7" s="402"/>
      <c r="D7" s="402"/>
      <c r="E7" s="402"/>
      <c r="F7" s="402"/>
      <c r="G7" s="402"/>
      <c r="H7" s="402"/>
      <c r="I7" s="402"/>
      <c r="J7" s="402"/>
      <c r="K7" s="402"/>
      <c r="L7" s="402"/>
      <c r="M7" s="402"/>
      <c r="N7" s="402"/>
      <c r="O7" s="402"/>
      <c r="P7" s="402"/>
      <c r="Q7" s="402"/>
      <c r="R7" s="402"/>
      <c r="S7" s="402"/>
      <c r="T7" s="402"/>
      <c r="U7" s="402"/>
      <c r="V7" s="402"/>
      <c r="W7" s="402"/>
      <c r="X7" s="402"/>
      <c r="Y7" s="402"/>
      <c r="Z7" s="402"/>
      <c r="AA7" s="402"/>
      <c r="AB7" s="402"/>
      <c r="AC7" s="402"/>
      <c r="AD7" s="402"/>
      <c r="AE7" s="402"/>
      <c r="AF7" s="402"/>
      <c r="AG7" s="402"/>
      <c r="AH7" s="402"/>
      <c r="AI7" s="402"/>
      <c r="AJ7" s="402"/>
      <c r="AK7" s="486"/>
    </row>
    <row r="8" spans="1:37" s="482" customFormat="1" ht="18" customHeight="1" thickBot="1">
      <c r="A8" s="485" t="s">
        <v>1067</v>
      </c>
      <c r="B8" s="484"/>
      <c r="C8" s="484"/>
      <c r="D8" s="484"/>
      <c r="E8" s="485"/>
      <c r="F8" s="484"/>
      <c r="G8" s="484"/>
      <c r="H8" s="484"/>
      <c r="I8" s="484"/>
      <c r="J8" s="484"/>
      <c r="K8" s="484"/>
      <c r="L8" s="484"/>
      <c r="M8" s="484"/>
      <c r="N8" s="484"/>
      <c r="O8" s="484"/>
      <c r="P8" s="484"/>
      <c r="Q8" s="484"/>
      <c r="R8" s="484"/>
      <c r="S8" s="483"/>
      <c r="T8" s="484"/>
      <c r="U8" s="484"/>
      <c r="V8" s="484"/>
      <c r="W8" s="484"/>
      <c r="X8" s="484"/>
      <c r="Y8" s="484"/>
      <c r="Z8" s="484"/>
      <c r="AA8" s="484"/>
      <c r="AB8" s="484"/>
      <c r="AC8" s="484"/>
      <c r="AD8" s="484"/>
      <c r="AE8" s="484"/>
      <c r="AF8" s="484"/>
      <c r="AG8" s="484"/>
      <c r="AH8" s="484"/>
      <c r="AI8" s="484"/>
      <c r="AJ8" s="484"/>
      <c r="AK8" s="483"/>
    </row>
    <row r="9" spans="1:37" s="462" customFormat="1" ht="3.75" customHeight="1" thickBot="1">
      <c r="AF9" s="465"/>
      <c r="AG9" s="465"/>
    </row>
    <row r="10" spans="1:37" s="462" customFormat="1" ht="14.25" customHeight="1">
      <c r="A10" s="464" t="s">
        <v>1417</v>
      </c>
      <c r="B10" s="463"/>
      <c r="C10" s="463"/>
      <c r="D10" s="463"/>
      <c r="E10" s="463"/>
      <c r="F10" s="463"/>
      <c r="G10" s="463"/>
      <c r="H10" s="463"/>
      <c r="I10" s="407"/>
      <c r="J10" s="841"/>
      <c r="K10" s="480" t="s">
        <v>1418</v>
      </c>
      <c r="L10" s="463"/>
      <c r="M10" s="481"/>
      <c r="N10" s="481"/>
      <c r="O10" s="481"/>
      <c r="P10" s="463"/>
      <c r="Q10" s="480" t="s">
        <v>1418</v>
      </c>
      <c r="R10" s="463"/>
      <c r="S10" s="407"/>
      <c r="T10" s="463"/>
      <c r="U10" s="463"/>
      <c r="V10" s="842"/>
      <c r="W10" s="463"/>
      <c r="X10" s="463"/>
      <c r="Y10" s="463"/>
      <c r="Z10" s="463"/>
      <c r="AA10" s="463"/>
      <c r="AB10" s="463"/>
      <c r="AC10" s="463"/>
      <c r="AD10" s="480" t="s">
        <v>1419</v>
      </c>
      <c r="AE10" s="480"/>
      <c r="AF10" s="480"/>
      <c r="AG10" s="480" t="s">
        <v>1420</v>
      </c>
      <c r="AH10" s="463"/>
      <c r="AI10" s="463"/>
      <c r="AJ10" s="463"/>
      <c r="AK10" s="479"/>
    </row>
    <row r="11" spans="1:37" s="462" customFormat="1" ht="19.5" customHeight="1">
      <c r="A11" s="476" t="str">
        <f>LEFT('Input data'!C24,1)</f>
        <v>2</v>
      </c>
      <c r="B11" s="441" t="str">
        <f>MID('Input data'!$C$24,2,1)</f>
        <v>0</v>
      </c>
      <c r="C11" s="441" t="str">
        <f>MID('Input data'!$C$24,3,1)</f>
        <v>2</v>
      </c>
      <c r="D11" s="441" t="str">
        <f>MID('Input data'!$C$24,4,1)</f>
        <v>0</v>
      </c>
      <c r="E11" s="441" t="str">
        <f>MID('Input data'!$C$24,5,1)</f>
        <v>3</v>
      </c>
      <c r="F11" s="441" t="str">
        <f>MID('Input data'!$C$24,6,1)</f>
        <v>1</v>
      </c>
      <c r="G11" s="441" t="str">
        <f>MID('Input data'!$C$24,7,1)</f>
        <v>9</v>
      </c>
      <c r="H11" s="441" t="str">
        <f>MID('Input data'!$C$24,8,1)</f>
        <v>8</v>
      </c>
      <c r="I11" s="441" t="str">
        <f>MID('Input data'!$C$24,9,1)</f>
        <v>2</v>
      </c>
      <c r="J11" s="843" t="str">
        <f>MID('Input data'!$C$24,10,1)</f>
        <v>9</v>
      </c>
      <c r="K11" s="844"/>
      <c r="L11" s="465"/>
      <c r="M11" s="465"/>
      <c r="N11" s="465"/>
      <c r="O11" s="465"/>
      <c r="P11" s="465"/>
      <c r="Q11" s="465"/>
      <c r="R11" s="465"/>
      <c r="S11" s="465"/>
      <c r="T11" s="465"/>
      <c r="U11" s="465"/>
      <c r="V11" s="845"/>
      <c r="W11" s="470" t="s">
        <v>1421</v>
      </c>
      <c r="X11" s="465"/>
      <c r="Y11" s="465"/>
      <c r="Z11" s="465"/>
      <c r="AA11" s="465"/>
      <c r="AB11" s="470" t="s">
        <v>1422</v>
      </c>
      <c r="AC11" s="465"/>
      <c r="AD11" s="441" t="str">
        <f>MID('Input data'!$B$8,1,1)</f>
        <v>0</v>
      </c>
      <c r="AE11" s="441" t="str">
        <f>MID('Input data'!$B$8,2,1)</f>
        <v>4</v>
      </c>
      <c r="AF11" s="441"/>
      <c r="AG11" s="441" t="str">
        <f>MID('Input data'!$B$9,1,1)</f>
        <v>2</v>
      </c>
      <c r="AH11" s="441" t="str">
        <f>MID('Input data'!$B$9,2,1)</f>
        <v>0</v>
      </c>
      <c r="AI11" s="441" t="str">
        <f>MID('Input data'!$B$9,3,1)</f>
        <v>1</v>
      </c>
      <c r="AJ11" s="441" t="str">
        <f>MID('Input data'!$B$9,4,1)</f>
        <v>7</v>
      </c>
      <c r="AK11" s="471"/>
    </row>
    <row r="12" spans="1:37" s="462" customFormat="1" ht="19.5" customHeight="1">
      <c r="A12" s="403" t="s">
        <v>1423</v>
      </c>
      <c r="B12" s="465"/>
      <c r="C12" s="465"/>
      <c r="D12" s="465"/>
      <c r="E12" s="465"/>
      <c r="F12" s="465"/>
      <c r="G12" s="465"/>
      <c r="H12" s="399"/>
      <c r="I12" s="399"/>
      <c r="J12" s="527"/>
      <c r="K12" s="844"/>
      <c r="L12" s="478" t="str">
        <f>IF('Input data'!D7="x","x"," ")</f>
        <v>x</v>
      </c>
      <c r="M12" s="470" t="s">
        <v>1326</v>
      </c>
      <c r="N12" s="472"/>
      <c r="O12" s="472"/>
      <c r="P12" s="472"/>
      <c r="Q12" s="472"/>
      <c r="R12" s="478" t="str">
        <f>IF('Input data'!D17="x","x"," ")</f>
        <v>x</v>
      </c>
      <c r="S12" s="470" t="s">
        <v>1319</v>
      </c>
      <c r="T12" s="465"/>
      <c r="U12" s="465"/>
      <c r="V12" s="845"/>
      <c r="W12" s="825"/>
      <c r="X12" s="826"/>
      <c r="Y12" s="826"/>
      <c r="Z12" s="826"/>
      <c r="AA12" s="826"/>
      <c r="AB12" s="827" t="s">
        <v>1426</v>
      </c>
      <c r="AC12" s="826"/>
      <c r="AD12" s="828" t="str">
        <f>MID('Input data'!$B$13,1,1)</f>
        <v>0</v>
      </c>
      <c r="AE12" s="828" t="str">
        <f>MID('Input data'!$B$13,2,1)</f>
        <v>3</v>
      </c>
      <c r="AF12" s="828"/>
      <c r="AG12" s="828" t="str">
        <f>MID('Input data'!$B$14,1,1)</f>
        <v>2</v>
      </c>
      <c r="AH12" s="828" t="str">
        <f>MID('Input data'!$B$14,2,1)</f>
        <v>0</v>
      </c>
      <c r="AI12" s="828" t="str">
        <f>MID('Input data'!$B$14,3,1)</f>
        <v>1</v>
      </c>
      <c r="AJ12" s="828" t="str">
        <f>MID('Input data'!$B$14,4,1)</f>
        <v>8</v>
      </c>
      <c r="AK12" s="829"/>
    </row>
    <row r="13" spans="1:37" s="462" customFormat="1" ht="19.5" customHeight="1">
      <c r="A13" s="476" t="str">
        <f>LEFT('Input data'!C26,1)</f>
        <v>3</v>
      </c>
      <c r="B13" s="441" t="str">
        <f>MID('Input data'!$C$26,2,1)</f>
        <v>1</v>
      </c>
      <c r="C13" s="441" t="str">
        <f>MID('Input data'!$C$26,3,1)</f>
        <v>3</v>
      </c>
      <c r="D13" s="441" t="str">
        <f>MID('Input data'!$C$26,4,1)</f>
        <v>6</v>
      </c>
      <c r="E13" s="441" t="str">
        <f>MID('Input data'!$C$26,5,1)</f>
        <v>5</v>
      </c>
      <c r="F13" s="441" t="str">
        <f>MID('Input data'!$C$26,6,1)</f>
        <v>5</v>
      </c>
      <c r="G13" s="441" t="str">
        <f>MID('Input data'!$C$26,7,1)</f>
        <v>0</v>
      </c>
      <c r="H13" s="441" t="str">
        <f>MID('Input data'!$C$26,8,1)</f>
        <v>7</v>
      </c>
      <c r="I13" s="399"/>
      <c r="J13" s="527"/>
      <c r="K13" s="844"/>
      <c r="L13" s="399" t="str">
        <f>IF('Input data'!D8="x","x", "")</f>
        <v/>
      </c>
      <c r="M13" s="470" t="s">
        <v>1325</v>
      </c>
      <c r="N13" s="472"/>
      <c r="O13" s="472"/>
      <c r="P13" s="472"/>
      <c r="Q13" s="472"/>
      <c r="R13" s="472" t="str">
        <f>IF('Input data'!D18="x","x"," ")</f>
        <v xml:space="preserve"> </v>
      </c>
      <c r="S13" s="470" t="s">
        <v>1317</v>
      </c>
      <c r="T13" s="465"/>
      <c r="U13" s="465"/>
      <c r="V13" s="845"/>
      <c r="W13" s="2507" t="s">
        <v>1429</v>
      </c>
      <c r="X13" s="2411"/>
      <c r="Y13" s="2411"/>
      <c r="Z13" s="2411"/>
      <c r="AA13" s="2411"/>
      <c r="AB13" s="472"/>
      <c r="AC13" s="399"/>
      <c r="AD13" s="474"/>
      <c r="AE13" s="474"/>
      <c r="AF13" s="474"/>
      <c r="AG13" s="474"/>
      <c r="AH13" s="474"/>
      <c r="AI13" s="474"/>
      <c r="AJ13" s="474"/>
      <c r="AK13" s="398"/>
    </row>
    <row r="14" spans="1:37" s="462" customFormat="1" ht="19.5" customHeight="1">
      <c r="A14" s="403" t="s">
        <v>1081</v>
      </c>
      <c r="B14" s="465"/>
      <c r="C14" s="465"/>
      <c r="D14" s="465"/>
      <c r="E14" s="465"/>
      <c r="F14" s="465"/>
      <c r="G14" s="465"/>
      <c r="H14" s="465"/>
      <c r="I14" s="399"/>
      <c r="J14" s="527"/>
      <c r="K14" s="844"/>
      <c r="L14" s="399"/>
      <c r="M14" s="470"/>
      <c r="N14" s="472"/>
      <c r="O14" s="472"/>
      <c r="P14" s="472"/>
      <c r="Q14" s="472"/>
      <c r="R14" s="473" t="s">
        <v>1526</v>
      </c>
      <c r="S14" s="472"/>
      <c r="T14" s="465"/>
      <c r="U14" s="465"/>
      <c r="V14" s="845"/>
      <c r="W14" s="2508"/>
      <c r="X14" s="2413"/>
      <c r="Y14" s="2413"/>
      <c r="Z14" s="2413"/>
      <c r="AA14" s="2413"/>
      <c r="AB14" s="470" t="s">
        <v>1422</v>
      </c>
      <c r="AC14" s="399"/>
      <c r="AD14" s="441" t="str">
        <f>MID('Input data'!$B$18,1,1)</f>
        <v>0</v>
      </c>
      <c r="AE14" s="441" t="str">
        <f>MID('Input data'!$B$18,2,1)</f>
        <v>4</v>
      </c>
      <c r="AF14" s="441"/>
      <c r="AG14" s="441" t="str">
        <f>MID('Input data'!$B$19,1,1)</f>
        <v>2</v>
      </c>
      <c r="AH14" s="441" t="str">
        <f>MID('Input data'!$B$19,2,1)</f>
        <v>0</v>
      </c>
      <c r="AI14" s="441" t="str">
        <f>MID('Input data'!$B$19,3,1)</f>
        <v>1</v>
      </c>
      <c r="AJ14" s="441" t="str">
        <f>MID('Input data'!$B$19,4,1)</f>
        <v>6</v>
      </c>
      <c r="AK14" s="398"/>
    </row>
    <row r="15" spans="1:37" s="462" customFormat="1" ht="19.5" customHeight="1" thickBot="1">
      <c r="A15" s="469" t="str">
        <f>'BS-E Cover sheet'!A15</f>
        <v>2</v>
      </c>
      <c r="B15" s="394" t="str">
        <f>'BS-E Cover sheet'!B15</f>
        <v>7</v>
      </c>
      <c r="C15" s="467" t="str">
        <f>'BS-E Cover sheet'!C15</f>
        <v>.</v>
      </c>
      <c r="D15" s="394" t="str">
        <f>'BS-E Cover sheet'!D15</f>
        <v>3</v>
      </c>
      <c r="E15" s="394" t="str">
        <f>'BS-E Cover sheet'!E15</f>
        <v>1</v>
      </c>
      <c r="F15" s="846" t="str">
        <f>'BS-E Cover sheet'!F15</f>
        <v>.</v>
      </c>
      <c r="G15" s="394" t="str">
        <f>'BS-E Cover sheet'!G15</f>
        <v>0</v>
      </c>
      <c r="H15" s="394"/>
      <c r="I15" s="394"/>
      <c r="J15" s="847"/>
      <c r="K15" s="848"/>
      <c r="L15" s="394"/>
      <c r="M15" s="394"/>
      <c r="N15" s="394"/>
      <c r="O15" s="394"/>
      <c r="P15" s="394"/>
      <c r="Q15" s="394"/>
      <c r="R15" s="394"/>
      <c r="S15" s="394"/>
      <c r="T15" s="467"/>
      <c r="U15" s="467"/>
      <c r="V15" s="849"/>
      <c r="W15" s="2509"/>
      <c r="X15" s="2415"/>
      <c r="Y15" s="2415"/>
      <c r="Z15" s="2415"/>
      <c r="AA15" s="2415"/>
      <c r="AB15" s="466" t="s">
        <v>1426</v>
      </c>
      <c r="AC15" s="394"/>
      <c r="AD15" s="439" t="str">
        <f>MID('Input data'!$B$21,1,1)</f>
        <v>0</v>
      </c>
      <c r="AE15" s="439" t="str">
        <f>MID('Input data'!$B$21,2,1)</f>
        <v>3</v>
      </c>
      <c r="AF15" s="439"/>
      <c r="AG15" s="439" t="str">
        <f>MID('Input data'!$B$22,1,1)</f>
        <v>2</v>
      </c>
      <c r="AH15" s="439" t="str">
        <f>MID('Input data'!$B$22,2,1)</f>
        <v>0</v>
      </c>
      <c r="AI15" s="439" t="str">
        <f>MID('Input data'!$B$22,3,1)</f>
        <v>1</v>
      </c>
      <c r="AJ15" s="439" t="str">
        <f>MID('Input data'!$B$22,4,1)</f>
        <v>7</v>
      </c>
      <c r="AK15" s="393"/>
    </row>
    <row r="16" spans="1:37" s="462" customFormat="1" ht="4.5" customHeight="1">
      <c r="A16" s="465"/>
      <c r="B16" s="465"/>
      <c r="C16" s="465"/>
      <c r="D16" s="465"/>
      <c r="E16" s="465"/>
      <c r="F16" s="465"/>
      <c r="G16" s="465"/>
      <c r="H16" s="399"/>
      <c r="I16" s="399"/>
      <c r="J16" s="399"/>
      <c r="K16" s="399"/>
      <c r="L16" s="399"/>
      <c r="M16" s="399"/>
      <c r="N16" s="399"/>
      <c r="O16" s="399"/>
      <c r="P16" s="399"/>
      <c r="Q16" s="399"/>
      <c r="R16" s="399"/>
      <c r="S16" s="399"/>
      <c r="T16" s="465"/>
      <c r="U16" s="465"/>
      <c r="V16" s="399"/>
      <c r="W16" s="399"/>
      <c r="X16" s="399"/>
      <c r="Y16" s="399"/>
      <c r="Z16" s="399"/>
      <c r="AA16" s="399"/>
      <c r="AB16" s="399"/>
      <c r="AC16" s="399"/>
      <c r="AD16" s="399"/>
      <c r="AE16" s="399"/>
      <c r="AF16" s="399"/>
      <c r="AG16" s="399"/>
      <c r="AH16" s="399"/>
      <c r="AI16" s="399"/>
      <c r="AJ16" s="399"/>
      <c r="AK16" s="399"/>
    </row>
    <row r="17" spans="1:43" s="462" customFormat="1" ht="3" customHeight="1" thickBot="1">
      <c r="H17" s="392"/>
      <c r="I17" s="392"/>
      <c r="J17" s="392"/>
      <c r="K17" s="392"/>
      <c r="L17" s="392"/>
      <c r="M17" s="392"/>
      <c r="N17" s="392"/>
      <c r="O17" s="392"/>
      <c r="P17" s="392"/>
      <c r="Q17" s="392"/>
      <c r="R17" s="392"/>
      <c r="S17" s="392"/>
      <c r="W17" s="392"/>
      <c r="X17" s="392"/>
      <c r="Y17" s="392"/>
      <c r="Z17" s="392"/>
      <c r="AA17" s="392"/>
      <c r="AB17" s="392"/>
      <c r="AC17" s="392"/>
      <c r="AD17" s="392"/>
      <c r="AE17" s="392"/>
      <c r="AF17" s="392"/>
      <c r="AG17" s="392"/>
      <c r="AH17" s="392"/>
      <c r="AI17" s="392"/>
      <c r="AJ17" s="392"/>
      <c r="AK17" s="392"/>
    </row>
    <row r="18" spans="1:43" s="462" customFormat="1" ht="16.5">
      <c r="A18" s="464" t="s">
        <v>1431</v>
      </c>
      <c r="B18" s="463"/>
      <c r="C18" s="463"/>
      <c r="D18" s="463"/>
      <c r="E18" s="463"/>
      <c r="F18" s="463"/>
      <c r="G18" s="463"/>
      <c r="H18" s="407"/>
      <c r="I18" s="407"/>
      <c r="J18" s="407"/>
      <c r="K18" s="407"/>
      <c r="L18" s="407"/>
      <c r="M18" s="407"/>
      <c r="N18" s="407"/>
      <c r="O18" s="407"/>
      <c r="P18" s="407"/>
      <c r="Q18" s="407"/>
      <c r="R18" s="407"/>
      <c r="S18" s="407"/>
      <c r="T18" s="463"/>
      <c r="U18" s="463"/>
      <c r="V18" s="463"/>
      <c r="W18" s="407"/>
      <c r="X18" s="407"/>
      <c r="Y18" s="407"/>
      <c r="Z18" s="407"/>
      <c r="AA18" s="407"/>
      <c r="AB18" s="407"/>
      <c r="AC18" s="407"/>
      <c r="AD18" s="407"/>
      <c r="AE18" s="407"/>
      <c r="AF18" s="407"/>
      <c r="AG18" s="407"/>
      <c r="AH18" s="407"/>
      <c r="AI18" s="407"/>
      <c r="AJ18" s="407"/>
      <c r="AK18" s="406"/>
    </row>
    <row r="19" spans="1:43" s="392" customFormat="1" ht="19.5" customHeight="1">
      <c r="A19" s="449" t="str">
        <f>+LEFT('Input data'!$F$3,1)</f>
        <v>F</v>
      </c>
      <c r="B19" s="441" t="str">
        <f>+MID('Input data'!$F$3,2,1)</f>
        <v>o</v>
      </c>
      <c r="C19" s="441" t="str">
        <f>+MID('Input data'!$F$3,3,1)</f>
        <v>s</v>
      </c>
      <c r="D19" s="441" t="str">
        <f>+MID('Input data'!$F$3,4,1)</f>
        <v>s</v>
      </c>
      <c r="E19" s="441" t="str">
        <f>+MID('Input data'!$F$3,5,1)</f>
        <v xml:space="preserve"> </v>
      </c>
      <c r="F19" s="441" t="str">
        <f>+MID('Input data'!$F$3,6,1)</f>
        <v>F</v>
      </c>
      <c r="G19" s="441" t="str">
        <f>+MID('Input data'!$F$3,7,1)</f>
        <v>i</v>
      </c>
      <c r="H19" s="441" t="str">
        <f>+MID('Input data'!$F$3,8,1)</f>
        <v>b</v>
      </c>
      <c r="I19" s="441" t="str">
        <f>+MID('Input data'!$F$3,9,1)</f>
        <v>r</v>
      </c>
      <c r="J19" s="441" t="str">
        <f>+MID('Input data'!$F$3,10,1)</f>
        <v>e</v>
      </c>
      <c r="K19" s="441" t="str">
        <f>+MID('Input data'!$F$3,11,1)</f>
        <v xml:space="preserve"> </v>
      </c>
      <c r="L19" s="441" t="str">
        <f>+MID('Input data'!$F$3,12,1)</f>
        <v>O</v>
      </c>
      <c r="M19" s="441" t="str">
        <f>+MID('Input data'!$F$3,13,1)</f>
        <v>p</v>
      </c>
      <c r="N19" s="441" t="str">
        <f>+MID('Input data'!$F$3,14,1)</f>
        <v>t</v>
      </c>
      <c r="O19" s="441" t="str">
        <f>+MID('Input data'!$F$3,15,1)</f>
        <v>i</v>
      </c>
      <c r="P19" s="441" t="str">
        <f>+MID('Input data'!$F$3,16,1)</f>
        <v>c</v>
      </c>
      <c r="Q19" s="441" t="str">
        <f>+MID('Input data'!$F$3,17,1)</f>
        <v>s</v>
      </c>
      <c r="R19" s="441" t="str">
        <f>+MID('Input data'!$F$3,18,1)</f>
        <v>,</v>
      </c>
      <c r="S19" s="441" t="str">
        <f>+MID('Input data'!$F$3,19,1)</f>
        <v xml:space="preserve"> </v>
      </c>
      <c r="T19" s="441" t="str">
        <f>+MID('Input data'!$F$3,20,1)</f>
        <v>s</v>
      </c>
      <c r="U19" s="441" t="str">
        <f>+MID('Input data'!$F$3,21,1)</f>
        <v>.</v>
      </c>
      <c r="V19" s="441" t="str">
        <f>+MID('Input data'!$F$3,22,1)</f>
        <v>r</v>
      </c>
      <c r="W19" s="441" t="str">
        <f>+MID('Input data'!$F$3,23,1)</f>
        <v>.</v>
      </c>
      <c r="X19" s="441" t="str">
        <f>+MID('Input data'!$F$3,24,1)</f>
        <v>o</v>
      </c>
      <c r="Y19" s="441" t="str">
        <f>+MID('Input data'!$F$3,25,1)</f>
        <v>.</v>
      </c>
      <c r="Z19" s="441" t="str">
        <f>+MID('Input data'!$F$3,26,1)</f>
        <v xml:space="preserve"> </v>
      </c>
      <c r="AA19" s="441" t="str">
        <f>+MID('Input data'!$F$3,27,1)</f>
        <v xml:space="preserve">
</v>
      </c>
      <c r="AB19" s="441" t="str">
        <f>+MID('Input data'!$F$3,28,1)</f>
        <v/>
      </c>
      <c r="AC19" s="441" t="str">
        <f>+MID('Input data'!$F$3,29,1)</f>
        <v/>
      </c>
      <c r="AD19" s="441" t="str">
        <f>+MID('Input data'!$F$3,30,1)</f>
        <v/>
      </c>
      <c r="AE19" s="441" t="str">
        <f>+MID('Input data'!$F$3,31,1)</f>
        <v/>
      </c>
      <c r="AF19" s="441" t="str">
        <f>+MID('Input data'!$F$3,32,1)</f>
        <v/>
      </c>
      <c r="AG19" s="441" t="str">
        <f>+MID('Input data'!$F$3,33,1)</f>
        <v/>
      </c>
      <c r="AH19" s="441" t="str">
        <f>+MID('Input data'!$F$3,34,1)</f>
        <v/>
      </c>
      <c r="AI19" s="441" t="str">
        <f>+MID('Input data'!$F$3,35,1)</f>
        <v/>
      </c>
      <c r="AJ19" s="441" t="str">
        <f>+MID('Input data'!$F$3,36,1)</f>
        <v/>
      </c>
      <c r="AK19" s="448" t="str">
        <f>+MID('Input data'!$F$3,37,1)</f>
        <v/>
      </c>
      <c r="AL19" s="462"/>
      <c r="AM19" s="462"/>
      <c r="AN19" s="462"/>
    </row>
    <row r="20" spans="1:43" s="531" customFormat="1" ht="19.5" customHeight="1">
      <c r="A20" s="449" t="str">
        <f>+MID('Input data'!$F$3,38,1)</f>
        <v/>
      </c>
      <c r="B20" s="441" t="str">
        <f>+MID('Input data'!$F$3,39,1)</f>
        <v/>
      </c>
      <c r="C20" s="441" t="str">
        <f>+MID('Input data'!$F$3,40,1)</f>
        <v/>
      </c>
      <c r="D20" s="441" t="str">
        <f>+MID('Input data'!$F$3,41,1)</f>
        <v/>
      </c>
      <c r="E20" s="441" t="str">
        <f>+MID('Input data'!$F$3,42,1)</f>
        <v/>
      </c>
      <c r="F20" s="441" t="str">
        <f>+MID('Input data'!$F$3,43,1)</f>
        <v/>
      </c>
      <c r="G20" s="441" t="str">
        <f>+MID('Input data'!$F$3,44,1)</f>
        <v/>
      </c>
      <c r="H20" s="441" t="str">
        <f>+MID('Input data'!$F$3,45,1)</f>
        <v/>
      </c>
      <c r="I20" s="441" t="str">
        <f>+MID('Input data'!$F$3,46,1)</f>
        <v/>
      </c>
      <c r="J20" s="441" t="str">
        <f>+MID('Input data'!$F$3,47,1)</f>
        <v/>
      </c>
      <c r="K20" s="441" t="str">
        <f>+MID('Input data'!$F$3,48,1)</f>
        <v/>
      </c>
      <c r="L20" s="441" t="str">
        <f>+MID('Input data'!$F$3,49,1)</f>
        <v/>
      </c>
      <c r="M20" s="441" t="str">
        <f>+MID('Input data'!$F$3,50,1)</f>
        <v/>
      </c>
      <c r="N20" s="441" t="str">
        <f>+MID('Input data'!$F$3,51,1)</f>
        <v/>
      </c>
      <c r="O20" s="441" t="str">
        <f>+MID('Input data'!$F$3,52,1)</f>
        <v/>
      </c>
      <c r="P20" s="441" t="str">
        <f>+MID('Input data'!$F$3,53,1)</f>
        <v/>
      </c>
      <c r="Q20" s="441" t="str">
        <f>+MID('Input data'!$F$3,54,1)</f>
        <v/>
      </c>
      <c r="R20" s="441" t="str">
        <f>+MID('Input data'!$F$3,55,1)</f>
        <v/>
      </c>
      <c r="S20" s="441" t="str">
        <f>+MID('Input data'!$F$3,56,1)</f>
        <v/>
      </c>
      <c r="T20" s="441" t="str">
        <f>+MID('Input data'!$F$3,57,1)</f>
        <v/>
      </c>
      <c r="U20" s="441" t="str">
        <f>+MID('Input data'!$F$3,58,1)</f>
        <v/>
      </c>
      <c r="V20" s="441" t="str">
        <f>+MID('Input data'!$F$3,59,1)</f>
        <v/>
      </c>
      <c r="W20" s="441" t="str">
        <f>+MID('Input data'!$F$3,60,1)</f>
        <v/>
      </c>
      <c r="X20" s="441" t="str">
        <f>+MID('Input data'!$F$3,61,1)</f>
        <v/>
      </c>
      <c r="Y20" s="441" t="str">
        <f>+MID('Input data'!$F$3,62,1)</f>
        <v/>
      </c>
      <c r="Z20" s="441" t="str">
        <f>+MID('Input data'!$F$3,63,1)</f>
        <v/>
      </c>
      <c r="AA20" s="441" t="str">
        <f>+MID('Input data'!$F$3,64,1)</f>
        <v/>
      </c>
      <c r="AB20" s="441" t="str">
        <f>+MID('Input data'!$F$3,65,1)</f>
        <v/>
      </c>
      <c r="AC20" s="441" t="str">
        <f>+MID('Input data'!$F$3,66,1)</f>
        <v/>
      </c>
      <c r="AD20" s="441" t="str">
        <f>+MID('Input data'!$F$3,67,1)</f>
        <v/>
      </c>
      <c r="AE20" s="441" t="str">
        <f>+MID('Input data'!$F$3,68,1)</f>
        <v/>
      </c>
      <c r="AF20" s="441" t="str">
        <f>+MID('Input data'!$F$3,69,1)</f>
        <v/>
      </c>
      <c r="AG20" s="441" t="str">
        <f>+MID('Input data'!$F$3,70,1)</f>
        <v/>
      </c>
      <c r="AH20" s="441" t="str">
        <f>+MID('Input data'!$F$3,71,1)</f>
        <v/>
      </c>
      <c r="AI20" s="441" t="str">
        <f>+MID('Input data'!$F$3,72,1)</f>
        <v/>
      </c>
      <c r="AJ20" s="441" t="str">
        <f>+MID('Input data'!$F$3,73,1)</f>
        <v/>
      </c>
      <c r="AK20" s="448" t="str">
        <f>+MID('Input data'!$F$3,74,1)</f>
        <v/>
      </c>
      <c r="AL20" s="390"/>
      <c r="AM20" s="390"/>
      <c r="AN20" s="390"/>
    </row>
    <row r="21" spans="1:43" s="450" customFormat="1" ht="14.25" customHeight="1">
      <c r="A21" s="454" t="s">
        <v>1432</v>
      </c>
      <c r="B21" s="453"/>
      <c r="C21" s="453"/>
      <c r="D21" s="453"/>
      <c r="E21" s="453"/>
      <c r="F21" s="453"/>
      <c r="G21" s="453"/>
      <c r="H21" s="453"/>
      <c r="I21" s="453"/>
      <c r="J21" s="453"/>
      <c r="K21" s="453"/>
      <c r="L21" s="453"/>
      <c r="M21" s="453"/>
      <c r="N21" s="453"/>
      <c r="O21" s="453"/>
      <c r="P21" s="453"/>
      <c r="Q21" s="453"/>
      <c r="R21" s="453"/>
      <c r="S21" s="453"/>
      <c r="T21" s="453"/>
      <c r="U21" s="453"/>
      <c r="V21" s="453"/>
      <c r="W21" s="452"/>
      <c r="X21" s="452"/>
      <c r="Y21" s="452"/>
      <c r="Z21" s="452"/>
      <c r="AA21" s="452"/>
      <c r="AB21" s="452"/>
      <c r="AC21" s="452"/>
      <c r="AD21" s="452"/>
      <c r="AE21" s="452"/>
      <c r="AF21" s="452"/>
      <c r="AG21" s="452"/>
      <c r="AH21" s="452"/>
      <c r="AI21" s="452"/>
      <c r="AJ21" s="452"/>
      <c r="AK21" s="451"/>
    </row>
    <row r="22" spans="1:43">
      <c r="A22" s="446" t="s">
        <v>1433</v>
      </c>
      <c r="B22" s="404"/>
      <c r="C22" s="404"/>
      <c r="D22" s="404"/>
      <c r="E22" s="404"/>
      <c r="F22" s="404"/>
      <c r="G22" s="404"/>
      <c r="H22" s="404"/>
      <c r="I22" s="404"/>
      <c r="J22" s="404"/>
      <c r="K22" s="404"/>
      <c r="L22" s="404"/>
      <c r="M22" s="404"/>
      <c r="N22" s="404"/>
      <c r="O22" s="404"/>
      <c r="P22" s="404"/>
      <c r="Q22" s="404"/>
      <c r="R22" s="404"/>
      <c r="S22" s="404"/>
      <c r="T22" s="404"/>
      <c r="U22" s="404"/>
      <c r="V22" s="404"/>
      <c r="W22" s="399"/>
      <c r="X22" s="399"/>
      <c r="Y22" s="399"/>
      <c r="Z22" s="399"/>
      <c r="AA22" s="399"/>
      <c r="AB22" s="404"/>
      <c r="AC22" s="399"/>
      <c r="AD22" s="402" t="s">
        <v>1434</v>
      </c>
      <c r="AE22" s="399"/>
      <c r="AF22" s="399"/>
      <c r="AG22" s="399"/>
      <c r="AH22" s="399"/>
      <c r="AI22" s="399"/>
      <c r="AJ22" s="399"/>
      <c r="AK22" s="398"/>
    </row>
    <row r="23" spans="1:43" s="530" customFormat="1" ht="19.5" customHeight="1">
      <c r="A23" s="449" t="str">
        <f>+LEFT('Input data'!$C$28,1)</f>
        <v>O</v>
      </c>
      <c r="B23" s="441" t="str">
        <f>+MID('Input data'!$C$28,2,1)</f>
        <v>d</v>
      </c>
      <c r="C23" s="441" t="str">
        <f>+MID('Input data'!$C$28,3,1)</f>
        <v>b</v>
      </c>
      <c r="D23" s="441" t="str">
        <f>+MID('Input data'!$C$28,4,1)</f>
        <v>o</v>
      </c>
      <c r="E23" s="441" t="str">
        <f>+MID('Input data'!$C$28,5,1)</f>
        <v>r</v>
      </c>
      <c r="F23" s="441" t="str">
        <f>+MID('Input data'!$C$28,6,1)</f>
        <v>á</v>
      </c>
      <c r="G23" s="441" t="str">
        <f>+MID('Input data'!$C$28,7,1)</f>
        <v>r</v>
      </c>
      <c r="H23" s="441" t="str">
        <f>+MID('Input data'!$C$28,8,1)</f>
        <v>s</v>
      </c>
      <c r="I23" s="441" t="str">
        <f>+MID('Input data'!$C$28,9,1)</f>
        <v>k</v>
      </c>
      <c r="J23" s="441" t="str">
        <f>+MID('Input data'!$C$28,10,1)</f>
        <v>a</v>
      </c>
      <c r="K23" s="441" t="str">
        <f>+MID('Input data'!$C$28,11,1)</f>
        <v/>
      </c>
      <c r="L23" s="441" t="str">
        <f>+MID('Input data'!$C$28,12,1)</f>
        <v/>
      </c>
      <c r="M23" s="441" t="str">
        <f>+MID('Input data'!$C$28,13,1)</f>
        <v/>
      </c>
      <c r="N23" s="441" t="str">
        <f>+MID('Input data'!$C$28,14,1)</f>
        <v/>
      </c>
      <c r="O23" s="441" t="str">
        <f>+MID('Input data'!$C$28,15,1)</f>
        <v/>
      </c>
      <c r="P23" s="441" t="str">
        <f>+MID('Input data'!$C$28,16,1)</f>
        <v/>
      </c>
      <c r="Q23" s="441" t="str">
        <f>+MID('Input data'!$C$28,17,1)</f>
        <v/>
      </c>
      <c r="R23" s="441" t="str">
        <f>+MID('Input data'!$C$28,18,1)</f>
        <v/>
      </c>
      <c r="S23" s="441" t="str">
        <f>+MID('Input data'!$C$28,19,1)</f>
        <v/>
      </c>
      <c r="T23" s="441" t="str">
        <f>+MID('Input data'!$C$28,20,1)</f>
        <v/>
      </c>
      <c r="U23" s="441" t="str">
        <f>+MID('Input data'!$C$28,21,1)</f>
        <v/>
      </c>
      <c r="V23" s="441" t="str">
        <f>+MID('Input data'!$C$28,22,1)</f>
        <v/>
      </c>
      <c r="W23" s="441" t="str">
        <f>+MID('Input data'!$C$28,23,1)</f>
        <v/>
      </c>
      <c r="X23" s="441" t="str">
        <f>+MID('Input data'!$C$28,24,1)</f>
        <v/>
      </c>
      <c r="Y23" s="441" t="str">
        <f>+MID('Input data'!$C$28,25,1)</f>
        <v/>
      </c>
      <c r="Z23" s="441" t="str">
        <f>+MID('Input data'!$C$28,26,1)</f>
        <v/>
      </c>
      <c r="AA23" s="441" t="str">
        <f>+MID('Input data'!$C$28,27,1)</f>
        <v/>
      </c>
      <c r="AB23" s="441" t="str">
        <f>+MID('Input data'!$C$28,28,1)</f>
        <v/>
      </c>
      <c r="AC23" s="443"/>
      <c r="AD23" s="441" t="str">
        <f>+LEFT('Input data'!$C$30,1)</f>
        <v>5</v>
      </c>
      <c r="AE23" s="441" t="str">
        <f>+MID('Input data'!$C$30,2,1)</f>
        <v>2</v>
      </c>
      <c r="AF23" s="441" t="str">
        <f>+MID('Input data'!$C$30,3,1)</f>
        <v/>
      </c>
      <c r="AG23" s="441" t="str">
        <f>+MID('Input data'!$C$30,4,1)</f>
        <v/>
      </c>
      <c r="AH23" s="441" t="str">
        <f>+MID('Input data'!$C$30,5,1)</f>
        <v/>
      </c>
      <c r="AI23" s="441" t="str">
        <f>+MID('Input data'!$C$30,6,1)</f>
        <v/>
      </c>
      <c r="AJ23" s="441" t="str">
        <f>+MID('Input data'!$C$30,7,1)</f>
        <v/>
      </c>
      <c r="AK23" s="448" t="str">
        <f>+MID('Input data'!$C$30,8,1)</f>
        <v/>
      </c>
    </row>
    <row r="24" spans="1:43">
      <c r="A24" s="446" t="s">
        <v>1435</v>
      </c>
      <c r="B24" s="404"/>
      <c r="C24" s="404"/>
      <c r="D24" s="404"/>
      <c r="E24" s="404"/>
      <c r="F24" s="404"/>
      <c r="G24" s="445" t="s">
        <v>1436</v>
      </c>
      <c r="H24" s="445"/>
      <c r="I24" s="445"/>
      <c r="J24" s="445"/>
      <c r="K24" s="445"/>
      <c r="L24" s="445"/>
      <c r="M24" s="445"/>
      <c r="N24" s="445"/>
      <c r="O24" s="445"/>
      <c r="P24" s="445"/>
      <c r="Q24" s="445"/>
      <c r="R24" s="445"/>
      <c r="S24" s="445"/>
      <c r="T24" s="445"/>
      <c r="U24" s="445"/>
      <c r="V24" s="445"/>
      <c r="W24" s="445"/>
      <c r="X24" s="445"/>
      <c r="Y24" s="445"/>
      <c r="Z24" s="445"/>
      <c r="AA24" s="445"/>
      <c r="AB24" s="445"/>
      <c r="AC24" s="445"/>
      <c r="AD24" s="445"/>
      <c r="AE24" s="399"/>
      <c r="AF24" s="399"/>
      <c r="AG24" s="399"/>
      <c r="AH24" s="399"/>
      <c r="AI24" s="399"/>
      <c r="AJ24" s="399"/>
      <c r="AK24" s="398"/>
    </row>
    <row r="25" spans="1:43" s="530" customFormat="1" ht="19.5" customHeight="1">
      <c r="A25" s="449" t="str">
        <f>+LEFT('Input data'!$C$32,1)</f>
        <v>8</v>
      </c>
      <c r="B25" s="441" t="str">
        <f>+MID('Input data'!$C$32,2,1)</f>
        <v>3</v>
      </c>
      <c r="C25" s="441" t="str">
        <f>+MID('Input data'!$C$32,3,1)</f>
        <v>1</v>
      </c>
      <c r="D25" s="441" t="str">
        <f>+MID('Input data'!$C$32,4,1)</f>
        <v xml:space="preserve"> </v>
      </c>
      <c r="E25" s="441" t="str">
        <f>+MID('Input data'!$C$32,5,1)</f>
        <v>0</v>
      </c>
      <c r="F25" s="441"/>
      <c r="G25" s="441" t="str">
        <f>+LEFT('Input data'!$C$34,1)</f>
        <v>B</v>
      </c>
      <c r="H25" s="441" t="str">
        <f>+MID('Input data'!$C$34,2,1)</f>
        <v>r</v>
      </c>
      <c r="I25" s="441" t="str">
        <f>+MID('Input data'!$C$34,3,1)</f>
        <v>a</v>
      </c>
      <c r="J25" s="441" t="str">
        <f>+MID('Input data'!$C$34,4,1)</f>
        <v>t</v>
      </c>
      <c r="K25" s="441" t="str">
        <f>+MID('Input data'!$C$34,5,1)</f>
        <v>i</v>
      </c>
      <c r="L25" s="441" t="str">
        <f>+MID('Input data'!$C$34,6,1)</f>
        <v>s</v>
      </c>
      <c r="M25" s="441" t="str">
        <f>+MID('Input data'!$C$34,7,1)</f>
        <v>l</v>
      </c>
      <c r="N25" s="441" t="str">
        <f>+MID('Input data'!$C$34,8,1)</f>
        <v>a</v>
      </c>
      <c r="O25" s="441" t="str">
        <f>+MID('Input data'!$C$34,9,1)</f>
        <v>v</v>
      </c>
      <c r="P25" s="441" t="str">
        <f>+MID('Input data'!$C$34,10,1)</f>
        <v>a</v>
      </c>
      <c r="Q25" s="441" t="str">
        <f>+MID('Input data'!$C$34,11,1)</f>
        <v xml:space="preserve"> </v>
      </c>
      <c r="R25" s="441" t="str">
        <f>+MID('Input data'!$C$34,12,1)</f>
        <v/>
      </c>
      <c r="S25" s="441" t="str">
        <f>+MID('Input data'!$C$34,13,1)</f>
        <v/>
      </c>
      <c r="T25" s="441" t="str">
        <f>+MID('Input data'!$C$34,14,1)</f>
        <v/>
      </c>
      <c r="U25" s="441" t="str">
        <f>+MID('Input data'!$C$34,15,1)</f>
        <v/>
      </c>
      <c r="V25" s="441" t="str">
        <f>+MID('Input data'!$C$34,16,1)</f>
        <v/>
      </c>
      <c r="W25" s="441" t="str">
        <f>+MID('Input data'!$C$34,17,1)</f>
        <v/>
      </c>
      <c r="X25" s="441" t="str">
        <f>+MID('Input data'!$C$34,18,1)</f>
        <v/>
      </c>
      <c r="Y25" s="441" t="str">
        <f>+MID('Input data'!$C$34,19,1)</f>
        <v/>
      </c>
      <c r="Z25" s="441" t="str">
        <f>+MID('Input data'!$C$34,20,1)</f>
        <v/>
      </c>
      <c r="AA25" s="441" t="str">
        <f>+MID('Input data'!$C$34,21,1)</f>
        <v/>
      </c>
      <c r="AB25" s="441" t="str">
        <f>+MID('Input data'!$C$34,22,1)</f>
        <v/>
      </c>
      <c r="AC25" s="441" t="str">
        <f>+MID('Input data'!$C$34,23,1)</f>
        <v/>
      </c>
      <c r="AD25" s="441" t="str">
        <f>+MID('Input data'!$C$34,24,1)</f>
        <v/>
      </c>
      <c r="AE25" s="441" t="str">
        <f>+MID('Input data'!$C$34,25,1)</f>
        <v/>
      </c>
      <c r="AF25" s="441" t="str">
        <f>+MID('Input data'!$C$34,26,1)</f>
        <v/>
      </c>
      <c r="AG25" s="441" t="str">
        <f>+MID('Input data'!$C$34,27,1)</f>
        <v/>
      </c>
      <c r="AH25" s="441" t="str">
        <f>+MID('Input data'!$C$34,28,1)</f>
        <v/>
      </c>
      <c r="AI25" s="441" t="str">
        <f>+MID('Input data'!$C$34,29,1)</f>
        <v/>
      </c>
      <c r="AJ25" s="441" t="str">
        <f>+MID('Input data'!$C$34,30,1)</f>
        <v/>
      </c>
      <c r="AK25" s="448" t="str">
        <f>+MID('Input data'!$C$34,31,1)</f>
        <v/>
      </c>
    </row>
    <row r="26" spans="1:43">
      <c r="A26" s="446" t="s">
        <v>1437</v>
      </c>
      <c r="B26" s="404"/>
      <c r="C26" s="404"/>
      <c r="D26" s="404"/>
      <c r="E26" s="404"/>
      <c r="F26" s="404"/>
      <c r="G26" s="445"/>
      <c r="H26" s="445"/>
      <c r="I26" s="445"/>
      <c r="J26" s="445"/>
      <c r="K26" s="445"/>
      <c r="L26" s="445"/>
      <c r="M26" s="445"/>
      <c r="N26" s="404"/>
      <c r="O26" s="445" t="s">
        <v>1438</v>
      </c>
      <c r="P26" s="445"/>
      <c r="Q26" s="445"/>
      <c r="R26" s="445"/>
      <c r="S26" s="445"/>
      <c r="T26" s="445"/>
      <c r="U26" s="445"/>
      <c r="V26" s="445"/>
      <c r="W26" s="445"/>
      <c r="X26" s="445"/>
      <c r="Y26" s="445"/>
      <c r="Z26" s="445"/>
      <c r="AA26" s="445"/>
      <c r="AB26" s="445"/>
      <c r="AC26" s="445"/>
      <c r="AD26" s="445"/>
      <c r="AE26" s="399"/>
      <c r="AF26" s="399"/>
      <c r="AG26" s="399"/>
      <c r="AH26" s="399"/>
      <c r="AI26" s="399"/>
      <c r="AJ26" s="399"/>
      <c r="AK26" s="398"/>
    </row>
    <row r="27" spans="1:43" s="530" customFormat="1" ht="19.5" customHeight="1">
      <c r="A27" s="444">
        <v>0</v>
      </c>
      <c r="B27" s="441" t="str">
        <f>+LEFT('Input data'!$C$36,1)</f>
        <v>2</v>
      </c>
      <c r="C27" s="441" t="str">
        <f>+MID('Input data'!$C$36,2,1)</f>
        <v/>
      </c>
      <c r="D27" s="441" t="str">
        <f>+MID('Input data'!$C$36,3,1)</f>
        <v/>
      </c>
      <c r="E27" s="441" t="s">
        <v>1092</v>
      </c>
      <c r="F27" s="441" t="str">
        <f>+LEFT('Input data'!$C$38,1)</f>
        <v>4</v>
      </c>
      <c r="G27" s="441" t="str">
        <f>+MID('Input data'!$C$38,2,1)</f>
        <v>8</v>
      </c>
      <c r="H27" s="441" t="str">
        <f>+MID('Input data'!$C$38,3,1)</f>
        <v>2</v>
      </c>
      <c r="I27" s="441" t="str">
        <f>+MID('Input data'!$C$38,4,1)</f>
        <v>0</v>
      </c>
      <c r="J27" s="441" t="str">
        <f>+MID('Input data'!$C$38,5,1)</f>
        <v>5</v>
      </c>
      <c r="K27" s="441" t="str">
        <f>+MID('Input data'!$C$38,6,1)</f>
        <v>2</v>
      </c>
      <c r="L27" s="441" t="str">
        <f>+MID('Input data'!$C$38,7,1)</f>
        <v>1</v>
      </c>
      <c r="M27" s="441" t="str">
        <f>+MID('Input data'!$C$38,8,1)</f>
        <v>0</v>
      </c>
      <c r="N27" s="443"/>
      <c r="O27" s="442">
        <v>0</v>
      </c>
      <c r="P27" s="441" t="str">
        <f>+LEFT('Input data'!$C$36,1)</f>
        <v>2</v>
      </c>
      <c r="Q27" s="441" t="str">
        <f>+MID('Input data'!$C$36,2,1)</f>
        <v/>
      </c>
      <c r="R27" s="441" t="str">
        <f>+MID('Input data'!$C$36,3,1)</f>
        <v/>
      </c>
      <c r="S27" s="441" t="s">
        <v>1092</v>
      </c>
      <c r="T27" s="441" t="str">
        <f>+LEFT('Input data'!$C$40,1)</f>
        <v>4</v>
      </c>
      <c r="U27" s="441" t="str">
        <f>+MID('Input data'!$C$40,2,1)</f>
        <v>8</v>
      </c>
      <c r="V27" s="441" t="str">
        <f>+MID('Input data'!$C$40,3,1)</f>
        <v>2</v>
      </c>
      <c r="W27" s="441" t="str">
        <f>+MID('Input data'!$C$40,4,1)</f>
        <v>0</v>
      </c>
      <c r="X27" s="441" t="str">
        <f>+MID('Input data'!$C$40,5,1)</f>
        <v>5</v>
      </c>
      <c r="Y27" s="441" t="str">
        <f>+MID('Input data'!$C$40,6,1)</f>
        <v>2</v>
      </c>
      <c r="Z27" s="441" t="str">
        <f>+MID('Input data'!$C$40,7,1)</f>
        <v>3</v>
      </c>
      <c r="AA27" s="441" t="str">
        <f>+MID('Input data'!$C$40,8,1)</f>
        <v>1</v>
      </c>
      <c r="AB27" s="441"/>
      <c r="AC27" s="441"/>
      <c r="AD27" s="441"/>
      <c r="AE27" s="399"/>
      <c r="AF27" s="399"/>
      <c r="AG27" s="399"/>
      <c r="AH27" s="399"/>
      <c r="AI27" s="399"/>
      <c r="AJ27" s="399"/>
      <c r="AK27" s="398"/>
      <c r="AQ27" s="530" t="s">
        <v>1093</v>
      </c>
    </row>
    <row r="28" spans="1:43" s="391" customFormat="1">
      <c r="A28" s="403" t="s">
        <v>1439</v>
      </c>
      <c r="B28" s="402"/>
      <c r="C28" s="402"/>
      <c r="D28" s="402"/>
      <c r="E28" s="402"/>
      <c r="F28" s="402"/>
      <c r="G28" s="402"/>
      <c r="H28" s="402"/>
      <c r="I28" s="402"/>
      <c r="J28" s="402"/>
      <c r="K28" s="402"/>
      <c r="L28" s="402"/>
      <c r="M28" s="402"/>
      <c r="N28" s="402"/>
      <c r="O28" s="402"/>
      <c r="P28" s="402"/>
      <c r="Q28" s="402"/>
      <c r="R28" s="402"/>
      <c r="S28" s="402"/>
      <c r="T28" s="402"/>
      <c r="U28" s="402"/>
      <c r="V28" s="402"/>
      <c r="W28" s="399"/>
      <c r="X28" s="399"/>
      <c r="Y28" s="399"/>
      <c r="Z28" s="399"/>
      <c r="AA28" s="399"/>
      <c r="AB28" s="399"/>
      <c r="AC28" s="399"/>
      <c r="AD28" s="399"/>
      <c r="AE28" s="399"/>
      <c r="AF28" s="399"/>
      <c r="AG28" s="399"/>
      <c r="AH28" s="399"/>
      <c r="AI28" s="399"/>
      <c r="AJ28" s="399"/>
      <c r="AK28" s="398"/>
    </row>
    <row r="29" spans="1:43" s="530" customFormat="1" ht="19.5" customHeight="1" thickBot="1">
      <c r="A29" s="440" t="str">
        <f>+LEFT('Input data'!$B$42,1)</f>
        <v>a</v>
      </c>
      <c r="B29" s="439" t="str">
        <f>+MID('Input data'!$B$42,2,1)</f>
        <v>c</v>
      </c>
      <c r="C29" s="439" t="str">
        <f>+MID('Input data'!$B$42,3,1)</f>
        <v>c</v>
      </c>
      <c r="D29" s="439" t="str">
        <f>+MID('Input data'!$B$42,4,1)</f>
        <v>o</v>
      </c>
      <c r="E29" s="439" t="str">
        <f>+MID('Input data'!$B$42,5,1)</f>
        <v>u</v>
      </c>
      <c r="F29" s="439" t="str">
        <f>+MID('Input data'!$B$42,6,1)</f>
        <v>n</v>
      </c>
      <c r="G29" s="439" t="str">
        <f>+MID('Input data'!$B$42,7,1)</f>
        <v>t</v>
      </c>
      <c r="H29" s="439" t="str">
        <f>+MID('Input data'!$B$42,8,1)</f>
        <v>i</v>
      </c>
      <c r="I29" s="439" t="str">
        <f>+MID('Input data'!$B$42,9,1)</f>
        <v>n</v>
      </c>
      <c r="J29" s="439" t="str">
        <f>+MID('Input data'!$B$42,10,1)</f>
        <v>g</v>
      </c>
      <c r="K29" s="439" t="str">
        <f>+MID('Input data'!$B$42,11,1)</f>
        <v>@</v>
      </c>
      <c r="L29" s="439" t="str">
        <f>+MID('Input data'!$B$42,12,1)</f>
        <v>o</v>
      </c>
      <c r="M29" s="439" t="str">
        <f>+MID('Input data'!$B$42,13,1)</f>
        <v>p</v>
      </c>
      <c r="N29" s="439" t="str">
        <f>+MID('Input data'!$B$42,14,1)</f>
        <v>t</v>
      </c>
      <c r="O29" s="439" t="str">
        <f>+MID('Input data'!$B$42,15,1)</f>
        <v>o</v>
      </c>
      <c r="P29" s="439" t="str">
        <f>+MID('Input data'!$B$42,16,1)</f>
        <v>c</v>
      </c>
      <c r="Q29" s="439" t="str">
        <f>+MID('Input data'!$B$42,17,1)</f>
        <v>o</v>
      </c>
      <c r="R29" s="439" t="str">
        <f>+MID('Input data'!$B$42,18,1)</f>
        <v>n</v>
      </c>
      <c r="S29" s="439" t="str">
        <f>+MID('Input data'!$B$42,19,1)</f>
        <v>.</v>
      </c>
      <c r="T29" s="439" t="str">
        <f>+MID('Input data'!$B$42,20,1)</f>
        <v>s</v>
      </c>
      <c r="U29" s="439" t="str">
        <f>+MID('Input data'!$B$42,21,1)</f>
        <v>k</v>
      </c>
      <c r="V29" s="439" t="str">
        <f>+MID('Input data'!$B$42,22,1)</f>
        <v/>
      </c>
      <c r="W29" s="439" t="str">
        <f>+MID('Input data'!$B$42,23,1)</f>
        <v/>
      </c>
      <c r="X29" s="439" t="str">
        <f>+MID('Input data'!$B$42,24,1)</f>
        <v/>
      </c>
      <c r="Y29" s="439" t="str">
        <f>+MID('Input data'!$B$42,25,1)</f>
        <v/>
      </c>
      <c r="Z29" s="439" t="str">
        <f>+MID('Input data'!$B$42,26,1)</f>
        <v/>
      </c>
      <c r="AA29" s="439" t="str">
        <f>+MID('Input data'!$B$42,27,1)</f>
        <v/>
      </c>
      <c r="AB29" s="439" t="str">
        <f>+MID('Input data'!$B$42,28,1)</f>
        <v/>
      </c>
      <c r="AC29" s="439" t="str">
        <f>+MID('Input data'!$B$42,29,1)</f>
        <v/>
      </c>
      <c r="AD29" s="439" t="str">
        <f>+MID('Input data'!$B$42,30,1)</f>
        <v/>
      </c>
      <c r="AE29" s="439" t="str">
        <f>+MID('Input data'!$B$42,31,1)</f>
        <v/>
      </c>
      <c r="AF29" s="439" t="str">
        <f>+MID('Input data'!$B$42,32,1)</f>
        <v/>
      </c>
      <c r="AG29" s="439" t="str">
        <f>+MID('Input data'!$B$42,33,1)</f>
        <v/>
      </c>
      <c r="AH29" s="439" t="str">
        <f>+MID('Input data'!$B$42,34,1)</f>
        <v/>
      </c>
      <c r="AI29" s="439" t="str">
        <f>+MID('Input data'!$B$42,35,1)</f>
        <v/>
      </c>
      <c r="AJ29" s="439" t="str">
        <f>+MID('Input data'!$B$42,36,1)</f>
        <v/>
      </c>
      <c r="AK29" s="438" t="str">
        <f>+MID('Input data'!$B$42,37,1)</f>
        <v/>
      </c>
    </row>
    <row r="30" spans="1:43" s="391" customFormat="1" ht="4.5" customHeight="1" thickBot="1">
      <c r="W30" s="392"/>
      <c r="X30" s="392"/>
      <c r="Y30" s="392"/>
      <c r="Z30" s="392"/>
      <c r="AA30" s="392"/>
      <c r="AB30" s="392"/>
      <c r="AC30" s="392"/>
      <c r="AD30" s="392"/>
      <c r="AE30" s="392"/>
      <c r="AF30" s="392"/>
      <c r="AG30" s="392"/>
      <c r="AH30" s="392"/>
      <c r="AI30" s="392"/>
      <c r="AJ30" s="392"/>
      <c r="AK30" s="392"/>
    </row>
    <row r="31" spans="1:43" s="434" customFormat="1" ht="12.75" customHeight="1">
      <c r="A31" s="437" t="s">
        <v>1311</v>
      </c>
      <c r="B31" s="436"/>
      <c r="C31" s="436"/>
      <c r="D31" s="436"/>
      <c r="E31" s="436"/>
      <c r="F31" s="436"/>
      <c r="G31" s="436"/>
      <c r="H31" s="436"/>
      <c r="I31" s="436"/>
      <c r="J31" s="436"/>
      <c r="K31" s="830"/>
      <c r="L31" s="830"/>
      <c r="M31" s="2396" t="s">
        <v>1440</v>
      </c>
      <c r="N31" s="2397"/>
      <c r="O31" s="2397"/>
      <c r="P31" s="2397"/>
      <c r="Q31" s="2397"/>
      <c r="R31" s="2397"/>
      <c r="S31" s="2397"/>
      <c r="T31" s="2397"/>
      <c r="U31" s="2398"/>
      <c r="V31" s="1610" t="s">
        <v>1441</v>
      </c>
      <c r="W31" s="1610"/>
      <c r="X31" s="1610"/>
      <c r="Y31" s="1610"/>
      <c r="Z31" s="1610"/>
      <c r="AA31" s="1610"/>
      <c r="AB31" s="1610"/>
      <c r="AC31" s="2298"/>
      <c r="AD31" s="2396" t="s">
        <v>1442</v>
      </c>
      <c r="AE31" s="2397"/>
      <c r="AF31" s="2397"/>
      <c r="AG31" s="2397"/>
      <c r="AH31" s="2397"/>
      <c r="AI31" s="2397"/>
      <c r="AJ31" s="2397"/>
      <c r="AK31" s="2397"/>
      <c r="AL31" s="2402"/>
    </row>
    <row r="32" spans="1:43" s="391" customFormat="1" ht="19.5" customHeight="1">
      <c r="A32" s="420" t="str">
        <f>LEFT(TEXT('Input data'!F34,"dd.m.yyyy"),1)</f>
        <v>1</v>
      </c>
      <c r="B32" s="419" t="str">
        <f>MID(TEXT('Input data'!$F$34,"dd.mm.yyyy"),2,1)</f>
        <v>5</v>
      </c>
      <c r="C32" s="418" t="s">
        <v>1063</v>
      </c>
      <c r="D32" s="419" t="str">
        <f>MID(TEXT('Input data'!$F$34,"dd.mm.yyyy"),4,1)</f>
        <v>0</v>
      </c>
      <c r="E32" s="419" t="str">
        <f>MID(TEXT('Input data'!$F$34,"dd.mm.yyyy"),5,1)</f>
        <v>5</v>
      </c>
      <c r="F32" s="418" t="s">
        <v>1063</v>
      </c>
      <c r="G32" s="419" t="str">
        <f>MID(TEXT('Input data'!$F$34,"dd.mm.yyyy"),7,1)</f>
        <v>2</v>
      </c>
      <c r="H32" s="419" t="str">
        <f>MID(TEXT('Input data'!$F$34,"dd.mm.yyyy"),8,1)</f>
        <v>0</v>
      </c>
      <c r="I32" s="419" t="str">
        <f>MID(TEXT('Input data'!$F$34,"dd.mm.yyyy"),9,1)</f>
        <v>1</v>
      </c>
      <c r="J32" s="419" t="str">
        <f>MID(TEXT('Input data'!$F$34,"dd.mm.yyyy"),10,1)</f>
        <v>8</v>
      </c>
      <c r="K32" s="831"/>
      <c r="L32" s="426"/>
      <c r="M32" s="2399"/>
      <c r="N32" s="2400"/>
      <c r="O32" s="2400"/>
      <c r="P32" s="2400"/>
      <c r="Q32" s="2400"/>
      <c r="R32" s="2400"/>
      <c r="S32" s="2400"/>
      <c r="T32" s="2400"/>
      <c r="U32" s="2401"/>
      <c r="V32" s="1612"/>
      <c r="W32" s="1612"/>
      <c r="X32" s="1612"/>
      <c r="Y32" s="1612"/>
      <c r="Z32" s="1612"/>
      <c r="AA32" s="1612"/>
      <c r="AB32" s="1612"/>
      <c r="AC32" s="2300"/>
      <c r="AD32" s="2399"/>
      <c r="AE32" s="2400"/>
      <c r="AF32" s="2400"/>
      <c r="AG32" s="2400"/>
      <c r="AH32" s="2400"/>
      <c r="AI32" s="2400"/>
      <c r="AJ32" s="2400"/>
      <c r="AK32" s="2400"/>
      <c r="AL32" s="2403"/>
      <c r="AP32" s="529"/>
    </row>
    <row r="33" spans="1:38" s="391" customFormat="1" ht="12.75" customHeight="1">
      <c r="A33" s="432"/>
      <c r="B33" s="431"/>
      <c r="C33" s="431"/>
      <c r="D33" s="431"/>
      <c r="E33" s="431"/>
      <c r="F33" s="431"/>
      <c r="G33" s="431"/>
      <c r="H33" s="431"/>
      <c r="I33" s="431"/>
      <c r="J33" s="431"/>
      <c r="K33" s="832"/>
      <c r="L33" s="832"/>
      <c r="M33" s="2399"/>
      <c r="N33" s="2400"/>
      <c r="O33" s="2400"/>
      <c r="P33" s="2400"/>
      <c r="Q33" s="2400"/>
      <c r="R33" s="2400"/>
      <c r="S33" s="2400"/>
      <c r="T33" s="2400"/>
      <c r="U33" s="2401"/>
      <c r="V33" s="1612"/>
      <c r="W33" s="1612"/>
      <c r="X33" s="1612"/>
      <c r="Y33" s="1612"/>
      <c r="Z33" s="1612"/>
      <c r="AA33" s="1612"/>
      <c r="AB33" s="1612"/>
      <c r="AC33" s="2300"/>
      <c r="AD33" s="2399"/>
      <c r="AE33" s="2400"/>
      <c r="AF33" s="2400"/>
      <c r="AG33" s="2400"/>
      <c r="AH33" s="2400"/>
      <c r="AI33" s="2400"/>
      <c r="AJ33" s="2400"/>
      <c r="AK33" s="2400"/>
      <c r="AL33" s="2403"/>
    </row>
    <row r="34" spans="1:38" s="391" customFormat="1">
      <c r="A34" s="403" t="s">
        <v>1309</v>
      </c>
      <c r="B34" s="402"/>
      <c r="C34" s="402"/>
      <c r="D34" s="402"/>
      <c r="E34" s="402"/>
      <c r="F34" s="402"/>
      <c r="G34" s="402"/>
      <c r="H34" s="402"/>
      <c r="I34" s="402"/>
      <c r="J34" s="402"/>
      <c r="K34" s="426"/>
      <c r="L34" s="833"/>
      <c r="M34" s="426"/>
      <c r="N34" s="426"/>
      <c r="O34" s="426"/>
      <c r="P34" s="426"/>
      <c r="Q34" s="426"/>
      <c r="R34" s="426"/>
      <c r="S34" s="426"/>
      <c r="T34" s="402"/>
      <c r="U34" s="424"/>
      <c r="V34" s="425"/>
      <c r="W34" s="425"/>
      <c r="X34" s="425"/>
      <c r="Y34" s="425"/>
      <c r="Z34" s="425"/>
      <c r="AA34" s="399"/>
      <c r="AB34" s="425"/>
      <c r="AC34" s="424"/>
      <c r="AD34" s="423"/>
      <c r="AE34" s="422"/>
      <c r="AF34" s="422"/>
      <c r="AG34" s="422"/>
      <c r="AH34" s="422"/>
      <c r="AI34" s="422"/>
      <c r="AJ34" s="422"/>
      <c r="AK34" s="422"/>
      <c r="AL34" s="421"/>
    </row>
    <row r="35" spans="1:38" s="391" customFormat="1" ht="19.5" customHeight="1">
      <c r="A35" s="420" t="str">
        <f>IF('Input data'!$F$36="","",LEFT(TEXT('Input data'!$F$36,"dd.mm.yyyy"),1))</f>
        <v/>
      </c>
      <c r="B35" s="419" t="str">
        <f>IF('Input data'!$F$36="","",MID(TEXT('Input data'!$F$36,"dd.mm.yyyy"),2,1))</f>
        <v/>
      </c>
      <c r="C35" s="418" t="s">
        <v>1063</v>
      </c>
      <c r="D35" s="419" t="str">
        <f>IF('Input data'!$F$36="","",MID(TEXT('Input data'!$F$36,"dd.mm.yyyy"),4,1))</f>
        <v/>
      </c>
      <c r="E35" s="419" t="str">
        <f>IF('Input data'!$F$36="","",MID(TEXT('Input data'!$F$36,"dd.mm.yyyy"),5,1))</f>
        <v/>
      </c>
      <c r="F35" s="418" t="s">
        <v>1063</v>
      </c>
      <c r="G35" s="417" t="str">
        <f>IF('Input data'!$F$36="","",MID(TEXT('Input data'!$F$36,"dd.mm.yyyy"),7,1))</f>
        <v/>
      </c>
      <c r="H35" s="417" t="str">
        <f>IF('Input data'!$F$36="","",MID(TEXT('Input data'!$F$36,"dd.mm.yyyy"),8,1))</f>
        <v/>
      </c>
      <c r="I35" s="417" t="str">
        <f>IF('Input data'!$F$36="","",MID(TEXT('Input data'!$F$36,"dd.mm.yyyy"),9,1))</f>
        <v/>
      </c>
      <c r="J35" s="417" t="str">
        <f>IF('Input data'!$F$36="","",MID(TEXT('Input data'!$F$36,"dd.mm.yyyy"),10,1))</f>
        <v/>
      </c>
      <c r="K35" s="834"/>
      <c r="L35" s="528"/>
      <c r="M35" s="402"/>
      <c r="N35" s="402"/>
      <c r="O35" s="402"/>
      <c r="P35" s="402"/>
      <c r="Q35" s="402"/>
      <c r="R35" s="402"/>
      <c r="S35" s="402"/>
      <c r="T35" s="402"/>
      <c r="U35" s="528"/>
      <c r="V35" s="402"/>
      <c r="W35" s="399"/>
      <c r="X35" s="399"/>
      <c r="Y35" s="399"/>
      <c r="Z35" s="399"/>
      <c r="AA35" s="399"/>
      <c r="AB35" s="399"/>
      <c r="AC35" s="527"/>
      <c r="AD35" s="399"/>
      <c r="AE35" s="399"/>
      <c r="AF35" s="399"/>
      <c r="AG35" s="399"/>
      <c r="AH35" s="399"/>
      <c r="AI35" s="399"/>
      <c r="AJ35" s="399"/>
      <c r="AK35" s="399"/>
      <c r="AL35" s="398"/>
    </row>
    <row r="36" spans="1:38" s="397" customFormat="1" thickBot="1">
      <c r="A36" s="412"/>
      <c r="B36" s="411"/>
      <c r="C36" s="411"/>
      <c r="D36" s="411"/>
      <c r="E36" s="411"/>
      <c r="F36" s="411"/>
      <c r="G36" s="411"/>
      <c r="H36" s="411"/>
      <c r="I36" s="411"/>
      <c r="J36" s="411"/>
      <c r="K36" s="411"/>
      <c r="L36" s="410"/>
      <c r="M36" s="2301">
        <f>'Input data'!F40</f>
        <v>0</v>
      </c>
      <c r="N36" s="2302"/>
      <c r="O36" s="2302"/>
      <c r="P36" s="2302"/>
      <c r="Q36" s="2302"/>
      <c r="R36" s="2302"/>
      <c r="S36" s="2302"/>
      <c r="T36" s="2302"/>
      <c r="U36" s="2303"/>
      <c r="V36" s="2301" t="e">
        <f>'Input data'!#REF!</f>
        <v>#REF!</v>
      </c>
      <c r="W36" s="2302"/>
      <c r="X36" s="2302"/>
      <c r="Y36" s="2302"/>
      <c r="Z36" s="2302"/>
      <c r="AA36" s="2302"/>
      <c r="AB36" s="2302"/>
      <c r="AC36" s="2303"/>
      <c r="AD36" s="2304" t="e">
        <f>'Input data'!#REF!</f>
        <v>#REF!</v>
      </c>
      <c r="AE36" s="2302"/>
      <c r="AF36" s="2302"/>
      <c r="AG36" s="2302"/>
      <c r="AH36" s="2302"/>
      <c r="AI36" s="2302"/>
      <c r="AJ36" s="2302"/>
      <c r="AK36" s="2302"/>
      <c r="AL36" s="2305"/>
    </row>
    <row r="37" spans="1:38" s="397" customFormat="1">
      <c r="W37" s="392"/>
      <c r="X37" s="392"/>
      <c r="Y37" s="392"/>
      <c r="Z37" s="392"/>
      <c r="AA37" s="392"/>
      <c r="AB37" s="392"/>
      <c r="AC37" s="392"/>
      <c r="AD37" s="392"/>
      <c r="AE37" s="392"/>
      <c r="AF37" s="392"/>
      <c r="AG37" s="392"/>
      <c r="AH37" s="392"/>
      <c r="AI37" s="392"/>
      <c r="AJ37" s="392"/>
      <c r="AK37" s="392"/>
    </row>
    <row r="38" spans="1:38" s="397" customFormat="1">
      <c r="W38" s="392"/>
      <c r="X38" s="392"/>
      <c r="Y38" s="392"/>
      <c r="Z38" s="392"/>
      <c r="AA38" s="392"/>
      <c r="AB38" s="392"/>
      <c r="AC38" s="392"/>
      <c r="AD38" s="392"/>
      <c r="AE38" s="392"/>
      <c r="AF38" s="392"/>
      <c r="AG38" s="392"/>
      <c r="AH38" s="392"/>
      <c r="AI38" s="392"/>
      <c r="AJ38" s="392"/>
      <c r="AK38" s="392"/>
    </row>
    <row r="39" spans="1:38" s="397" customFormat="1">
      <c r="W39" s="392"/>
      <c r="X39" s="392"/>
      <c r="Y39" s="392"/>
      <c r="Z39" s="392"/>
      <c r="AA39" s="392"/>
      <c r="AB39" s="392"/>
      <c r="AC39" s="392"/>
      <c r="AD39" s="392"/>
      <c r="AE39" s="392"/>
      <c r="AF39" s="392"/>
      <c r="AG39" s="392"/>
      <c r="AH39" s="392"/>
      <c r="AI39" s="392"/>
      <c r="AJ39" s="392"/>
      <c r="AK39" s="392"/>
    </row>
    <row r="40" spans="1:38" ht="13.5" thickBot="1">
      <c r="W40" s="392"/>
      <c r="X40" s="392"/>
      <c r="Y40" s="392"/>
      <c r="Z40" s="392"/>
      <c r="AA40" s="392"/>
      <c r="AB40" s="392"/>
      <c r="AC40" s="392"/>
      <c r="AD40" s="392"/>
      <c r="AE40" s="392"/>
      <c r="AF40" s="392"/>
      <c r="AG40" s="392"/>
      <c r="AH40" s="392"/>
      <c r="AI40" s="392"/>
      <c r="AJ40" s="392"/>
      <c r="AK40" s="392"/>
    </row>
    <row r="41" spans="1:38" s="397" customFormat="1">
      <c r="B41" s="409" t="s">
        <v>1443</v>
      </c>
      <c r="C41" s="408"/>
      <c r="D41" s="408"/>
      <c r="E41" s="408"/>
      <c r="F41" s="408"/>
      <c r="G41" s="408"/>
      <c r="H41" s="408"/>
      <c r="I41" s="408"/>
      <c r="J41" s="408"/>
      <c r="K41" s="408"/>
      <c r="L41" s="408"/>
      <c r="M41" s="408"/>
      <c r="N41" s="408"/>
      <c r="O41" s="408"/>
      <c r="P41" s="408"/>
      <c r="Q41" s="408"/>
      <c r="R41" s="408"/>
      <c r="S41" s="408"/>
      <c r="T41" s="408"/>
      <c r="U41" s="408"/>
      <c r="V41" s="408"/>
      <c r="W41" s="407"/>
      <c r="X41" s="407"/>
      <c r="Y41" s="407"/>
      <c r="Z41" s="407"/>
      <c r="AA41" s="407"/>
      <c r="AB41" s="407"/>
      <c r="AC41" s="407"/>
      <c r="AD41" s="407"/>
      <c r="AE41" s="407"/>
      <c r="AF41" s="407"/>
      <c r="AG41" s="407"/>
      <c r="AH41" s="407"/>
      <c r="AI41" s="407"/>
      <c r="AJ41" s="406"/>
      <c r="AK41" s="392"/>
    </row>
    <row r="42" spans="1:38" s="397" customFormat="1">
      <c r="B42" s="401"/>
      <c r="C42" s="400"/>
      <c r="D42" s="400"/>
      <c r="E42" s="400"/>
      <c r="F42" s="400"/>
      <c r="G42" s="400"/>
      <c r="H42" s="400"/>
      <c r="I42" s="400"/>
      <c r="J42" s="400"/>
      <c r="K42" s="400"/>
      <c r="L42" s="400"/>
      <c r="M42" s="400"/>
      <c r="N42" s="400"/>
      <c r="O42" s="400"/>
      <c r="P42" s="400"/>
      <c r="Q42" s="400"/>
      <c r="R42" s="400"/>
      <c r="S42" s="400"/>
      <c r="T42" s="400"/>
      <c r="U42" s="400"/>
      <c r="V42" s="400"/>
      <c r="W42" s="399"/>
      <c r="X42" s="399"/>
      <c r="Y42" s="399"/>
      <c r="Z42" s="399"/>
      <c r="AA42" s="399"/>
      <c r="AB42" s="399"/>
      <c r="AC42" s="399"/>
      <c r="AD42" s="399"/>
      <c r="AE42" s="399"/>
      <c r="AF42" s="399"/>
      <c r="AG42" s="399"/>
      <c r="AH42" s="399"/>
      <c r="AI42" s="399"/>
      <c r="AJ42" s="398"/>
      <c r="AK42" s="392"/>
    </row>
    <row r="43" spans="1:38">
      <c r="B43" s="405"/>
      <c r="C43" s="404"/>
      <c r="D43" s="404"/>
      <c r="E43" s="404"/>
      <c r="F43" s="404"/>
      <c r="G43" s="404"/>
      <c r="H43" s="404"/>
      <c r="I43" s="404"/>
      <c r="J43" s="404"/>
      <c r="K43" s="404"/>
      <c r="L43" s="404"/>
      <c r="M43" s="404"/>
      <c r="N43" s="404"/>
      <c r="O43" s="404"/>
      <c r="P43" s="404"/>
      <c r="Q43" s="404"/>
      <c r="R43" s="404"/>
      <c r="S43" s="404"/>
      <c r="T43" s="404"/>
      <c r="U43" s="404"/>
      <c r="V43" s="404"/>
      <c r="W43" s="399"/>
      <c r="X43" s="399"/>
      <c r="Y43" s="399"/>
      <c r="Z43" s="399"/>
      <c r="AA43" s="399"/>
      <c r="AB43" s="399"/>
      <c r="AC43" s="399"/>
      <c r="AD43" s="399"/>
      <c r="AE43" s="399"/>
      <c r="AF43" s="399"/>
      <c r="AG43" s="399"/>
      <c r="AH43" s="399"/>
      <c r="AI43" s="399"/>
      <c r="AJ43" s="398"/>
      <c r="AK43" s="392"/>
    </row>
    <row r="44" spans="1:38" s="397" customFormat="1">
      <c r="B44" s="401"/>
      <c r="C44" s="400"/>
      <c r="D44" s="400"/>
      <c r="E44" s="400"/>
      <c r="F44" s="400"/>
      <c r="G44" s="400"/>
      <c r="H44" s="400"/>
      <c r="I44" s="400"/>
      <c r="J44" s="400"/>
      <c r="K44" s="400"/>
      <c r="L44" s="400"/>
      <c r="M44" s="400"/>
      <c r="N44" s="400"/>
      <c r="O44" s="400"/>
      <c r="P44" s="400"/>
      <c r="Q44" s="400"/>
      <c r="R44" s="400"/>
      <c r="S44" s="400"/>
      <c r="T44" s="400"/>
      <c r="U44" s="400"/>
      <c r="V44" s="400"/>
      <c r="W44" s="399"/>
      <c r="X44" s="399"/>
      <c r="Y44" s="399"/>
      <c r="Z44" s="399"/>
      <c r="AA44" s="399"/>
      <c r="AB44" s="399"/>
      <c r="AC44" s="399"/>
      <c r="AD44" s="399"/>
      <c r="AE44" s="399"/>
      <c r="AF44" s="399"/>
      <c r="AG44" s="399"/>
      <c r="AH44" s="399"/>
      <c r="AI44" s="399"/>
      <c r="AJ44" s="398"/>
      <c r="AK44" s="392"/>
    </row>
    <row r="45" spans="1:38" s="391" customFormat="1">
      <c r="B45" s="403"/>
      <c r="C45" s="402"/>
      <c r="D45" s="402"/>
      <c r="E45" s="402"/>
      <c r="F45" s="402"/>
      <c r="G45" s="402"/>
      <c r="H45" s="402"/>
      <c r="I45" s="402"/>
      <c r="J45" s="402"/>
      <c r="K45" s="402"/>
      <c r="L45" s="402"/>
      <c r="M45" s="402"/>
      <c r="N45" s="402"/>
      <c r="O45" s="402"/>
      <c r="P45" s="402"/>
      <c r="Q45" s="402"/>
      <c r="R45" s="402"/>
      <c r="S45" s="402"/>
      <c r="T45" s="402"/>
      <c r="U45" s="402"/>
      <c r="V45" s="402"/>
      <c r="W45" s="399"/>
      <c r="X45" s="399"/>
      <c r="Y45" s="399"/>
      <c r="Z45" s="399"/>
      <c r="AA45" s="399"/>
      <c r="AB45" s="399"/>
      <c r="AC45" s="399"/>
      <c r="AD45" s="399"/>
      <c r="AE45" s="399"/>
      <c r="AF45" s="399"/>
      <c r="AG45" s="399"/>
      <c r="AH45" s="399"/>
      <c r="AI45" s="399"/>
      <c r="AJ45" s="398"/>
      <c r="AK45" s="392"/>
    </row>
    <row r="46" spans="1:38" s="391" customFormat="1">
      <c r="B46" s="403"/>
      <c r="C46" s="402"/>
      <c r="D46" s="402"/>
      <c r="E46" s="402"/>
      <c r="F46" s="402"/>
      <c r="G46" s="402"/>
      <c r="H46" s="402"/>
      <c r="I46" s="402"/>
      <c r="J46" s="402"/>
      <c r="K46" s="402"/>
      <c r="L46" s="402"/>
      <c r="M46" s="402"/>
      <c r="N46" s="402"/>
      <c r="O46" s="402"/>
      <c r="P46" s="402"/>
      <c r="Q46" s="402"/>
      <c r="R46" s="402"/>
      <c r="S46" s="402"/>
      <c r="T46" s="402"/>
      <c r="U46" s="402"/>
      <c r="V46" s="402"/>
      <c r="W46" s="399"/>
      <c r="X46" s="399"/>
      <c r="Y46" s="399"/>
      <c r="Z46" s="399"/>
      <c r="AA46" s="399"/>
      <c r="AB46" s="399"/>
      <c r="AC46" s="399"/>
      <c r="AD46" s="399"/>
      <c r="AE46" s="399"/>
      <c r="AF46" s="399"/>
      <c r="AG46" s="399"/>
      <c r="AH46" s="399"/>
      <c r="AI46" s="399"/>
      <c r="AJ46" s="398"/>
      <c r="AK46" s="392"/>
    </row>
    <row r="47" spans="1:38" s="397" customFormat="1">
      <c r="B47" s="401"/>
      <c r="C47" s="400"/>
      <c r="D47" s="400"/>
      <c r="E47" s="400"/>
      <c r="F47" s="400"/>
      <c r="G47" s="400"/>
      <c r="H47" s="400"/>
      <c r="I47" s="400"/>
      <c r="J47" s="400"/>
      <c r="K47" s="400"/>
      <c r="L47" s="400"/>
      <c r="M47" s="400"/>
      <c r="N47" s="400"/>
      <c r="O47" s="400"/>
      <c r="P47" s="400"/>
      <c r="Q47" s="400"/>
      <c r="R47" s="400"/>
      <c r="S47" s="400"/>
      <c r="T47" s="400"/>
      <c r="U47" s="400"/>
      <c r="V47" s="400"/>
      <c r="W47" s="399"/>
      <c r="X47" s="399"/>
      <c r="Y47" s="399"/>
      <c r="Z47" s="399"/>
      <c r="AA47" s="399"/>
      <c r="AB47" s="399"/>
      <c r="AC47" s="399"/>
      <c r="AD47" s="399"/>
      <c r="AE47" s="399"/>
      <c r="AF47" s="399"/>
      <c r="AG47" s="399"/>
      <c r="AH47" s="399"/>
      <c r="AI47" s="399"/>
      <c r="AJ47" s="398"/>
      <c r="AK47" s="392"/>
    </row>
    <row r="48" spans="1:38" s="397" customFormat="1">
      <c r="B48" s="401"/>
      <c r="C48" s="400"/>
      <c r="D48" s="400"/>
      <c r="E48" s="400"/>
      <c r="F48" s="400"/>
      <c r="G48" s="400"/>
      <c r="H48" s="400"/>
      <c r="I48" s="400"/>
      <c r="J48" s="400"/>
      <c r="K48" s="400"/>
      <c r="L48" s="400"/>
      <c r="M48" s="400"/>
      <c r="N48" s="400"/>
      <c r="O48" s="400"/>
      <c r="P48" s="400"/>
      <c r="Q48" s="400"/>
      <c r="R48" s="400"/>
      <c r="S48" s="400"/>
      <c r="T48" s="400"/>
      <c r="U48" s="400"/>
      <c r="V48" s="400"/>
      <c r="W48" s="399"/>
      <c r="X48" s="399"/>
      <c r="Y48" s="399"/>
      <c r="Z48" s="399"/>
      <c r="AA48" s="399"/>
      <c r="AB48" s="399"/>
      <c r="AC48" s="399"/>
      <c r="AD48" s="399"/>
      <c r="AE48" s="399"/>
      <c r="AF48" s="399"/>
      <c r="AG48" s="399"/>
      <c r="AH48" s="399"/>
      <c r="AI48" s="399"/>
      <c r="AJ48" s="398"/>
      <c r="AK48" s="392"/>
    </row>
    <row r="49" spans="2:37" s="397" customFormat="1">
      <c r="B49" s="401"/>
      <c r="C49" s="400"/>
      <c r="D49" s="400"/>
      <c r="E49" s="400"/>
      <c r="F49" s="400"/>
      <c r="G49" s="400"/>
      <c r="H49" s="400"/>
      <c r="I49" s="400"/>
      <c r="J49" s="400"/>
      <c r="K49" s="400"/>
      <c r="L49" s="400"/>
      <c r="M49" s="400"/>
      <c r="N49" s="400"/>
      <c r="O49" s="400"/>
      <c r="P49" s="400"/>
      <c r="Q49" s="400"/>
      <c r="R49" s="400"/>
      <c r="S49" s="400"/>
      <c r="T49" s="400"/>
      <c r="U49" s="400"/>
      <c r="V49" s="400"/>
      <c r="W49" s="399"/>
      <c r="X49" s="399"/>
      <c r="Y49" s="399"/>
      <c r="Z49" s="399"/>
      <c r="AA49" s="399"/>
      <c r="AB49" s="399"/>
      <c r="AC49" s="399"/>
      <c r="AD49" s="399"/>
      <c r="AE49" s="399"/>
      <c r="AF49" s="399"/>
      <c r="AG49" s="399"/>
      <c r="AH49" s="399"/>
      <c r="AI49" s="399"/>
      <c r="AJ49" s="398"/>
      <c r="AK49" s="392"/>
    </row>
    <row r="50" spans="2:37" s="397" customFormat="1">
      <c r="B50" s="401"/>
      <c r="C50" s="400"/>
      <c r="D50" s="400"/>
      <c r="E50" s="400"/>
      <c r="F50" s="400"/>
      <c r="G50" s="400"/>
      <c r="H50" s="400"/>
      <c r="I50" s="400"/>
      <c r="J50" s="400"/>
      <c r="K50" s="400"/>
      <c r="L50" s="400"/>
      <c r="M50" s="400"/>
      <c r="N50" s="400"/>
      <c r="O50" s="400"/>
      <c r="P50" s="400"/>
      <c r="Q50" s="400"/>
      <c r="R50" s="400"/>
      <c r="S50" s="400"/>
      <c r="T50" s="400"/>
      <c r="U50" s="400"/>
      <c r="V50" s="400"/>
      <c r="W50" s="399"/>
      <c r="X50" s="399"/>
      <c r="Y50" s="399"/>
      <c r="Z50" s="399"/>
      <c r="AA50" s="399"/>
      <c r="AB50" s="399"/>
      <c r="AC50" s="399"/>
      <c r="AD50" s="399"/>
      <c r="AE50" s="399"/>
      <c r="AF50" s="399"/>
      <c r="AG50" s="399"/>
      <c r="AH50" s="399"/>
      <c r="AI50" s="399"/>
      <c r="AJ50" s="398"/>
      <c r="AK50" s="392"/>
    </row>
    <row r="51" spans="2:37" s="391" customFormat="1" ht="13.5" thickBot="1">
      <c r="B51" s="396"/>
      <c r="C51" s="395"/>
      <c r="D51" s="395"/>
      <c r="E51" s="395"/>
      <c r="F51" s="395"/>
      <c r="G51" s="395" t="s">
        <v>1444</v>
      </c>
      <c r="H51" s="395"/>
      <c r="I51" s="395"/>
      <c r="J51" s="395"/>
      <c r="K51" s="395"/>
      <c r="L51" s="395"/>
      <c r="M51" s="395"/>
      <c r="N51" s="395"/>
      <c r="O51" s="395"/>
      <c r="P51" s="395"/>
      <c r="Q51" s="395"/>
      <c r="R51" s="395"/>
      <c r="S51" s="395"/>
      <c r="T51" s="395"/>
      <c r="U51" s="395" t="s">
        <v>1445</v>
      </c>
      <c r="V51" s="395"/>
      <c r="W51" s="394"/>
      <c r="X51" s="394"/>
      <c r="Y51" s="394"/>
      <c r="Z51" s="394"/>
      <c r="AA51" s="394"/>
      <c r="AB51" s="394"/>
      <c r="AC51" s="394"/>
      <c r="AD51" s="394"/>
      <c r="AE51" s="394"/>
      <c r="AF51" s="394"/>
      <c r="AG51" s="394"/>
      <c r="AH51" s="394"/>
      <c r="AI51" s="394"/>
      <c r="AJ51" s="393"/>
      <c r="AK51" s="392"/>
    </row>
  </sheetData>
  <mergeCells count="9">
    <mergeCell ref="M36:U36"/>
    <mergeCell ref="V36:AC36"/>
    <mergeCell ref="AD36:AL36"/>
    <mergeCell ref="N1:X3"/>
    <mergeCell ref="J4:K4"/>
    <mergeCell ref="W13:AA15"/>
    <mergeCell ref="M31:U33"/>
    <mergeCell ref="V31:AC33"/>
    <mergeCell ref="AD31:AL33"/>
  </mergeCells>
  <pageMargins left="0.39370078740157483" right="0.39370078740157483" top="0.35433070866141736" bottom="0.35433070866141736" header="0.23622047244094491" footer="0.23622047244094491"/>
  <pageSetup orientation="portrait" r:id="rId1"/>
  <headerFooter alignWithMargins="0">
    <oddFooter>&amp;LMF SR č. 24219/3/2008/1&amp;RPage 1</odd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outlinePr summaryBelow="0" summaryRight="0"/>
  </sheetPr>
  <dimension ref="A1:O74"/>
  <sheetViews>
    <sheetView showGridLines="0" view="pageBreakPreview" zoomScaleNormal="100" zoomScaleSheetLayoutView="100" workbookViewId="0"/>
  </sheetViews>
  <sheetFormatPr defaultColWidth="9.140625" defaultRowHeight="10.5"/>
  <cols>
    <col min="1" max="1" width="4.42578125" style="1238" customWidth="1"/>
    <col min="2" max="2" width="15.5703125" style="1238" customWidth="1"/>
    <col min="3" max="3" width="4.85546875" style="1238" customWidth="1"/>
    <col min="4" max="4" width="23.85546875" style="1238" customWidth="1"/>
    <col min="5" max="5" width="0.5703125" style="1238" customWidth="1"/>
    <col min="6" max="6" width="6.42578125" style="1238" customWidth="1"/>
    <col min="7" max="8" width="22.85546875" style="1238" customWidth="1"/>
    <col min="9" max="10" width="9.140625" style="1238"/>
    <col min="11" max="11" width="9.42578125" style="1238" customWidth="1"/>
    <col min="12" max="12" width="39.5703125" style="1238" customWidth="1"/>
    <col min="13" max="15" width="9.140625" style="1238" customWidth="1"/>
    <col min="16" max="16384" width="9.140625" style="1238"/>
  </cols>
  <sheetData>
    <row r="1" spans="1:15" s="1179" customFormat="1" ht="15" customHeight="1">
      <c r="A1" s="1178"/>
      <c r="D1" s="1180"/>
      <c r="E1" s="1180"/>
      <c r="F1" s="1180"/>
      <c r="I1" s="1180"/>
      <c r="J1" s="1180"/>
    </row>
    <row r="2" spans="1:15" s="1179" customFormat="1" ht="23.25" customHeight="1">
      <c r="A2" s="1178"/>
      <c r="B2" s="1166" t="s">
        <v>2589</v>
      </c>
      <c r="C2" s="525" t="s">
        <v>2586</v>
      </c>
      <c r="D2" s="1268" t="str">
        <f>'BS-SK Statutory'!E2</f>
        <v xml:space="preserve">  2  0  2  0  3  1  9  8  2  9</v>
      </c>
      <c r="E2" s="581"/>
      <c r="F2" s="1213" t="s">
        <v>2590</v>
      </c>
      <c r="G2" s="1267" t="str">
        <f>'BS-SK Statutory'!J2</f>
        <v xml:space="preserve">  3  1  3  6  5  5  0  7 </v>
      </c>
    </row>
    <row r="3" spans="1:15" s="1179" customFormat="1" ht="2.25" customHeight="1" thickBot="1">
      <c r="A3" s="1178"/>
      <c r="B3" s="1225"/>
      <c r="C3" s="1180"/>
      <c r="D3" s="1180"/>
      <c r="E3" s="1180"/>
    </row>
    <row r="4" spans="1:15" s="1230" customFormat="1" ht="11.25" customHeight="1">
      <c r="A4" s="1226"/>
      <c r="B4" s="1227"/>
      <c r="C4" s="1266"/>
      <c r="D4" s="1266"/>
      <c r="E4" s="1228"/>
      <c r="F4" s="1229"/>
      <c r="G4" s="1633" t="s">
        <v>1527</v>
      </c>
      <c r="H4" s="1744"/>
    </row>
    <row r="5" spans="1:15" s="1230" customFormat="1" ht="33.75" customHeight="1">
      <c r="A5" s="1283" t="s">
        <v>1447</v>
      </c>
      <c r="B5" s="1620" t="s">
        <v>1298</v>
      </c>
      <c r="C5" s="1738"/>
      <c r="D5" s="1738"/>
      <c r="E5" s="1278"/>
      <c r="F5" s="1280" t="s">
        <v>1528</v>
      </c>
      <c r="G5" s="1281" t="s">
        <v>1529</v>
      </c>
      <c r="H5" s="1232" t="s">
        <v>1530</v>
      </c>
    </row>
    <row r="6" spans="1:15" s="1230" customFormat="1" ht="29.65" customHeight="1">
      <c r="A6" s="1200" t="s">
        <v>880</v>
      </c>
      <c r="B6" s="1712" t="str">
        <f>L6</f>
        <v>Net turnover (part of acc. group 6 as defined by the law)</v>
      </c>
      <c r="C6" s="1713"/>
      <c r="D6" s="1713"/>
      <c r="E6" s="1714"/>
      <c r="F6" s="1196" t="s">
        <v>814</v>
      </c>
      <c r="G6" s="1279">
        <f>'P&amp;L'!D9</f>
        <v>5307380</v>
      </c>
      <c r="H6" s="1284">
        <f>'P&amp;L'!E9</f>
        <v>5338141</v>
      </c>
      <c r="L6" s="2510" t="s">
        <v>2346</v>
      </c>
      <c r="M6" s="2510"/>
      <c r="N6" s="2510"/>
      <c r="O6" s="2510"/>
    </row>
    <row r="7" spans="1:15" s="1230" customFormat="1" ht="29.65" customHeight="1">
      <c r="A7" s="1200" t="s">
        <v>942</v>
      </c>
      <c r="B7" s="1712" t="str">
        <f t="shared" ref="B7:B32" si="0">L7</f>
        <v>Revenues from operating activities total (l. 03 to l. 09)</v>
      </c>
      <c r="C7" s="1713"/>
      <c r="D7" s="1713"/>
      <c r="E7" s="1714"/>
      <c r="F7" s="1196" t="s">
        <v>817</v>
      </c>
      <c r="G7" s="1279">
        <f>'P&amp;L'!D10</f>
        <v>5384434</v>
      </c>
      <c r="H7" s="1233">
        <f>'P&amp;L'!E10</f>
        <v>5319172</v>
      </c>
      <c r="L7" s="2510" t="s">
        <v>2347</v>
      </c>
      <c r="M7" s="2510"/>
      <c r="N7" s="2510"/>
      <c r="O7" s="2510"/>
    </row>
    <row r="8" spans="1:15" s="1235" customFormat="1" ht="29.65" customHeight="1">
      <c r="A8" s="1269" t="s">
        <v>877</v>
      </c>
      <c r="B8" s="1717" t="str">
        <f t="shared" si="0"/>
        <v>Revenues from merchandise (604,607)</v>
      </c>
      <c r="C8" s="1718"/>
      <c r="D8" s="1718"/>
      <c r="E8" s="1719"/>
      <c r="F8" s="1198" t="s">
        <v>820</v>
      </c>
      <c r="G8" s="1282">
        <f>'P&amp;L'!D11</f>
        <v>2493976</v>
      </c>
      <c r="H8" s="1234">
        <f>'P&amp;L'!E11</f>
        <v>2351345</v>
      </c>
      <c r="L8" s="2510" t="s">
        <v>1381</v>
      </c>
      <c r="M8" s="2510"/>
      <c r="N8" s="2510"/>
      <c r="O8" s="2510"/>
    </row>
    <row r="9" spans="1:15" s="1235" customFormat="1" ht="29.65" customHeight="1">
      <c r="A9" s="1269" t="s">
        <v>2348</v>
      </c>
      <c r="B9" s="1717" t="str">
        <f t="shared" si="0"/>
        <v>Revenues from own products (601)</v>
      </c>
      <c r="C9" s="1718"/>
      <c r="D9" s="1718"/>
      <c r="E9" s="1719"/>
      <c r="F9" s="1198" t="s">
        <v>823</v>
      </c>
      <c r="G9" s="1282">
        <f>'P&amp;L'!D12</f>
        <v>2645663</v>
      </c>
      <c r="H9" s="1234">
        <f>'P&amp;L'!E12</f>
        <v>2822910</v>
      </c>
      <c r="L9" s="2510" t="s">
        <v>2349</v>
      </c>
      <c r="M9" s="2510"/>
      <c r="N9" s="2510"/>
      <c r="O9" s="2510"/>
    </row>
    <row r="10" spans="1:15" s="1230" customFormat="1" ht="29.65" customHeight="1">
      <c r="A10" s="1269" t="s">
        <v>2350</v>
      </c>
      <c r="B10" s="1717" t="str">
        <f t="shared" si="0"/>
        <v>Revenues from services (602, 606)</v>
      </c>
      <c r="C10" s="1718"/>
      <c r="D10" s="1718"/>
      <c r="E10" s="1719"/>
      <c r="F10" s="1198" t="s">
        <v>826</v>
      </c>
      <c r="G10" s="1282">
        <f>'P&amp;L'!D13</f>
        <v>167741</v>
      </c>
      <c r="H10" s="1234">
        <f>'P&amp;L'!E13</f>
        <v>163886</v>
      </c>
      <c r="L10" s="2510" t="s">
        <v>2351</v>
      </c>
      <c r="M10" s="2510"/>
      <c r="N10" s="2510"/>
      <c r="O10" s="2510"/>
    </row>
    <row r="11" spans="1:15" s="1230" customFormat="1" ht="29.65" customHeight="1">
      <c r="A11" s="1269" t="s">
        <v>2352</v>
      </c>
      <c r="B11" s="1717" t="str">
        <f t="shared" si="0"/>
        <v>Change in stock of finished goods and work in progress  (+/- acc. group 61)</v>
      </c>
      <c r="C11" s="1718"/>
      <c r="D11" s="1718"/>
      <c r="E11" s="1719"/>
      <c r="F11" s="1198" t="s">
        <v>828</v>
      </c>
      <c r="G11" s="1282">
        <f>'P&amp;L'!D14</f>
        <v>-408</v>
      </c>
      <c r="H11" s="1234">
        <f>'P&amp;L'!E14</f>
        <v>-19885</v>
      </c>
      <c r="L11" s="2510" t="s">
        <v>827</v>
      </c>
      <c r="M11" s="2510"/>
      <c r="N11" s="2510"/>
      <c r="O11" s="2510"/>
    </row>
    <row r="12" spans="1:15" s="1230" customFormat="1" ht="29.65" customHeight="1">
      <c r="A12" s="1269" t="s">
        <v>976</v>
      </c>
      <c r="B12" s="1717" t="str">
        <f t="shared" si="0"/>
        <v xml:space="preserve">Own work capitalized (acc. group 62)     </v>
      </c>
      <c r="C12" s="1718"/>
      <c r="D12" s="1718"/>
      <c r="E12" s="1719"/>
      <c r="F12" s="1198" t="s">
        <v>830</v>
      </c>
      <c r="G12" s="1282">
        <f>'P&amp;L'!D15</f>
        <v>0</v>
      </c>
      <c r="H12" s="1234">
        <f>'P&amp;L'!E15</f>
        <v>0</v>
      </c>
      <c r="L12" s="2510" t="s">
        <v>2717</v>
      </c>
      <c r="M12" s="2510"/>
      <c r="N12" s="2510"/>
      <c r="O12" s="2510"/>
    </row>
    <row r="13" spans="1:15" s="1235" customFormat="1" ht="31.5" customHeight="1">
      <c r="A13" s="1269" t="s">
        <v>2353</v>
      </c>
      <c r="B13" s="1717" t="str">
        <f t="shared" si="0"/>
        <v>Revenue from sale of non-current assets and material (641, 642)</v>
      </c>
      <c r="C13" s="1718"/>
      <c r="D13" s="1718"/>
      <c r="E13" s="1719"/>
      <c r="F13" s="1198" t="s">
        <v>832</v>
      </c>
      <c r="G13" s="1282">
        <f>'P&amp;L'!D16</f>
        <v>9584</v>
      </c>
      <c r="H13" s="1234">
        <f>'P&amp;L'!E16</f>
        <v>0</v>
      </c>
      <c r="L13" s="2510" t="s">
        <v>860</v>
      </c>
      <c r="M13" s="2510"/>
      <c r="N13" s="2510"/>
      <c r="O13" s="2510"/>
    </row>
    <row r="14" spans="1:15" s="1230" customFormat="1" ht="29.65" customHeight="1">
      <c r="A14" s="1269" t="s">
        <v>2354</v>
      </c>
      <c r="B14" s="1717" t="str">
        <f t="shared" si="0"/>
        <v>Other operating revenues (644, 645, 646, 648, 655, 657)</v>
      </c>
      <c r="C14" s="1718"/>
      <c r="D14" s="1718"/>
      <c r="E14" s="1719"/>
      <c r="F14" s="1198" t="s">
        <v>835</v>
      </c>
      <c r="G14" s="1282">
        <f>'P&amp;L'!D17</f>
        <v>67878</v>
      </c>
      <c r="H14" s="1234">
        <f>'P&amp;L'!E17</f>
        <v>916</v>
      </c>
      <c r="L14" s="2510" t="s">
        <v>869</v>
      </c>
      <c r="M14" s="2510"/>
      <c r="N14" s="2510"/>
      <c r="O14" s="2510"/>
    </row>
    <row r="15" spans="1:15" s="1230" customFormat="1" ht="29.65" customHeight="1">
      <c r="A15" s="1270" t="s">
        <v>942</v>
      </c>
      <c r="B15" s="1712" t="str">
        <f t="shared" si="0"/>
        <v>Operating expenses total (l. 11 + l. 12 + l. 13 + l. 14 + l. 15 + l. 20 + l. 21 + l. 24 + l. 25 + l. 26)</v>
      </c>
      <c r="C15" s="1713"/>
      <c r="D15" s="1713"/>
      <c r="E15" s="1714"/>
      <c r="F15" s="1196" t="s">
        <v>838</v>
      </c>
      <c r="G15" s="1279">
        <f>'P&amp;L'!D18</f>
        <v>5183863</v>
      </c>
      <c r="H15" s="1233">
        <f>'P&amp;L'!E18</f>
        <v>4969185</v>
      </c>
      <c r="L15" s="2510" t="s">
        <v>2355</v>
      </c>
      <c r="M15" s="2510"/>
      <c r="N15" s="2510"/>
      <c r="O15" s="2510"/>
    </row>
    <row r="16" spans="1:15" s="1235" customFormat="1" ht="29.65" customHeight="1">
      <c r="A16" s="1199" t="s">
        <v>523</v>
      </c>
      <c r="B16" s="1717" t="str">
        <f t="shared" si="0"/>
        <v>Costs of merchandise sold (504, 507)</v>
      </c>
      <c r="C16" s="1718"/>
      <c r="D16" s="1718"/>
      <c r="E16" s="1719"/>
      <c r="F16" s="1198" t="s">
        <v>840</v>
      </c>
      <c r="G16" s="1282">
        <f>'P&amp;L'!D19</f>
        <v>1928175</v>
      </c>
      <c r="H16" s="1234">
        <f>'P&amp;L'!E19</f>
        <v>1878350</v>
      </c>
      <c r="L16" s="2510" t="s">
        <v>2356</v>
      </c>
      <c r="M16" s="2510"/>
      <c r="N16" s="2510"/>
      <c r="O16" s="2510"/>
    </row>
    <row r="17" spans="1:15" s="1230" customFormat="1" ht="29.65" customHeight="1">
      <c r="A17" s="1199" t="s">
        <v>594</v>
      </c>
      <c r="B17" s="1717" t="str">
        <f t="shared" si="0"/>
        <v>Material and energy consumption and other unstorable supplies (501, 502, 503)</v>
      </c>
      <c r="C17" s="1718"/>
      <c r="D17" s="1718"/>
      <c r="E17" s="1719"/>
      <c r="F17" s="1198" t="s">
        <v>842</v>
      </c>
      <c r="G17" s="1282">
        <f>'P&amp;L'!D20</f>
        <v>1213571</v>
      </c>
      <c r="H17" s="1234">
        <f>'P&amp;L'!E20</f>
        <v>1227260</v>
      </c>
      <c r="L17" s="2510" t="s">
        <v>2357</v>
      </c>
      <c r="M17" s="2510"/>
      <c r="N17" s="2510"/>
      <c r="O17" s="2510"/>
    </row>
    <row r="18" spans="1:15" s="1230" customFormat="1" ht="29.65" customHeight="1">
      <c r="A18" s="1199" t="s">
        <v>663</v>
      </c>
      <c r="B18" s="1717" t="str">
        <f t="shared" si="0"/>
        <v>Allowances to inventories (+/-) (505)</v>
      </c>
      <c r="C18" s="1718"/>
      <c r="D18" s="1718"/>
      <c r="E18" s="1719"/>
      <c r="F18" s="1198" t="s">
        <v>844</v>
      </c>
      <c r="G18" s="1282">
        <f>'P&amp;L'!D21</f>
        <v>1391</v>
      </c>
      <c r="H18" s="1234">
        <f>'P&amp;L'!E21</f>
        <v>-2685</v>
      </c>
      <c r="L18" s="2510" t="s">
        <v>2358</v>
      </c>
      <c r="M18" s="2510"/>
      <c r="N18" s="2510"/>
      <c r="O18" s="2510"/>
    </row>
    <row r="19" spans="1:15" s="1230" customFormat="1" ht="29.65" customHeight="1">
      <c r="A19" s="1199" t="s">
        <v>853</v>
      </c>
      <c r="B19" s="1717" t="str">
        <f t="shared" si="0"/>
        <v>Services (acc. group 51)</v>
      </c>
      <c r="C19" s="1718"/>
      <c r="D19" s="1718"/>
      <c r="E19" s="1719"/>
      <c r="F19" s="1198" t="s">
        <v>846</v>
      </c>
      <c r="G19" s="1282">
        <f>'P&amp;L'!D22</f>
        <v>441930</v>
      </c>
      <c r="H19" s="1234">
        <f>'P&amp;L'!E22</f>
        <v>359364</v>
      </c>
      <c r="L19" s="2510" t="s">
        <v>837</v>
      </c>
      <c r="M19" s="2510"/>
      <c r="N19" s="2510"/>
      <c r="O19" s="2510"/>
    </row>
    <row r="20" spans="1:15" s="1230" customFormat="1" ht="29.65" customHeight="1">
      <c r="A20" s="1199" t="s">
        <v>856</v>
      </c>
      <c r="B20" s="1717" t="str">
        <f t="shared" si="0"/>
        <v>Personnel expenses  total (l. 13 až 16)</v>
      </c>
      <c r="C20" s="1718"/>
      <c r="D20" s="1718"/>
      <c r="E20" s="1719"/>
      <c r="F20" s="1198" t="s">
        <v>849</v>
      </c>
      <c r="G20" s="1282">
        <f>'P&amp;L'!D23</f>
        <v>1097102</v>
      </c>
      <c r="H20" s="1234">
        <f>'P&amp;L'!E23</f>
        <v>1086166</v>
      </c>
      <c r="L20" s="2510" t="s">
        <v>841</v>
      </c>
      <c r="M20" s="2510"/>
      <c r="N20" s="2510"/>
      <c r="O20" s="2510"/>
    </row>
    <row r="21" spans="1:15" s="1230" customFormat="1" ht="29.65" customHeight="1">
      <c r="A21" s="1199" t="s">
        <v>2359</v>
      </c>
      <c r="B21" s="1717" t="str">
        <f t="shared" si="0"/>
        <v>Wages and salaries (521, 522)</v>
      </c>
      <c r="C21" s="1718"/>
      <c r="D21" s="1718"/>
      <c r="E21" s="1719"/>
      <c r="F21" s="1198" t="s">
        <v>852</v>
      </c>
      <c r="G21" s="1282">
        <f>'P&amp;L'!D24</f>
        <v>781249</v>
      </c>
      <c r="H21" s="1234">
        <f>'P&amp;L'!E24</f>
        <v>788625</v>
      </c>
      <c r="L21" s="2510" t="s">
        <v>843</v>
      </c>
      <c r="M21" s="2510"/>
      <c r="N21" s="2510"/>
      <c r="O21" s="2510"/>
    </row>
    <row r="22" spans="1:15" s="1230" customFormat="1" ht="29.65" customHeight="1">
      <c r="A22" s="1199" t="s">
        <v>532</v>
      </c>
      <c r="B22" s="1717" t="str">
        <f t="shared" si="0"/>
        <v>Remuneration of members of the board of companies and co-operatives (523)</v>
      </c>
      <c r="C22" s="1718"/>
      <c r="D22" s="1718"/>
      <c r="E22" s="1719"/>
      <c r="F22" s="1198" t="s">
        <v>855</v>
      </c>
      <c r="G22" s="1282">
        <f>'P&amp;L'!D25</f>
        <v>0</v>
      </c>
      <c r="H22" s="1234">
        <f>'P&amp;L'!E25</f>
        <v>0</v>
      </c>
      <c r="L22" s="2510" t="s">
        <v>845</v>
      </c>
      <c r="M22" s="2510"/>
      <c r="N22" s="2510"/>
      <c r="O22" s="2510"/>
    </row>
    <row r="23" spans="1:15" s="1230" customFormat="1" ht="29.65" customHeight="1">
      <c r="A23" s="1199" t="s">
        <v>535</v>
      </c>
      <c r="B23" s="1717" t="str">
        <f t="shared" si="0"/>
        <v>Social insurance costs (524, 525, 526)</v>
      </c>
      <c r="C23" s="1718"/>
      <c r="D23" s="1718"/>
      <c r="E23" s="1719"/>
      <c r="F23" s="1198" t="s">
        <v>858</v>
      </c>
      <c r="G23" s="1282">
        <f>'P&amp;L'!D26</f>
        <v>266859</v>
      </c>
      <c r="H23" s="1234">
        <f>'P&amp;L'!E26</f>
        <v>249918</v>
      </c>
      <c r="L23" s="2510" t="s">
        <v>848</v>
      </c>
      <c r="M23" s="2510"/>
      <c r="N23" s="2510"/>
      <c r="O23" s="2510"/>
    </row>
    <row r="24" spans="1:15" s="1230" customFormat="1" ht="29.65" customHeight="1">
      <c r="A24" s="1199" t="s">
        <v>538</v>
      </c>
      <c r="B24" s="1717" t="str">
        <f t="shared" si="0"/>
        <v>Social security costs (527, 528)</v>
      </c>
      <c r="C24" s="1718"/>
      <c r="D24" s="1718"/>
      <c r="E24" s="1719"/>
      <c r="F24" s="1198" t="s">
        <v>861</v>
      </c>
      <c r="G24" s="1282">
        <f>'P&amp;L'!D27</f>
        <v>48994</v>
      </c>
      <c r="H24" s="1234">
        <f>'P&amp;L'!E27</f>
        <v>47623</v>
      </c>
      <c r="L24" s="2510" t="s">
        <v>851</v>
      </c>
      <c r="M24" s="2510"/>
      <c r="N24" s="2510"/>
      <c r="O24" s="2510"/>
    </row>
    <row r="25" spans="1:15" s="1230" customFormat="1" ht="29.65" customHeight="1">
      <c r="A25" s="1199" t="s">
        <v>862</v>
      </c>
      <c r="B25" s="1717" t="str">
        <f t="shared" si="0"/>
        <v>Indirect taxes and charges (acc. group 53)</v>
      </c>
      <c r="C25" s="1718"/>
      <c r="D25" s="1718"/>
      <c r="E25" s="1719"/>
      <c r="F25" s="1198" t="s">
        <v>864</v>
      </c>
      <c r="G25" s="1282">
        <f>'P&amp;L'!D28</f>
        <v>8670</v>
      </c>
      <c r="H25" s="1234">
        <f>'P&amp;L'!E28</f>
        <v>7638</v>
      </c>
      <c r="L25" s="2510" t="s">
        <v>854</v>
      </c>
      <c r="M25" s="2510"/>
      <c r="N25" s="2510"/>
      <c r="O25" s="2510"/>
    </row>
    <row r="26" spans="1:15" s="1230" customFormat="1" ht="32.25" customHeight="1">
      <c r="A26" s="1199" t="s">
        <v>865</v>
      </c>
      <c r="B26" s="1745" t="str">
        <f t="shared" si="0"/>
        <v>Depreciation of and provisions for non-current tangible and intangible assets (l. 22 + l. 23)</v>
      </c>
      <c r="C26" s="1746"/>
      <c r="D26" s="1746"/>
      <c r="E26" s="1747"/>
      <c r="F26" s="1198" t="s">
        <v>867</v>
      </c>
      <c r="G26" s="1282">
        <f>'P&amp;L'!D29</f>
        <v>406478</v>
      </c>
      <c r="H26" s="1234">
        <f>'P&amp;L'!E29</f>
        <v>403396</v>
      </c>
      <c r="L26" s="2510" t="s">
        <v>2713</v>
      </c>
      <c r="M26" s="2510"/>
      <c r="N26" s="2510"/>
      <c r="O26" s="2510"/>
    </row>
    <row r="27" spans="1:15" s="1230" customFormat="1" ht="29.65" customHeight="1">
      <c r="A27" s="1199" t="s">
        <v>2361</v>
      </c>
      <c r="B27" s="1717" t="str">
        <f t="shared" si="0"/>
        <v>Depreciation of non-current tangible and intangible assets (551)</v>
      </c>
      <c r="C27" s="1718"/>
      <c r="D27" s="1718"/>
      <c r="E27" s="1719"/>
      <c r="F27" s="1198" t="s">
        <v>870</v>
      </c>
      <c r="G27" s="1282">
        <f>'P&amp;L'!D30</f>
        <v>406478</v>
      </c>
      <c r="H27" s="1234">
        <f>'P&amp;L'!E30</f>
        <v>403396</v>
      </c>
      <c r="L27" s="2510" t="s">
        <v>2362</v>
      </c>
      <c r="M27" s="2510"/>
      <c r="N27" s="2510"/>
      <c r="O27" s="2510"/>
    </row>
    <row r="28" spans="1:15" s="1230" customFormat="1" ht="32.25" customHeight="1">
      <c r="A28" s="1199" t="s">
        <v>532</v>
      </c>
      <c r="B28" s="1745" t="str">
        <f t="shared" si="0"/>
        <v>Provisions for non-current tangible and intangible assets (+/-) (553)</v>
      </c>
      <c r="C28" s="1746"/>
      <c r="D28" s="1746"/>
      <c r="E28" s="1747"/>
      <c r="F28" s="1198" t="s">
        <v>873</v>
      </c>
      <c r="G28" s="1282">
        <f>'P&amp;L'!D31</f>
        <v>0</v>
      </c>
      <c r="H28" s="1234">
        <f>'P&amp;L'!E31</f>
        <v>0</v>
      </c>
      <c r="L28" s="2510" t="s">
        <v>2714</v>
      </c>
      <c r="M28" s="2510"/>
      <c r="N28" s="2510"/>
      <c r="O28" s="2510"/>
    </row>
    <row r="29" spans="1:15" s="1230" customFormat="1" ht="29.65" customHeight="1">
      <c r="A29" s="1199" t="s">
        <v>871</v>
      </c>
      <c r="B29" s="1717" t="str">
        <f t="shared" si="0"/>
        <v>Net book value of non-current assets and material sold (541, 542)</v>
      </c>
      <c r="C29" s="1718"/>
      <c r="D29" s="1718"/>
      <c r="E29" s="1719"/>
      <c r="F29" s="1198" t="s">
        <v>876</v>
      </c>
      <c r="G29" s="1282">
        <f>'P&amp;L'!D32</f>
        <v>0</v>
      </c>
      <c r="H29" s="1234">
        <f>'P&amp;L'!E32</f>
        <v>0</v>
      </c>
      <c r="L29" s="2510" t="s">
        <v>863</v>
      </c>
      <c r="M29" s="2510"/>
      <c r="N29" s="2510"/>
      <c r="O29" s="2510"/>
    </row>
    <row r="30" spans="1:15" s="1230" customFormat="1" ht="29.65" customHeight="1">
      <c r="A30" s="1199" t="s">
        <v>877</v>
      </c>
      <c r="B30" s="1717" t="str">
        <f t="shared" si="0"/>
        <v>Creation and release of provisions for receivables (+/-547)</v>
      </c>
      <c r="C30" s="1718"/>
      <c r="D30" s="1718"/>
      <c r="E30" s="1719"/>
      <c r="F30" s="1198" t="s">
        <v>879</v>
      </c>
      <c r="G30" s="1282">
        <f>'P&amp;L'!D33</f>
        <v>9730</v>
      </c>
      <c r="H30" s="1234">
        <f>'P&amp;L'!E33</f>
        <v>0</v>
      </c>
      <c r="L30" s="2510" t="s">
        <v>2715</v>
      </c>
      <c r="M30" s="2510"/>
      <c r="N30" s="2510"/>
      <c r="O30" s="2510"/>
    </row>
    <row r="31" spans="1:15" s="1235" customFormat="1" ht="33.75" customHeight="1">
      <c r="A31" s="1199" t="s">
        <v>886</v>
      </c>
      <c r="B31" s="1745" t="str">
        <f t="shared" si="0"/>
        <v>Other operating expenses (543, 544, 545, 546, 548, 549, 555, 557)</v>
      </c>
      <c r="C31" s="1746"/>
      <c r="D31" s="1746"/>
      <c r="E31" s="1747"/>
      <c r="F31" s="1198" t="s">
        <v>882</v>
      </c>
      <c r="G31" s="1282">
        <f>'P&amp;L'!D34</f>
        <v>76816</v>
      </c>
      <c r="H31" s="1234">
        <f>'P&amp;L'!E34</f>
        <v>9696</v>
      </c>
      <c r="L31" s="2510" t="s">
        <v>872</v>
      </c>
      <c r="M31" s="2510"/>
      <c r="N31" s="2510"/>
      <c r="O31" s="2510"/>
    </row>
    <row r="32" spans="1:15" s="1230" customFormat="1" ht="29.65" customHeight="1">
      <c r="A32" s="1404" t="s">
        <v>973</v>
      </c>
      <c r="B32" s="1712" t="str">
        <f t="shared" si="0"/>
        <v>Profit or loss from operating activities (+/-) (l.02 - l. 10)</v>
      </c>
      <c r="C32" s="1713"/>
      <c r="D32" s="1713"/>
      <c r="E32" s="1714"/>
      <c r="F32" s="1196" t="s">
        <v>885</v>
      </c>
      <c r="G32" s="1279">
        <f>'P&amp;L'!D35</f>
        <v>200571</v>
      </c>
      <c r="H32" s="1233">
        <f>'P&amp;L'!E35</f>
        <v>349987</v>
      </c>
      <c r="L32" s="2510" t="s">
        <v>2364</v>
      </c>
      <c r="M32" s="2510"/>
      <c r="N32" s="2510"/>
      <c r="O32" s="2510"/>
    </row>
    <row r="33" spans="1:15" s="1230" customFormat="1" ht="2.25" customHeight="1" thickBot="1">
      <c r="A33" s="1219"/>
      <c r="B33" s="1219"/>
      <c r="C33" s="1219"/>
      <c r="D33" s="1219"/>
      <c r="E33" s="1219"/>
      <c r="F33" s="1271"/>
      <c r="G33" s="1224"/>
      <c r="H33" s="1414"/>
      <c r="L33" s="1421"/>
    </row>
    <row r="34" spans="1:15" s="1230" customFormat="1" ht="11.25" customHeight="1">
      <c r="A34" s="1226"/>
      <c r="B34" s="1227"/>
      <c r="C34" s="1266"/>
      <c r="D34" s="1266"/>
      <c r="E34" s="1228"/>
      <c r="F34" s="1229"/>
      <c r="G34" s="1633" t="s">
        <v>1527</v>
      </c>
      <c r="H34" s="1744"/>
      <c r="I34" s="1273"/>
      <c r="L34" s="1421"/>
    </row>
    <row r="35" spans="1:15" s="1230" customFormat="1" ht="33.75" customHeight="1">
      <c r="A35" s="1283" t="s">
        <v>1447</v>
      </c>
      <c r="B35" s="1620" t="s">
        <v>1298</v>
      </c>
      <c r="C35" s="1738"/>
      <c r="D35" s="1738"/>
      <c r="E35" s="1278"/>
      <c r="F35" s="1280" t="s">
        <v>1528</v>
      </c>
      <c r="G35" s="1281" t="s">
        <v>1529</v>
      </c>
      <c r="H35" s="1232" t="s">
        <v>1530</v>
      </c>
      <c r="L35" s="1421"/>
    </row>
    <row r="36" spans="1:15" ht="24.75" customHeight="1">
      <c r="A36" s="1236" t="s">
        <v>880</v>
      </c>
      <c r="B36" s="1712" t="str">
        <f t="shared" ref="B36" si="1">L36</f>
        <v>Added value (l. 03 + l. 04 + l. 05 + l. 06 + l. 07) - (l.11 + l. 12 +l. 13 + l. 14)</v>
      </c>
      <c r="C36" s="1713"/>
      <c r="D36" s="1713"/>
      <c r="E36" s="1714"/>
      <c r="F36" s="1286" t="s">
        <v>888</v>
      </c>
      <c r="G36" s="1279">
        <f>'P&amp;L'!D36</f>
        <v>1721905</v>
      </c>
      <c r="H36" s="1233">
        <f>'P&amp;L'!E36</f>
        <v>1855967</v>
      </c>
      <c r="L36" s="2510" t="s">
        <v>2365</v>
      </c>
      <c r="M36" s="2510"/>
      <c r="N36" s="2510"/>
      <c r="O36" s="2510"/>
    </row>
    <row r="37" spans="1:15" ht="30.75" customHeight="1">
      <c r="A37" s="1236" t="s">
        <v>942</v>
      </c>
      <c r="B37" s="1751" t="str">
        <f t="shared" ref="B37:B62" si="2">L37</f>
        <v>Revenues from financial activities l.30 + l. 31 + l. 35 + l. 39 + l. 42 + l. 43 + l. 44</v>
      </c>
      <c r="C37" s="1752"/>
      <c r="D37" s="1752"/>
      <c r="E37" s="1753"/>
      <c r="F37" s="1286" t="s">
        <v>891</v>
      </c>
      <c r="G37" s="1279">
        <f>'P&amp;L'!D37</f>
        <v>46176</v>
      </c>
      <c r="H37" s="1233">
        <f>'P&amp;L'!E37</f>
        <v>29145</v>
      </c>
      <c r="L37" s="2510" t="s">
        <v>2366</v>
      </c>
      <c r="M37" s="2510"/>
      <c r="N37" s="2510"/>
      <c r="O37" s="2510"/>
    </row>
    <row r="38" spans="1:15" ht="36.75" customHeight="1">
      <c r="A38" s="1199" t="s">
        <v>2367</v>
      </c>
      <c r="B38" s="1717" t="str">
        <f t="shared" si="2"/>
        <v>Revenues from sale of securities and ownership interests (661)</v>
      </c>
      <c r="C38" s="1718"/>
      <c r="D38" s="1718"/>
      <c r="E38" s="1719"/>
      <c r="F38" s="1198" t="s">
        <v>894</v>
      </c>
      <c r="G38" s="1282">
        <f>'P&amp;L'!D38</f>
        <v>0</v>
      </c>
      <c r="H38" s="1234">
        <f>'P&amp;L'!E38</f>
        <v>0</v>
      </c>
      <c r="L38" s="2510" t="s">
        <v>884</v>
      </c>
      <c r="M38" s="2510"/>
      <c r="N38" s="2510"/>
      <c r="O38" s="2510"/>
    </row>
    <row r="39" spans="1:15" ht="30.75" customHeight="1">
      <c r="A39" s="1199" t="s">
        <v>2368</v>
      </c>
      <c r="B39" s="1717" t="str">
        <f t="shared" si="2"/>
        <v>Revenues from non-current financial assets (l. 32 to l. 34)</v>
      </c>
      <c r="C39" s="1718"/>
      <c r="D39" s="1718"/>
      <c r="E39" s="1719"/>
      <c r="F39" s="1198" t="s">
        <v>897</v>
      </c>
      <c r="G39" s="1282">
        <f>'P&amp;L'!D39</f>
        <v>0</v>
      </c>
      <c r="H39" s="1234">
        <f>'P&amp;L'!E39</f>
        <v>0</v>
      </c>
      <c r="L39" s="2510" t="s">
        <v>2369</v>
      </c>
      <c r="M39" s="2510"/>
      <c r="N39" s="2510"/>
      <c r="O39" s="2510"/>
    </row>
    <row r="40" spans="1:15" ht="30" customHeight="1">
      <c r="A40" s="1199" t="s">
        <v>2370</v>
      </c>
      <c r="B40" s="1717" t="str">
        <f t="shared" si="2"/>
        <v>Income from investments in connected entities (665A)</v>
      </c>
      <c r="C40" s="1718"/>
      <c r="D40" s="1718"/>
      <c r="E40" s="1719"/>
      <c r="F40" s="1198" t="s">
        <v>900</v>
      </c>
      <c r="G40" s="1282">
        <f>'P&amp;L'!D40</f>
        <v>0</v>
      </c>
      <c r="H40" s="1234">
        <f>'P&amp;L'!E40</f>
        <v>0</v>
      </c>
      <c r="L40" s="2510" t="s">
        <v>2673</v>
      </c>
      <c r="M40" s="2510"/>
      <c r="N40" s="2510"/>
      <c r="O40" s="2510"/>
    </row>
    <row r="41" spans="1:15" ht="33.75" customHeight="1">
      <c r="A41" s="1199" t="s">
        <v>532</v>
      </c>
      <c r="B41" s="1717" t="str">
        <f t="shared" si="2"/>
        <v>Income from investments in group except for connected entities (665A)</v>
      </c>
      <c r="C41" s="1718"/>
      <c r="D41" s="1718"/>
      <c r="E41" s="1719"/>
      <c r="F41" s="1198" t="s">
        <v>903</v>
      </c>
      <c r="G41" s="1282">
        <f>'P&amp;L'!D41</f>
        <v>0</v>
      </c>
      <c r="H41" s="1234">
        <f>'P&amp;L'!E41</f>
        <v>0</v>
      </c>
      <c r="L41" s="2510" t="s">
        <v>2674</v>
      </c>
      <c r="M41" s="2510"/>
      <c r="N41" s="2510"/>
      <c r="O41" s="2510"/>
    </row>
    <row r="42" spans="1:15" ht="22.5" customHeight="1">
      <c r="A42" s="1199" t="s">
        <v>535</v>
      </c>
      <c r="B42" s="1717" t="str">
        <f t="shared" si="2"/>
        <v>Income from other long-term securities and ownership interest (665A)</v>
      </c>
      <c r="C42" s="1718"/>
      <c r="D42" s="1718"/>
      <c r="E42" s="1719"/>
      <c r="F42" s="1198" t="s">
        <v>906</v>
      </c>
      <c r="G42" s="1282">
        <f>'P&amp;L'!D42</f>
        <v>0</v>
      </c>
      <c r="H42" s="1234">
        <f>'P&amp;L'!E42</f>
        <v>0</v>
      </c>
      <c r="L42" s="2510" t="s">
        <v>896</v>
      </c>
      <c r="M42" s="2510"/>
      <c r="N42" s="2510"/>
      <c r="O42" s="2510"/>
    </row>
    <row r="43" spans="1:15" ht="30.75" customHeight="1">
      <c r="A43" s="1199" t="s">
        <v>2371</v>
      </c>
      <c r="B43" s="1717" t="str">
        <f t="shared" si="2"/>
        <v>Income from short-term financial assets (l. 36 to l. 38)</v>
      </c>
      <c r="C43" s="1718"/>
      <c r="D43" s="1718"/>
      <c r="E43" s="1719"/>
      <c r="F43" s="1198" t="s">
        <v>909</v>
      </c>
      <c r="G43" s="1282">
        <f>'P&amp;L'!D43</f>
        <v>0</v>
      </c>
      <c r="H43" s="1234">
        <f>'P&amp;L'!E43</f>
        <v>0</v>
      </c>
      <c r="L43" s="2510" t="s">
        <v>2372</v>
      </c>
      <c r="M43" s="2510"/>
      <c r="N43" s="2510"/>
      <c r="O43" s="2510"/>
    </row>
    <row r="44" spans="1:15" ht="30" customHeight="1">
      <c r="A44" s="1199" t="s">
        <v>2373</v>
      </c>
      <c r="B44" s="1717" t="str">
        <f t="shared" si="2"/>
        <v>Income from investments in connected entities (666A)</v>
      </c>
      <c r="C44" s="1718"/>
      <c r="D44" s="1718"/>
      <c r="E44" s="1719"/>
      <c r="F44" s="1198" t="s">
        <v>912</v>
      </c>
      <c r="G44" s="1282">
        <f>'P&amp;L'!D44</f>
        <v>0</v>
      </c>
      <c r="H44" s="1234">
        <f>'P&amp;L'!E44</f>
        <v>0</v>
      </c>
      <c r="L44" s="2510" t="s">
        <v>2675</v>
      </c>
      <c r="M44" s="2510"/>
      <c r="N44" s="2510"/>
      <c r="O44" s="2510"/>
    </row>
    <row r="45" spans="1:15" ht="32.25" customHeight="1">
      <c r="A45" s="1199" t="s">
        <v>532</v>
      </c>
      <c r="B45" s="1717" t="str">
        <f t="shared" si="2"/>
        <v>Income from investments in group except for connected entities (666A)</v>
      </c>
      <c r="C45" s="1718"/>
      <c r="D45" s="1718"/>
      <c r="E45" s="1719"/>
      <c r="F45" s="1198" t="s">
        <v>915</v>
      </c>
      <c r="G45" s="1282">
        <f>'P&amp;L'!D45</f>
        <v>0</v>
      </c>
      <c r="H45" s="1234">
        <f>'P&amp;L'!E45</f>
        <v>0</v>
      </c>
      <c r="L45" s="2510" t="s">
        <v>2676</v>
      </c>
      <c r="M45" s="2510"/>
      <c r="N45" s="2510"/>
      <c r="O45" s="2510"/>
    </row>
    <row r="46" spans="1:15" ht="24" customHeight="1">
      <c r="A46" s="1199" t="s">
        <v>535</v>
      </c>
      <c r="B46" s="1717" t="str">
        <f t="shared" si="2"/>
        <v>Income from other current financial assets (666A)</v>
      </c>
      <c r="C46" s="1718"/>
      <c r="D46" s="1718"/>
      <c r="E46" s="1719"/>
      <c r="F46" s="1198" t="s">
        <v>918</v>
      </c>
      <c r="G46" s="1282">
        <f>'P&amp;L'!D46</f>
        <v>0</v>
      </c>
      <c r="H46" s="1234">
        <f>'P&amp;L'!E46</f>
        <v>0</v>
      </c>
      <c r="L46" s="2510" t="s">
        <v>2374</v>
      </c>
      <c r="M46" s="2510"/>
      <c r="N46" s="2510"/>
      <c r="O46" s="2510"/>
    </row>
    <row r="47" spans="1:15" ht="26.25" customHeight="1">
      <c r="A47" s="1199" t="s">
        <v>2375</v>
      </c>
      <c r="B47" s="1717" t="str">
        <f t="shared" si="2"/>
        <v>Interest income (l. 40 + l. 41)</v>
      </c>
      <c r="C47" s="1718"/>
      <c r="D47" s="1718"/>
      <c r="E47" s="1719"/>
      <c r="F47" s="1198" t="s">
        <v>921</v>
      </c>
      <c r="G47" s="1282">
        <f>'P&amp;L'!D47</f>
        <v>0</v>
      </c>
      <c r="H47" s="1234">
        <f>'P&amp;L'!E47</f>
        <v>31</v>
      </c>
      <c r="L47" s="2510" t="s">
        <v>2376</v>
      </c>
      <c r="M47" s="2510"/>
      <c r="N47" s="2510"/>
      <c r="O47" s="2510"/>
    </row>
    <row r="48" spans="1:15" ht="24.75" customHeight="1">
      <c r="A48" s="1199" t="s">
        <v>2377</v>
      </c>
      <c r="B48" s="1717" t="str">
        <f t="shared" si="2"/>
        <v>Interest income from from connected entities (662A)</v>
      </c>
      <c r="C48" s="1718"/>
      <c r="D48" s="1718"/>
      <c r="E48" s="1719"/>
      <c r="F48" s="1198" t="s">
        <v>924</v>
      </c>
      <c r="G48" s="1282">
        <f>'P&amp;L'!D48</f>
        <v>0</v>
      </c>
      <c r="H48" s="1234">
        <f>'P&amp;L'!E48</f>
        <v>0</v>
      </c>
      <c r="L48" s="2510" t="s">
        <v>2677</v>
      </c>
      <c r="M48" s="2510"/>
      <c r="N48" s="2510"/>
      <c r="O48" s="2510"/>
    </row>
    <row r="49" spans="1:15" ht="27" customHeight="1">
      <c r="A49" s="1199" t="s">
        <v>532</v>
      </c>
      <c r="B49" s="1717" t="str">
        <f t="shared" si="2"/>
        <v>Other interest income (662A)</v>
      </c>
      <c r="C49" s="1718"/>
      <c r="D49" s="1718"/>
      <c r="E49" s="1719"/>
      <c r="F49" s="1198" t="s">
        <v>927</v>
      </c>
      <c r="G49" s="1282">
        <f>'P&amp;L'!D49</f>
        <v>0</v>
      </c>
      <c r="H49" s="1234">
        <f>'P&amp;L'!E49</f>
        <v>31</v>
      </c>
      <c r="L49" s="2510" t="s">
        <v>2378</v>
      </c>
      <c r="M49" s="2510"/>
      <c r="N49" s="2510"/>
      <c r="O49" s="2510"/>
    </row>
    <row r="50" spans="1:15" ht="29.25" customHeight="1">
      <c r="A50" s="1199" t="s">
        <v>2379</v>
      </c>
      <c r="B50" s="1717" t="str">
        <f t="shared" si="2"/>
        <v>Foreign exchange gains (663)</v>
      </c>
      <c r="C50" s="1718"/>
      <c r="D50" s="1718"/>
      <c r="E50" s="1719"/>
      <c r="F50" s="1198" t="s">
        <v>930</v>
      </c>
      <c r="G50" s="1282">
        <f>'P&amp;L'!D50</f>
        <v>46176</v>
      </c>
      <c r="H50" s="1234">
        <f>'P&amp;L'!E50</f>
        <v>29114</v>
      </c>
      <c r="L50" s="2510" t="s">
        <v>923</v>
      </c>
      <c r="M50" s="2510"/>
      <c r="N50" s="2510"/>
      <c r="O50" s="2510"/>
    </row>
    <row r="51" spans="1:15" ht="27.75" customHeight="1">
      <c r="A51" s="1199" t="s">
        <v>2380</v>
      </c>
      <c r="B51" s="1717" t="str">
        <f t="shared" si="2"/>
        <v>Income from revaluation of securities and income from transactions with derivatives  (664, 667)</v>
      </c>
      <c r="C51" s="1718"/>
      <c r="D51" s="1718"/>
      <c r="E51" s="1719"/>
      <c r="F51" s="1198" t="s">
        <v>933</v>
      </c>
      <c r="G51" s="1282">
        <f>'P&amp;L'!D51</f>
        <v>0</v>
      </c>
      <c r="H51" s="1234">
        <f>'P&amp;L'!E51</f>
        <v>0</v>
      </c>
      <c r="L51" s="2510" t="s">
        <v>908</v>
      </c>
      <c r="M51" s="2510"/>
      <c r="N51" s="2510"/>
      <c r="O51" s="2510"/>
    </row>
    <row r="52" spans="1:15" ht="27.75" customHeight="1">
      <c r="A52" s="1199" t="s">
        <v>2381</v>
      </c>
      <c r="B52" s="1717" t="str">
        <f t="shared" si="2"/>
        <v>Other financial revenue (668)</v>
      </c>
      <c r="C52" s="1718"/>
      <c r="D52" s="1718"/>
      <c r="E52" s="1719"/>
      <c r="F52" s="1198" t="s">
        <v>936</v>
      </c>
      <c r="G52" s="1282">
        <f>'P&amp;L'!D52</f>
        <v>0</v>
      </c>
      <c r="H52" s="1234">
        <f>'P&amp;L'!E52</f>
        <v>0</v>
      </c>
      <c r="L52" s="2510" t="s">
        <v>929</v>
      </c>
      <c r="M52" s="2510"/>
      <c r="N52" s="2510"/>
      <c r="O52" s="2510"/>
    </row>
    <row r="53" spans="1:15" ht="27.75" customHeight="1">
      <c r="A53" s="1200" t="s">
        <v>942</v>
      </c>
      <c r="B53" s="1712" t="str">
        <f t="shared" si="2"/>
        <v>Financial expenses total (l. 46 + l. 47 + l. 48 + l. 49 + l. 52 + l. 53 + l. 54)</v>
      </c>
      <c r="C53" s="1713"/>
      <c r="D53" s="1713"/>
      <c r="E53" s="1714"/>
      <c r="F53" s="1196" t="s">
        <v>939</v>
      </c>
      <c r="G53" s="1279">
        <f>'P&amp;L'!D53</f>
        <v>33910</v>
      </c>
      <c r="H53" s="1233">
        <f>'P&amp;L'!E53</f>
        <v>40476</v>
      </c>
      <c r="L53" s="2510" t="s">
        <v>2382</v>
      </c>
      <c r="M53" s="2510"/>
      <c r="N53" s="2510"/>
      <c r="O53" s="2510"/>
    </row>
    <row r="54" spans="1:15" s="1240" customFormat="1" ht="44.25" customHeight="1">
      <c r="A54" s="1239" t="s">
        <v>904</v>
      </c>
      <c r="B54" s="1757" t="str">
        <f t="shared" si="2"/>
        <v>Book value of securities and ownership interest sold (561)</v>
      </c>
      <c r="C54" s="1758"/>
      <c r="D54" s="1758"/>
      <c r="E54" s="1759"/>
      <c r="F54" s="1198" t="s">
        <v>941</v>
      </c>
      <c r="G54" s="1282">
        <f>'P&amp;L'!D54</f>
        <v>0</v>
      </c>
      <c r="H54" s="1234">
        <f>'P&amp;L'!E54</f>
        <v>0</v>
      </c>
      <c r="L54" s="2510" t="s">
        <v>887</v>
      </c>
      <c r="M54" s="2510"/>
      <c r="N54" s="2510"/>
      <c r="O54" s="2510"/>
    </row>
    <row r="55" spans="1:15" s="1240" customFormat="1" ht="29.25" customHeight="1">
      <c r="A55" s="1239" t="s">
        <v>910</v>
      </c>
      <c r="B55" s="1748" t="str">
        <f t="shared" si="2"/>
        <v>Costs of short-term financial assets (566)</v>
      </c>
      <c r="C55" s="1749"/>
      <c r="D55" s="1749"/>
      <c r="E55" s="1750"/>
      <c r="F55" s="1198" t="s">
        <v>944</v>
      </c>
      <c r="G55" s="1282">
        <f>'P&amp;L'!D55</f>
        <v>0</v>
      </c>
      <c r="H55" s="1234">
        <f>'P&amp;L'!E55</f>
        <v>0</v>
      </c>
      <c r="L55" s="2510" t="s">
        <v>905</v>
      </c>
      <c r="M55" s="2510"/>
      <c r="N55" s="2510"/>
      <c r="O55" s="2510"/>
    </row>
    <row r="56" spans="1:15" ht="30.75" customHeight="1">
      <c r="A56" s="1199" t="s">
        <v>913</v>
      </c>
      <c r="B56" s="1717" t="str">
        <f t="shared" si="2"/>
        <v>Creation and release of provisions for financial assets (+/-) (565)</v>
      </c>
      <c r="C56" s="1718"/>
      <c r="D56" s="1718"/>
      <c r="E56" s="1719"/>
      <c r="F56" s="1198" t="s">
        <v>947</v>
      </c>
      <c r="G56" s="1282">
        <f>'P&amp;L'!D56</f>
        <v>0</v>
      </c>
      <c r="H56" s="1234">
        <f>'P&amp;L'!E56</f>
        <v>0</v>
      </c>
      <c r="L56" s="2510" t="s">
        <v>2716</v>
      </c>
      <c r="M56" s="2510"/>
      <c r="N56" s="2510"/>
      <c r="O56" s="2510"/>
    </row>
    <row r="57" spans="1:15" ht="28.5" customHeight="1">
      <c r="A57" s="1241" t="s">
        <v>919</v>
      </c>
      <c r="B57" s="1717" t="str">
        <f t="shared" si="2"/>
        <v>Interest expense (l. 50 + l. 51)</v>
      </c>
      <c r="C57" s="1718"/>
      <c r="D57" s="1718"/>
      <c r="E57" s="1719"/>
      <c r="F57" s="1198" t="s">
        <v>950</v>
      </c>
      <c r="G57" s="1282">
        <f>'P&amp;L'!D57</f>
        <v>0</v>
      </c>
      <c r="H57" s="1234">
        <f>'P&amp;L'!E57</f>
        <v>0</v>
      </c>
      <c r="L57" s="2510" t="s">
        <v>2384</v>
      </c>
      <c r="M57" s="2510"/>
      <c r="N57" s="2510"/>
      <c r="O57" s="2510"/>
    </row>
    <row r="58" spans="1:15" ht="28.5" customHeight="1">
      <c r="A58" s="1199" t="s">
        <v>2385</v>
      </c>
      <c r="B58" s="1717" t="str">
        <f t="shared" si="2"/>
        <v>Interest expense to connected entities (562A)</v>
      </c>
      <c r="C58" s="1718"/>
      <c r="D58" s="1718"/>
      <c r="E58" s="1719"/>
      <c r="F58" s="1198" t="s">
        <v>952</v>
      </c>
      <c r="G58" s="1282">
        <f>'P&amp;L'!D58</f>
        <v>0</v>
      </c>
      <c r="H58" s="1234">
        <f>'P&amp;L'!E58</f>
        <v>0</v>
      </c>
      <c r="L58" s="2510" t="s">
        <v>2678</v>
      </c>
      <c r="M58" s="2510"/>
      <c r="N58" s="2510"/>
      <c r="O58" s="2510"/>
    </row>
    <row r="59" spans="1:15" s="1240" customFormat="1" ht="31.5" customHeight="1">
      <c r="A59" s="1239" t="s">
        <v>532</v>
      </c>
      <c r="B59" s="1748" t="str">
        <f t="shared" si="2"/>
        <v>Other interest expense (562A)</v>
      </c>
      <c r="C59" s="1749"/>
      <c r="D59" s="1749"/>
      <c r="E59" s="1750"/>
      <c r="F59" s="1198" t="s">
        <v>954</v>
      </c>
      <c r="G59" s="1282">
        <f>'P&amp;L'!D59</f>
        <v>0</v>
      </c>
      <c r="H59" s="1234">
        <f>'P&amp;L'!E59</f>
        <v>0</v>
      </c>
      <c r="L59" s="2510" t="s">
        <v>2386</v>
      </c>
      <c r="M59" s="2510"/>
      <c r="N59" s="2510"/>
      <c r="O59" s="2510"/>
    </row>
    <row r="60" spans="1:15" ht="29.25" customHeight="1">
      <c r="A60" s="1199" t="s">
        <v>925</v>
      </c>
      <c r="B60" s="1717" t="str">
        <f t="shared" si="2"/>
        <v>Foreign exchange losses (563)</v>
      </c>
      <c r="C60" s="1718"/>
      <c r="D60" s="1718"/>
      <c r="E60" s="1719"/>
      <c r="F60" s="1198" t="s">
        <v>957</v>
      </c>
      <c r="G60" s="1282">
        <f>'P&amp;L'!D60</f>
        <v>28482</v>
      </c>
      <c r="H60" s="1234">
        <f>'P&amp;L'!E60</f>
        <v>35174</v>
      </c>
      <c r="L60" s="2510" t="s">
        <v>926</v>
      </c>
      <c r="M60" s="2510"/>
      <c r="N60" s="2510"/>
      <c r="O60" s="2510"/>
    </row>
    <row r="61" spans="1:15" ht="28.5" customHeight="1">
      <c r="A61" s="1199" t="s">
        <v>931</v>
      </c>
      <c r="B61" s="1717" t="str">
        <f t="shared" si="2"/>
        <v>Expenses for revaluation of securities and expenses for transactions with derivatives  (564, 567)</v>
      </c>
      <c r="C61" s="1718"/>
      <c r="D61" s="1718"/>
      <c r="E61" s="1719"/>
      <c r="F61" s="1198" t="s">
        <v>960</v>
      </c>
      <c r="G61" s="1282">
        <f>'P&amp;L'!D61</f>
        <v>0</v>
      </c>
      <c r="H61" s="1234">
        <f>'P&amp;L'!E61</f>
        <v>0</v>
      </c>
      <c r="L61" s="2510" t="s">
        <v>911</v>
      </c>
      <c r="M61" s="2510"/>
      <c r="N61" s="2510"/>
      <c r="O61" s="2510"/>
    </row>
    <row r="62" spans="1:15" ht="30.75" customHeight="1">
      <c r="A62" s="1199" t="s">
        <v>2387</v>
      </c>
      <c r="B62" s="1717" t="str">
        <f t="shared" si="2"/>
        <v>Other financial expenses (568, 569)</v>
      </c>
      <c r="C62" s="1718"/>
      <c r="D62" s="1718"/>
      <c r="E62" s="1719"/>
      <c r="F62" s="1198" t="s">
        <v>962</v>
      </c>
      <c r="G62" s="1282">
        <f>'P&amp;L'!D62</f>
        <v>5428</v>
      </c>
      <c r="H62" s="1234">
        <f>'P&amp;L'!E62</f>
        <v>5302</v>
      </c>
      <c r="L62" s="2510" t="s">
        <v>932</v>
      </c>
      <c r="M62" s="2510"/>
      <c r="N62" s="2510"/>
      <c r="O62" s="2510"/>
    </row>
    <row r="63" spans="1:15" ht="2.25" customHeight="1" thickBot="1">
      <c r="A63" s="1272"/>
      <c r="B63" s="1191"/>
      <c r="C63" s="1191"/>
      <c r="D63" s="1191"/>
      <c r="E63" s="1191"/>
      <c r="F63" s="1192"/>
      <c r="G63" s="1287"/>
      <c r="H63" s="1287"/>
      <c r="L63" s="1421"/>
    </row>
    <row r="64" spans="1:15" ht="11.25" customHeight="1">
      <c r="A64" s="1226"/>
      <c r="B64" s="1227"/>
      <c r="C64" s="1266"/>
      <c r="D64" s="1266"/>
      <c r="E64" s="1228"/>
      <c r="F64" s="1229"/>
      <c r="G64" s="1633" t="s">
        <v>1527</v>
      </c>
      <c r="H64" s="1744"/>
      <c r="L64" s="1421"/>
    </row>
    <row r="65" spans="1:15" ht="33.75" customHeight="1">
      <c r="A65" s="1283" t="s">
        <v>1447</v>
      </c>
      <c r="B65" s="1620" t="s">
        <v>1298</v>
      </c>
      <c r="C65" s="1738"/>
      <c r="D65" s="1738"/>
      <c r="E65" s="1278"/>
      <c r="F65" s="1280" t="s">
        <v>1528</v>
      </c>
      <c r="G65" s="1281" t="s">
        <v>1529</v>
      </c>
      <c r="H65" s="1232" t="s">
        <v>1530</v>
      </c>
      <c r="L65" s="1421"/>
    </row>
    <row r="66" spans="1:15" ht="27.75" customHeight="1">
      <c r="A66" s="1236" t="s">
        <v>973</v>
      </c>
      <c r="B66" s="1712" t="str">
        <f t="shared" ref="B66" si="3">L66</f>
        <v>Profit/(loss) from financial activities (+/-) (l. 29 - l. 45)</v>
      </c>
      <c r="C66" s="1713"/>
      <c r="D66" s="1713"/>
      <c r="E66" s="1714"/>
      <c r="F66" s="1286" t="s">
        <v>965</v>
      </c>
      <c r="G66" s="1279">
        <f>'P&amp;L'!D63</f>
        <v>12266</v>
      </c>
      <c r="H66" s="1233">
        <f>'P&amp;L'!E63</f>
        <v>-11331</v>
      </c>
      <c r="L66" s="2510" t="s">
        <v>2388</v>
      </c>
      <c r="M66" s="2510"/>
      <c r="N66" s="2510"/>
      <c r="O66" s="2510"/>
    </row>
    <row r="67" spans="1:15" ht="27.75" customHeight="1">
      <c r="A67" s="1242" t="s">
        <v>2389</v>
      </c>
      <c r="B67" s="1712" t="str">
        <f t="shared" ref="B67:B72" si="4">L67</f>
        <v>Profit/(loss) for the period before tax (+/-) (l. 27 + l. 55)</v>
      </c>
      <c r="C67" s="1713"/>
      <c r="D67" s="1713"/>
      <c r="E67" s="1714"/>
      <c r="F67" s="1196" t="s">
        <v>968</v>
      </c>
      <c r="G67" s="1279">
        <f>'P&amp;L'!D64</f>
        <v>212837</v>
      </c>
      <c r="H67" s="1233">
        <f>'P&amp;L'!E64</f>
        <v>338656</v>
      </c>
      <c r="L67" s="2510" t="s">
        <v>2390</v>
      </c>
      <c r="M67" s="2510"/>
      <c r="N67" s="2510"/>
      <c r="O67" s="2510"/>
    </row>
    <row r="68" spans="1:15" ht="27.75" customHeight="1">
      <c r="A68" s="1199" t="s">
        <v>2391</v>
      </c>
      <c r="B68" s="1717" t="str">
        <f t="shared" si="4"/>
        <v>Tax on income (l. 58 + l. 59)</v>
      </c>
      <c r="C68" s="1718"/>
      <c r="D68" s="1718"/>
      <c r="E68" s="1719"/>
      <c r="F68" s="1198" t="s">
        <v>970</v>
      </c>
      <c r="G68" s="1282">
        <f>'P&amp;L'!D65</f>
        <v>53262</v>
      </c>
      <c r="H68" s="1234">
        <f>'P&amp;L'!E65</f>
        <v>65220</v>
      </c>
      <c r="L68" s="2510" t="s">
        <v>2392</v>
      </c>
      <c r="M68" s="2510"/>
      <c r="N68" s="2510"/>
      <c r="O68" s="2510"/>
    </row>
    <row r="69" spans="1:15" s="1240" customFormat="1" ht="27.75" customHeight="1">
      <c r="A69" s="1243" t="s">
        <v>2393</v>
      </c>
      <c r="B69" s="1717" t="str">
        <f t="shared" si="4"/>
        <v>- due  (591, 595)</v>
      </c>
      <c r="C69" s="1718"/>
      <c r="D69" s="1718"/>
      <c r="E69" s="1719"/>
      <c r="F69" s="1285" t="s">
        <v>972</v>
      </c>
      <c r="G69" s="1282">
        <f>'P&amp;L'!D66</f>
        <v>125102</v>
      </c>
      <c r="H69" s="1234">
        <f>'P&amp;L'!E66</f>
        <v>156065</v>
      </c>
      <c r="L69" s="2510" t="s">
        <v>949</v>
      </c>
      <c r="M69" s="2510"/>
      <c r="N69" s="2510"/>
      <c r="O69" s="2510"/>
    </row>
    <row r="70" spans="1:15" s="1240" customFormat="1" ht="27.75" customHeight="1">
      <c r="A70" s="1199" t="s">
        <v>532</v>
      </c>
      <c r="B70" s="1717" t="str">
        <f t="shared" si="4"/>
        <v>- deferred (+/-) (592)</v>
      </c>
      <c r="C70" s="1718"/>
      <c r="D70" s="1718"/>
      <c r="E70" s="1719"/>
      <c r="F70" s="1198" t="s">
        <v>975</v>
      </c>
      <c r="G70" s="1282">
        <f>'P&amp;L'!D67</f>
        <v>-71840</v>
      </c>
      <c r="H70" s="1234">
        <f>'P&amp;L'!E67</f>
        <v>-90845</v>
      </c>
      <c r="L70" s="2510" t="s">
        <v>2394</v>
      </c>
      <c r="M70" s="2510"/>
      <c r="N70" s="2510"/>
      <c r="O70" s="2510"/>
    </row>
    <row r="71" spans="1:15" ht="27.75" customHeight="1">
      <c r="A71" s="1199" t="s">
        <v>945</v>
      </c>
      <c r="B71" s="1717" t="str">
        <f t="shared" si="4"/>
        <v>Profit/(loss) share transferred to owners' account (+/- 596)</v>
      </c>
      <c r="C71" s="1718"/>
      <c r="D71" s="1718"/>
      <c r="E71" s="1719"/>
      <c r="F71" s="1198" t="s">
        <v>978</v>
      </c>
      <c r="G71" s="1282">
        <f>'P&amp;L'!D68</f>
        <v>0</v>
      </c>
      <c r="H71" s="1234">
        <f>'P&amp;L'!E68</f>
        <v>0</v>
      </c>
      <c r="L71" s="2510" t="s">
        <v>2395</v>
      </c>
      <c r="M71" s="2510"/>
      <c r="N71" s="2510"/>
      <c r="O71" s="2510"/>
    </row>
    <row r="72" spans="1:15" s="1240" customFormat="1" ht="33" customHeight="1">
      <c r="A72" s="1404" t="s">
        <v>2389</v>
      </c>
      <c r="B72" s="1712" t="str">
        <f t="shared" si="4"/>
        <v xml:space="preserve">Net profit/(loss) for the period after tax  (+/-) (l. 56 - l. 57 - l. 60)           </v>
      </c>
      <c r="C72" s="1713"/>
      <c r="D72" s="1713"/>
      <c r="E72" s="1714"/>
      <c r="F72" s="1196" t="s">
        <v>980</v>
      </c>
      <c r="G72" s="1279">
        <f>'P&amp;L'!D69</f>
        <v>159575</v>
      </c>
      <c r="H72" s="1233">
        <f>'P&amp;L'!E69</f>
        <v>273436</v>
      </c>
      <c r="L72" s="2510" t="s">
        <v>2396</v>
      </c>
      <c r="M72" s="2510"/>
      <c r="N72" s="2510"/>
      <c r="O72" s="2510"/>
    </row>
    <row r="73" spans="1:15">
      <c r="L73" s="2510"/>
      <c r="M73" s="2510"/>
      <c r="N73" s="2510"/>
      <c r="O73" s="2510"/>
    </row>
    <row r="74" spans="1:15">
      <c r="L74" s="2510"/>
      <c r="M74" s="2510"/>
      <c r="N74" s="2510"/>
      <c r="O74" s="2510"/>
    </row>
  </sheetData>
  <mergeCells count="130">
    <mergeCell ref="L72:O72"/>
    <mergeCell ref="L73:O73"/>
    <mergeCell ref="L74:O74"/>
    <mergeCell ref="L67:O67"/>
    <mergeCell ref="L68:O68"/>
    <mergeCell ref="L69:O69"/>
    <mergeCell ref="L70:O70"/>
    <mergeCell ref="L71:O71"/>
    <mergeCell ref="L59:O59"/>
    <mergeCell ref="L60:O60"/>
    <mergeCell ref="L61:O61"/>
    <mergeCell ref="L62:O62"/>
    <mergeCell ref="L66:O66"/>
    <mergeCell ref="L54:O54"/>
    <mergeCell ref="L55:O55"/>
    <mergeCell ref="L56:O56"/>
    <mergeCell ref="L57:O57"/>
    <mergeCell ref="L58:O58"/>
    <mergeCell ref="L49:O49"/>
    <mergeCell ref="L50:O50"/>
    <mergeCell ref="L51:O51"/>
    <mergeCell ref="L52:O52"/>
    <mergeCell ref="L53:O53"/>
    <mergeCell ref="L44:O44"/>
    <mergeCell ref="L45:O45"/>
    <mergeCell ref="L46:O46"/>
    <mergeCell ref="L47:O47"/>
    <mergeCell ref="L48:O48"/>
    <mergeCell ref="L39:O39"/>
    <mergeCell ref="L40:O40"/>
    <mergeCell ref="L41:O41"/>
    <mergeCell ref="L42:O42"/>
    <mergeCell ref="L43:O43"/>
    <mergeCell ref="L31:O31"/>
    <mergeCell ref="L32:O32"/>
    <mergeCell ref="L36:O36"/>
    <mergeCell ref="L37:O37"/>
    <mergeCell ref="L38:O38"/>
    <mergeCell ref="L26:O26"/>
    <mergeCell ref="L27:O27"/>
    <mergeCell ref="L28:O28"/>
    <mergeCell ref="L29:O29"/>
    <mergeCell ref="L30:O30"/>
    <mergeCell ref="L21:O21"/>
    <mergeCell ref="L22:O22"/>
    <mergeCell ref="L23:O23"/>
    <mergeCell ref="L24:O24"/>
    <mergeCell ref="L25:O25"/>
    <mergeCell ref="L16:O16"/>
    <mergeCell ref="L17:O17"/>
    <mergeCell ref="L18:O18"/>
    <mergeCell ref="L19:O19"/>
    <mergeCell ref="L20:O20"/>
    <mergeCell ref="L11:O11"/>
    <mergeCell ref="L12:O12"/>
    <mergeCell ref="L13:O13"/>
    <mergeCell ref="L14:O14"/>
    <mergeCell ref="L15:O15"/>
    <mergeCell ref="L6:O6"/>
    <mergeCell ref="L7:O7"/>
    <mergeCell ref="L8:O8"/>
    <mergeCell ref="L9:O9"/>
    <mergeCell ref="L10:O10"/>
    <mergeCell ref="B9:E9"/>
    <mergeCell ref="G4:H4"/>
    <mergeCell ref="B5:D5"/>
    <mergeCell ref="B6:E6"/>
    <mergeCell ref="B7:E7"/>
    <mergeCell ref="B8:E8"/>
    <mergeCell ref="B21:E21"/>
    <mergeCell ref="B10:E10"/>
    <mergeCell ref="B11:E11"/>
    <mergeCell ref="B12:E12"/>
    <mergeCell ref="B13:E13"/>
    <mergeCell ref="B14:E14"/>
    <mergeCell ref="B15:E15"/>
    <mergeCell ref="B16:E16"/>
    <mergeCell ref="B17:E17"/>
    <mergeCell ref="B18:E18"/>
    <mergeCell ref="B19:E19"/>
    <mergeCell ref="B20:E20"/>
    <mergeCell ref="G34:H34"/>
    <mergeCell ref="B22:E22"/>
    <mergeCell ref="B23:E23"/>
    <mergeCell ref="B24:E24"/>
    <mergeCell ref="B25:E25"/>
    <mergeCell ref="B26:E26"/>
    <mergeCell ref="B27:E27"/>
    <mergeCell ref="B40:E40"/>
    <mergeCell ref="B28:E28"/>
    <mergeCell ref="B29:E29"/>
    <mergeCell ref="B30:E30"/>
    <mergeCell ref="B31:E31"/>
    <mergeCell ref="B32:E32"/>
    <mergeCell ref="B35:D35"/>
    <mergeCell ref="B36:E36"/>
    <mergeCell ref="B37:E37"/>
    <mergeCell ref="B38:E38"/>
    <mergeCell ref="B39:E39"/>
    <mergeCell ref="B52:E52"/>
    <mergeCell ref="B41:E41"/>
    <mergeCell ref="B42:E42"/>
    <mergeCell ref="B43:E43"/>
    <mergeCell ref="B44:E44"/>
    <mergeCell ref="B45:E45"/>
    <mergeCell ref="B46:E46"/>
    <mergeCell ref="B47:E47"/>
    <mergeCell ref="B48:E48"/>
    <mergeCell ref="B49:E49"/>
    <mergeCell ref="B50:E50"/>
    <mergeCell ref="B51:E51"/>
    <mergeCell ref="B58:E58"/>
    <mergeCell ref="B59:E59"/>
    <mergeCell ref="B60:E60"/>
    <mergeCell ref="B61:E61"/>
    <mergeCell ref="B62:E62"/>
    <mergeCell ref="B53:E53"/>
    <mergeCell ref="B54:E54"/>
    <mergeCell ref="B55:E55"/>
    <mergeCell ref="B56:E56"/>
    <mergeCell ref="B57:E57"/>
    <mergeCell ref="G64:H64"/>
    <mergeCell ref="B72:E72"/>
    <mergeCell ref="B66:E66"/>
    <mergeCell ref="B67:E67"/>
    <mergeCell ref="B68:E68"/>
    <mergeCell ref="B69:E69"/>
    <mergeCell ref="B70:E70"/>
    <mergeCell ref="B71:E71"/>
    <mergeCell ref="B65:D65"/>
  </mergeCells>
  <pageMargins left="0.74803149606299213" right="0.55118110236220474" top="0.39370078740157483" bottom="0.47244094488188981" header="0.39370078740157483" footer="0.19685039370078741"/>
  <pageSetup paperSize="9" scale="81" firstPageNumber="10" orientation="portrait" useFirstPageNumber="1" r:id="rId1"/>
  <headerFooter alignWithMargins="0">
    <oddHeader>&amp;LUZPODv14_&amp;P</oddHeader>
    <oddFooter>&amp;LMF SR No. 18009/2014&amp;CTHIS IS A TRANSLATION OF THE ORIGINAL SLOVAK DOCUMENT.&amp;RPage &amp;P</oddFooter>
  </headerFooter>
  <rowBreaks count="2" manualBreakCount="2">
    <brk id="32" max="7" man="1"/>
    <brk id="62" max="7" man="1"/>
  </row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outlinePr summaryBelow="0" summaryRight="0"/>
  </sheetPr>
  <dimension ref="A1:J66"/>
  <sheetViews>
    <sheetView view="pageBreakPreview" zoomScaleNormal="100" zoomScaleSheetLayoutView="100" workbookViewId="0">
      <selection activeCell="E5" sqref="E5"/>
    </sheetView>
  </sheetViews>
  <sheetFormatPr defaultColWidth="9.140625" defaultRowHeight="10.5"/>
  <cols>
    <col min="1" max="1" width="4.42578125" style="535" customWidth="1"/>
    <col min="2" max="2" width="35" style="535" customWidth="1"/>
    <col min="3" max="3" width="3.5703125" style="535" customWidth="1"/>
    <col min="4" max="4" width="6.85546875" style="535" customWidth="1"/>
    <col min="5" max="6" width="29.5703125" style="535" customWidth="1"/>
    <col min="7" max="16384" width="9.140625" style="535"/>
  </cols>
  <sheetData>
    <row r="1" spans="1:10" s="502" customFormat="1" ht="7.5" customHeight="1">
      <c r="A1" s="501"/>
      <c r="H1" s="445"/>
      <c r="I1" s="445"/>
    </row>
    <row r="2" spans="1:10" s="502" customFormat="1" ht="17.25" customHeight="1">
      <c r="A2" s="501"/>
      <c r="B2" s="526" t="s">
        <v>2588</v>
      </c>
      <c r="C2" s="850"/>
      <c r="D2" s="851" t="s">
        <v>1446</v>
      </c>
      <c r="E2" s="852" t="str">
        <f>"  "&amp;'SK Cover sheet'!A11&amp;"  "&amp;'SK Cover sheet'!B11&amp;"  "&amp;'SK Cover sheet'!C11&amp;"  "&amp;'SK Cover sheet'!D11&amp;"  "&amp;'SK Cover sheet'!E11&amp;"  "&amp;'SK Cover sheet'!F11&amp;"  "&amp;'SK Cover sheet'!G11&amp;"  "&amp;'SK Cover sheet'!H11&amp;"  "&amp;'SK Cover sheet'!I11&amp;"  "&amp;'SK Cover sheet'!J11</f>
        <v xml:space="preserve">  2  0  2  0  3  1  9  8  2  9</v>
      </c>
    </row>
    <row r="3" spans="1:10" s="502" customFormat="1" ht="7.5" customHeight="1" thickBot="1">
      <c r="A3" s="501"/>
      <c r="B3" s="580"/>
      <c r="C3" s="445"/>
      <c r="D3" s="445"/>
    </row>
    <row r="4" spans="1:10" s="560" customFormat="1" ht="11.25" customHeight="1">
      <c r="A4" s="579"/>
      <c r="B4" s="578"/>
      <c r="C4" s="577"/>
      <c r="D4" s="576"/>
      <c r="E4" s="2369" t="s">
        <v>1527</v>
      </c>
      <c r="F4" s="2393"/>
    </row>
    <row r="5" spans="1:10" s="560" customFormat="1" ht="33.75" customHeight="1">
      <c r="A5" s="795" t="s">
        <v>1447</v>
      </c>
      <c r="B5" s="793" t="s">
        <v>1298</v>
      </c>
      <c r="C5" s="573"/>
      <c r="D5" s="801" t="s">
        <v>1528</v>
      </c>
      <c r="E5" s="799" t="s">
        <v>1529</v>
      </c>
      <c r="F5" s="570" t="s">
        <v>1530</v>
      </c>
    </row>
    <row r="6" spans="1:10" s="560" customFormat="1" ht="29.65" customHeight="1">
      <c r="A6" s="803" t="s">
        <v>813</v>
      </c>
      <c r="B6" s="541" t="s">
        <v>2223</v>
      </c>
      <c r="C6" s="540"/>
      <c r="D6" s="798" t="s">
        <v>814</v>
      </c>
      <c r="E6" s="802">
        <f>'P&amp;L old'!D9</f>
        <v>0</v>
      </c>
      <c r="F6" s="539">
        <f>'P&amp;L old'!E9</f>
        <v>0</v>
      </c>
    </row>
    <row r="7" spans="1:10" s="560" customFormat="1" ht="29.65" customHeight="1">
      <c r="A7" s="803" t="s">
        <v>815</v>
      </c>
      <c r="B7" s="541" t="s">
        <v>1531</v>
      </c>
      <c r="C7" s="540"/>
      <c r="D7" s="798" t="s">
        <v>817</v>
      </c>
      <c r="E7" s="802">
        <f>'P&amp;L old'!D10</f>
        <v>0</v>
      </c>
      <c r="F7" s="539">
        <f>'P&amp;L old'!E10</f>
        <v>0</v>
      </c>
    </row>
    <row r="8" spans="1:10" s="565" customFormat="1" ht="29.65" customHeight="1">
      <c r="A8" s="805" t="s">
        <v>818</v>
      </c>
      <c r="B8" s="543" t="s">
        <v>819</v>
      </c>
      <c r="C8" s="542"/>
      <c r="D8" s="804" t="s">
        <v>820</v>
      </c>
      <c r="E8" s="802">
        <f>'P&amp;L old'!D11</f>
        <v>0</v>
      </c>
      <c r="F8" s="539">
        <f>'P&amp;L old'!E11</f>
        <v>0</v>
      </c>
    </row>
    <row r="9" spans="1:10" s="565" customFormat="1" ht="29.65" customHeight="1">
      <c r="A9" s="805" t="s">
        <v>821</v>
      </c>
      <c r="B9" s="543" t="s">
        <v>822</v>
      </c>
      <c r="C9" s="542"/>
      <c r="D9" s="804" t="s">
        <v>823</v>
      </c>
      <c r="E9" s="802">
        <f>'P&amp;L old'!D12</f>
        <v>0</v>
      </c>
      <c r="F9" s="539">
        <f>'P&amp;L old'!E12</f>
        <v>0</v>
      </c>
    </row>
    <row r="10" spans="1:10" s="560" customFormat="1" ht="29.65" customHeight="1">
      <c r="A10" s="796" t="s">
        <v>824</v>
      </c>
      <c r="B10" s="541" t="s">
        <v>825</v>
      </c>
      <c r="C10" s="540"/>
      <c r="D10" s="798" t="s">
        <v>826</v>
      </c>
      <c r="E10" s="802">
        <f>'P&amp;L old'!D13</f>
        <v>0</v>
      </c>
      <c r="F10" s="539">
        <f>'P&amp;L old'!E13</f>
        <v>0</v>
      </c>
    </row>
    <row r="11" spans="1:10" s="560" customFormat="1" ht="29.65" customHeight="1">
      <c r="A11" s="796" t="s">
        <v>532</v>
      </c>
      <c r="B11" s="541" t="s">
        <v>827</v>
      </c>
      <c r="C11" s="540"/>
      <c r="D11" s="798" t="s">
        <v>828</v>
      </c>
      <c r="E11" s="802">
        <f>'P&amp;L old'!D14</f>
        <v>0</v>
      </c>
      <c r="F11" s="539">
        <f>'P&amp;L old'!E14</f>
        <v>0</v>
      </c>
    </row>
    <row r="12" spans="1:10" s="560" customFormat="1" ht="29.65" customHeight="1">
      <c r="A12" s="796" t="s">
        <v>535</v>
      </c>
      <c r="B12" s="541" t="s">
        <v>829</v>
      </c>
      <c r="C12" s="540"/>
      <c r="D12" s="798" t="s">
        <v>830</v>
      </c>
      <c r="E12" s="802">
        <f>'P&amp;L old'!D15</f>
        <v>0</v>
      </c>
      <c r="F12" s="539">
        <f>'P&amp;L old'!E15</f>
        <v>0</v>
      </c>
    </row>
    <row r="13" spans="1:10" s="565" customFormat="1" ht="29.65" customHeight="1">
      <c r="A13" s="805" t="s">
        <v>594</v>
      </c>
      <c r="B13" s="543" t="s">
        <v>831</v>
      </c>
      <c r="C13" s="542"/>
      <c r="D13" s="804" t="s">
        <v>832</v>
      </c>
      <c r="E13" s="802">
        <f>'P&amp;L old'!D16</f>
        <v>0</v>
      </c>
      <c r="F13" s="539">
        <f>'P&amp;L old'!E16</f>
        <v>0</v>
      </c>
      <c r="J13" s="560"/>
    </row>
    <row r="14" spans="1:10" s="560" customFormat="1" ht="29.65" customHeight="1">
      <c r="A14" s="803" t="s">
        <v>833</v>
      </c>
      <c r="B14" s="541" t="s">
        <v>834</v>
      </c>
      <c r="C14" s="540"/>
      <c r="D14" s="798" t="s">
        <v>835</v>
      </c>
      <c r="E14" s="802">
        <f>'P&amp;L old'!D17</f>
        <v>0</v>
      </c>
      <c r="F14" s="539">
        <f>'P&amp;L old'!E17</f>
        <v>0</v>
      </c>
    </row>
    <row r="15" spans="1:10" s="560" customFormat="1" ht="29.65" customHeight="1">
      <c r="A15" s="803" t="s">
        <v>836</v>
      </c>
      <c r="B15" s="541" t="s">
        <v>837</v>
      </c>
      <c r="C15" s="540"/>
      <c r="D15" s="798" t="s">
        <v>838</v>
      </c>
      <c r="E15" s="802">
        <f>'P&amp;L old'!D18</f>
        <v>0</v>
      </c>
      <c r="F15" s="539">
        <f>'P&amp;L old'!E18</f>
        <v>0</v>
      </c>
    </row>
    <row r="16" spans="1:10" s="565" customFormat="1" ht="29.65" customHeight="1">
      <c r="A16" s="805" t="s">
        <v>818</v>
      </c>
      <c r="B16" s="543" t="s">
        <v>839</v>
      </c>
      <c r="C16" s="542"/>
      <c r="D16" s="804" t="s">
        <v>840</v>
      </c>
      <c r="E16" s="802">
        <f>'P&amp;L old'!D19</f>
        <v>0</v>
      </c>
      <c r="F16" s="539">
        <f>'P&amp;L old'!E19</f>
        <v>0</v>
      </c>
    </row>
    <row r="17" spans="1:6" s="560" customFormat="1" ht="29.65" customHeight="1">
      <c r="A17" s="803" t="s">
        <v>663</v>
      </c>
      <c r="B17" s="541" t="s">
        <v>841</v>
      </c>
      <c r="C17" s="540"/>
      <c r="D17" s="798" t="s">
        <v>842</v>
      </c>
      <c r="E17" s="802">
        <f>'P&amp;L old'!D20</f>
        <v>0</v>
      </c>
      <c r="F17" s="539">
        <f>'P&amp;L old'!E20</f>
        <v>0</v>
      </c>
    </row>
    <row r="18" spans="1:6" s="560" customFormat="1" ht="29.65" customHeight="1">
      <c r="A18" s="803" t="s">
        <v>666</v>
      </c>
      <c r="B18" s="541" t="s">
        <v>843</v>
      </c>
      <c r="C18" s="540"/>
      <c r="D18" s="798" t="s">
        <v>844</v>
      </c>
      <c r="E18" s="802">
        <f>'P&amp;L old'!D21</f>
        <v>0</v>
      </c>
      <c r="F18" s="539">
        <f>'P&amp;L old'!E21</f>
        <v>0</v>
      </c>
    </row>
    <row r="19" spans="1:6" s="560" customFormat="1" ht="29.65" customHeight="1">
      <c r="A19" s="803" t="s">
        <v>836</v>
      </c>
      <c r="B19" s="541" t="s">
        <v>845</v>
      </c>
      <c r="C19" s="540"/>
      <c r="D19" s="798" t="s">
        <v>846</v>
      </c>
      <c r="E19" s="802">
        <f>'P&amp;L old'!D22</f>
        <v>0</v>
      </c>
      <c r="F19" s="539">
        <f>'P&amp;L old'!E22</f>
        <v>0</v>
      </c>
    </row>
    <row r="20" spans="1:6" s="560" customFormat="1" ht="29.65" customHeight="1">
      <c r="A20" s="803" t="s">
        <v>847</v>
      </c>
      <c r="B20" s="541" t="s">
        <v>848</v>
      </c>
      <c r="C20" s="540"/>
      <c r="D20" s="798" t="s">
        <v>849</v>
      </c>
      <c r="E20" s="802">
        <f>'P&amp;L old'!D23</f>
        <v>0</v>
      </c>
      <c r="F20" s="539">
        <f>'P&amp;L old'!E23</f>
        <v>0</v>
      </c>
    </row>
    <row r="21" spans="1:6" s="560" customFormat="1" ht="29.65" customHeight="1">
      <c r="A21" s="803" t="s">
        <v>850</v>
      </c>
      <c r="B21" s="541" t="s">
        <v>851</v>
      </c>
      <c r="C21" s="540"/>
      <c r="D21" s="798" t="s">
        <v>852</v>
      </c>
      <c r="E21" s="802">
        <f>'P&amp;L old'!D24</f>
        <v>0</v>
      </c>
      <c r="F21" s="539">
        <f>'P&amp;L old'!E24</f>
        <v>0</v>
      </c>
    </row>
    <row r="22" spans="1:6" s="560" customFormat="1" ht="29.65" customHeight="1">
      <c r="A22" s="803" t="s">
        <v>853</v>
      </c>
      <c r="B22" s="541" t="s">
        <v>854</v>
      </c>
      <c r="C22" s="540"/>
      <c r="D22" s="798" t="s">
        <v>855</v>
      </c>
      <c r="E22" s="802">
        <f>'P&amp;L old'!D25</f>
        <v>0</v>
      </c>
      <c r="F22" s="539">
        <f>'P&amp;L old'!E25</f>
        <v>0</v>
      </c>
    </row>
    <row r="23" spans="1:6" s="560" customFormat="1" ht="29.65" customHeight="1">
      <c r="A23" s="803" t="s">
        <v>856</v>
      </c>
      <c r="B23" s="541" t="s">
        <v>857</v>
      </c>
      <c r="C23" s="540"/>
      <c r="D23" s="798" t="s">
        <v>858</v>
      </c>
      <c r="E23" s="802">
        <f>'P&amp;L old'!D26</f>
        <v>0</v>
      </c>
      <c r="F23" s="539">
        <f>'P&amp;L old'!E26</f>
        <v>0</v>
      </c>
    </row>
    <row r="24" spans="1:6" s="560" customFormat="1" ht="29.65" customHeight="1">
      <c r="A24" s="803" t="s">
        <v>859</v>
      </c>
      <c r="B24" s="541" t="s">
        <v>860</v>
      </c>
      <c r="C24" s="540"/>
      <c r="D24" s="798" t="s">
        <v>861</v>
      </c>
      <c r="E24" s="802">
        <f>'P&amp;L old'!D27</f>
        <v>0</v>
      </c>
      <c r="F24" s="539">
        <f>'P&amp;L old'!E27</f>
        <v>0</v>
      </c>
    </row>
    <row r="25" spans="1:6" s="560" customFormat="1" ht="29.65" customHeight="1">
      <c r="A25" s="803" t="s">
        <v>862</v>
      </c>
      <c r="B25" s="541" t="s">
        <v>863</v>
      </c>
      <c r="C25" s="540"/>
      <c r="D25" s="798" t="s">
        <v>864</v>
      </c>
      <c r="E25" s="802">
        <f>'P&amp;L old'!D28</f>
        <v>0</v>
      </c>
      <c r="F25" s="539">
        <f>'P&amp;L old'!E28</f>
        <v>0</v>
      </c>
    </row>
    <row r="26" spans="1:6" s="560" customFormat="1" ht="29.65" customHeight="1">
      <c r="A26" s="803" t="s">
        <v>865</v>
      </c>
      <c r="B26" s="569" t="s">
        <v>866</v>
      </c>
      <c r="C26" s="568"/>
      <c r="D26" s="798" t="s">
        <v>867</v>
      </c>
      <c r="E26" s="802">
        <f>'P&amp;L old'!D29</f>
        <v>0</v>
      </c>
      <c r="F26" s="539">
        <f>'P&amp;L old'!E29</f>
        <v>0</v>
      </c>
    </row>
    <row r="27" spans="1:6" s="560" customFormat="1" ht="29.65" customHeight="1">
      <c r="A27" s="803" t="s">
        <v>868</v>
      </c>
      <c r="B27" s="541" t="s">
        <v>1532</v>
      </c>
      <c r="C27" s="540"/>
      <c r="D27" s="798" t="s">
        <v>870</v>
      </c>
      <c r="E27" s="802">
        <f>'P&amp;L old'!D30</f>
        <v>0</v>
      </c>
      <c r="F27" s="539">
        <f>'P&amp;L old'!E30</f>
        <v>0</v>
      </c>
    </row>
    <row r="28" spans="1:6" s="560" customFormat="1" ht="29.65" customHeight="1">
      <c r="A28" s="803" t="s">
        <v>871</v>
      </c>
      <c r="B28" s="569" t="s">
        <v>1533</v>
      </c>
      <c r="C28" s="568"/>
      <c r="D28" s="798" t="s">
        <v>873</v>
      </c>
      <c r="E28" s="802">
        <f>'P&amp;L old'!D31</f>
        <v>0</v>
      </c>
      <c r="F28" s="539">
        <f>'P&amp;L old'!E31</f>
        <v>0</v>
      </c>
    </row>
    <row r="29" spans="1:6" s="560" customFormat="1" ht="29.65" customHeight="1">
      <c r="A29" s="803" t="s">
        <v>874</v>
      </c>
      <c r="B29" s="541" t="s">
        <v>875</v>
      </c>
      <c r="C29" s="540"/>
      <c r="D29" s="798" t="s">
        <v>876</v>
      </c>
      <c r="E29" s="802">
        <f>'P&amp;L old'!D32</f>
        <v>0</v>
      </c>
      <c r="F29" s="539">
        <f>'P&amp;L old'!E32</f>
        <v>0</v>
      </c>
    </row>
    <row r="30" spans="1:6" s="560" customFormat="1" ht="29.65" customHeight="1">
      <c r="A30" s="803" t="s">
        <v>877</v>
      </c>
      <c r="B30" s="541" t="s">
        <v>878</v>
      </c>
      <c r="C30" s="540"/>
      <c r="D30" s="798" t="s">
        <v>879</v>
      </c>
      <c r="E30" s="802">
        <f>'P&amp;L old'!D33</f>
        <v>0</v>
      </c>
      <c r="F30" s="539">
        <f>'P&amp;L old'!E33</f>
        <v>0</v>
      </c>
    </row>
    <row r="31" spans="1:6" s="565" customFormat="1" ht="33.75" customHeight="1">
      <c r="A31" s="805" t="s">
        <v>880</v>
      </c>
      <c r="B31" s="567" t="s">
        <v>881</v>
      </c>
      <c r="C31" s="566"/>
      <c r="D31" s="804" t="s">
        <v>882</v>
      </c>
      <c r="E31" s="802">
        <f>'P&amp;L old'!D34</f>
        <v>0</v>
      </c>
      <c r="F31" s="539">
        <f>'P&amp;L old'!E34</f>
        <v>0</v>
      </c>
    </row>
    <row r="32" spans="1:6" s="560" customFormat="1" ht="29.65" customHeight="1" thickBot="1">
      <c r="A32" s="564" t="s">
        <v>883</v>
      </c>
      <c r="B32" s="563" t="s">
        <v>884</v>
      </c>
      <c r="C32" s="562"/>
      <c r="D32" s="561" t="s">
        <v>885</v>
      </c>
      <c r="E32" s="853">
        <f>'P&amp;L old'!D35</f>
        <v>0</v>
      </c>
      <c r="F32" s="854">
        <f>'P&amp;L old'!E35</f>
        <v>0</v>
      </c>
    </row>
    <row r="33" spans="1:6" ht="24.75" customHeight="1">
      <c r="A33" s="552" t="s">
        <v>886</v>
      </c>
      <c r="B33" s="551" t="s">
        <v>887</v>
      </c>
      <c r="C33" s="550"/>
      <c r="D33" s="797" t="s">
        <v>888</v>
      </c>
      <c r="E33" s="839">
        <f>'P&amp;L old'!D36</f>
        <v>0</v>
      </c>
      <c r="F33" s="855">
        <f>'P&amp;L old'!E36</f>
        <v>0</v>
      </c>
    </row>
    <row r="34" spans="1:6" ht="30.75" customHeight="1">
      <c r="A34" s="552" t="s">
        <v>889</v>
      </c>
      <c r="B34" s="559" t="s">
        <v>1534</v>
      </c>
      <c r="C34" s="558"/>
      <c r="D34" s="797" t="s">
        <v>891</v>
      </c>
      <c r="E34" s="839">
        <f>'P&amp;L old'!D37</f>
        <v>0</v>
      </c>
      <c r="F34" s="855">
        <f>'P&amp;L old'!E37</f>
        <v>0</v>
      </c>
    </row>
    <row r="35" spans="1:6" ht="36.75" customHeight="1">
      <c r="A35" s="803" t="s">
        <v>892</v>
      </c>
      <c r="B35" s="541" t="s">
        <v>893</v>
      </c>
      <c r="C35" s="540"/>
      <c r="D35" s="798" t="s">
        <v>894</v>
      </c>
      <c r="E35" s="802">
        <f>'P&amp;L old'!D38</f>
        <v>0</v>
      </c>
      <c r="F35" s="539">
        <f>'P&amp;L old'!E38</f>
        <v>0</v>
      </c>
    </row>
    <row r="36" spans="1:6" ht="30.75" customHeight="1">
      <c r="A36" s="803" t="s">
        <v>895</v>
      </c>
      <c r="B36" s="541" t="s">
        <v>896</v>
      </c>
      <c r="C36" s="540"/>
      <c r="D36" s="798" t="s">
        <v>897</v>
      </c>
      <c r="E36" s="802">
        <f>'P&amp;L old'!D39</f>
        <v>0</v>
      </c>
      <c r="F36" s="539">
        <f>'P&amp;L old'!E39</f>
        <v>0</v>
      </c>
    </row>
    <row r="37" spans="1:6" ht="30" customHeight="1">
      <c r="A37" s="803" t="s">
        <v>898</v>
      </c>
      <c r="B37" s="541" t="s">
        <v>899</v>
      </c>
      <c r="C37" s="540"/>
      <c r="D37" s="798" t="s">
        <v>900</v>
      </c>
      <c r="E37" s="802">
        <f>'P&amp;L old'!D40</f>
        <v>0</v>
      </c>
      <c r="F37" s="539">
        <f>'P&amp;L old'!E40</f>
        <v>0</v>
      </c>
    </row>
    <row r="38" spans="1:6" ht="26.25" customHeight="1">
      <c r="A38" s="803" t="s">
        <v>901</v>
      </c>
      <c r="B38" s="541" t="s">
        <v>902</v>
      </c>
      <c r="C38" s="540"/>
      <c r="D38" s="798" t="s">
        <v>903</v>
      </c>
      <c r="E38" s="802">
        <f>'P&amp;L old'!D41</f>
        <v>0</v>
      </c>
      <c r="F38" s="539">
        <f>'P&amp;L old'!E41</f>
        <v>0</v>
      </c>
    </row>
    <row r="39" spans="1:6" ht="22.5" customHeight="1">
      <c r="A39" s="803" t="s">
        <v>904</v>
      </c>
      <c r="B39" s="541" t="s">
        <v>905</v>
      </c>
      <c r="C39" s="540"/>
      <c r="D39" s="798" t="s">
        <v>906</v>
      </c>
      <c r="E39" s="802">
        <f>'P&amp;L old'!D42</f>
        <v>0</v>
      </c>
      <c r="F39" s="539">
        <f>'P&amp;L old'!E42</f>
        <v>0</v>
      </c>
    </row>
    <row r="40" spans="1:6" ht="30.75" customHeight="1">
      <c r="A40" s="803" t="s">
        <v>907</v>
      </c>
      <c r="B40" s="541" t="s">
        <v>908</v>
      </c>
      <c r="C40" s="540"/>
      <c r="D40" s="798" t="s">
        <v>909</v>
      </c>
      <c r="E40" s="802">
        <f>'P&amp;L old'!D43</f>
        <v>0</v>
      </c>
      <c r="F40" s="539">
        <f>'P&amp;L old'!E43</f>
        <v>0</v>
      </c>
    </row>
    <row r="41" spans="1:6" ht="30" customHeight="1">
      <c r="A41" s="803" t="s">
        <v>910</v>
      </c>
      <c r="B41" s="541" t="s">
        <v>911</v>
      </c>
      <c r="C41" s="540"/>
      <c r="D41" s="798" t="s">
        <v>912</v>
      </c>
      <c r="E41" s="802">
        <f>'P&amp;L old'!D44</f>
        <v>0</v>
      </c>
      <c r="F41" s="539">
        <f>'P&amp;L old'!E44</f>
        <v>0</v>
      </c>
    </row>
    <row r="42" spans="1:6" ht="32.25" customHeight="1">
      <c r="A42" s="803" t="s">
        <v>913</v>
      </c>
      <c r="B42" s="541" t="s">
        <v>914</v>
      </c>
      <c r="C42" s="540"/>
      <c r="D42" s="798" t="s">
        <v>915</v>
      </c>
      <c r="E42" s="802">
        <f>'P&amp;L old'!D45</f>
        <v>0</v>
      </c>
      <c r="F42" s="539">
        <f>'P&amp;L old'!E45</f>
        <v>0</v>
      </c>
    </row>
    <row r="43" spans="1:6" ht="24" customHeight="1">
      <c r="A43" s="803" t="s">
        <v>916</v>
      </c>
      <c r="B43" s="541" t="s">
        <v>917</v>
      </c>
      <c r="C43" s="540"/>
      <c r="D43" s="798" t="s">
        <v>918</v>
      </c>
      <c r="E43" s="802">
        <f>'P&amp;L old'!D46</f>
        <v>0</v>
      </c>
      <c r="F43" s="539">
        <f>'P&amp;L old'!E46</f>
        <v>0</v>
      </c>
    </row>
    <row r="44" spans="1:6" ht="26.25" customHeight="1">
      <c r="A44" s="803" t="s">
        <v>919</v>
      </c>
      <c r="B44" s="541" t="s">
        <v>920</v>
      </c>
      <c r="C44" s="540"/>
      <c r="D44" s="798" t="s">
        <v>921</v>
      </c>
      <c r="E44" s="802">
        <f>'P&amp;L old'!D47</f>
        <v>0</v>
      </c>
      <c r="F44" s="539">
        <f>'P&amp;L old'!E47</f>
        <v>0</v>
      </c>
    </row>
    <row r="45" spans="1:6" ht="24.75" customHeight="1">
      <c r="A45" s="803" t="s">
        <v>922</v>
      </c>
      <c r="B45" s="541" t="s">
        <v>923</v>
      </c>
      <c r="C45" s="540"/>
      <c r="D45" s="798" t="s">
        <v>924</v>
      </c>
      <c r="E45" s="802">
        <f>'P&amp;L old'!D48</f>
        <v>0</v>
      </c>
      <c r="F45" s="539">
        <f>'P&amp;L old'!E48</f>
        <v>0</v>
      </c>
    </row>
    <row r="46" spans="1:6" ht="27" customHeight="1">
      <c r="A46" s="803" t="s">
        <v>925</v>
      </c>
      <c r="B46" s="541" t="s">
        <v>926</v>
      </c>
      <c r="C46" s="540"/>
      <c r="D46" s="798" t="s">
        <v>927</v>
      </c>
      <c r="E46" s="802">
        <f>'P&amp;L old'!D49</f>
        <v>0</v>
      </c>
      <c r="F46" s="539">
        <f>'P&amp;L old'!E49</f>
        <v>0</v>
      </c>
    </row>
    <row r="47" spans="1:6" ht="29.25" customHeight="1">
      <c r="A47" s="803" t="s">
        <v>928</v>
      </c>
      <c r="B47" s="541" t="s">
        <v>929</v>
      </c>
      <c r="C47" s="540"/>
      <c r="D47" s="798" t="s">
        <v>930</v>
      </c>
      <c r="E47" s="802">
        <f>'P&amp;L old'!D50</f>
        <v>0</v>
      </c>
      <c r="F47" s="539">
        <f>'P&amp;L old'!E50</f>
        <v>0</v>
      </c>
    </row>
    <row r="48" spans="1:6" ht="27.75" customHeight="1">
      <c r="A48" s="803" t="s">
        <v>931</v>
      </c>
      <c r="B48" s="541" t="s">
        <v>932</v>
      </c>
      <c r="C48" s="540"/>
      <c r="D48" s="798" t="s">
        <v>933</v>
      </c>
      <c r="E48" s="802">
        <f>'P&amp;L old'!D51</f>
        <v>0</v>
      </c>
      <c r="F48" s="539">
        <f>'P&amp;L old'!E51</f>
        <v>0</v>
      </c>
    </row>
    <row r="49" spans="1:6" ht="27.75" customHeight="1">
      <c r="A49" s="803" t="s">
        <v>934</v>
      </c>
      <c r="B49" s="541" t="s">
        <v>935</v>
      </c>
      <c r="C49" s="540"/>
      <c r="D49" s="798" t="s">
        <v>936</v>
      </c>
      <c r="E49" s="802">
        <f>'P&amp;L old'!D52</f>
        <v>0</v>
      </c>
      <c r="F49" s="539">
        <f>'P&amp;L old'!E52</f>
        <v>0</v>
      </c>
    </row>
    <row r="50" spans="1:6" ht="27.75" customHeight="1">
      <c r="A50" s="803" t="s">
        <v>937</v>
      </c>
      <c r="B50" s="541" t="s">
        <v>938</v>
      </c>
      <c r="C50" s="540"/>
      <c r="D50" s="798" t="s">
        <v>939</v>
      </c>
      <c r="E50" s="802">
        <f>'P&amp;L old'!D53</f>
        <v>0</v>
      </c>
      <c r="F50" s="539">
        <f>'P&amp;L old'!E53</f>
        <v>0</v>
      </c>
    </row>
    <row r="51" spans="1:6" s="536" customFormat="1" ht="44.25" customHeight="1">
      <c r="A51" s="555" t="s">
        <v>880</v>
      </c>
      <c r="B51" s="557" t="s">
        <v>1535</v>
      </c>
      <c r="C51" s="556"/>
      <c r="D51" s="804" t="s">
        <v>941</v>
      </c>
      <c r="E51" s="802">
        <f>'P&amp;L old'!D54</f>
        <v>0</v>
      </c>
      <c r="F51" s="539">
        <f>'P&amp;L old'!E54</f>
        <v>0</v>
      </c>
    </row>
    <row r="52" spans="1:6" s="536" customFormat="1" ht="29.25" customHeight="1">
      <c r="A52" s="555" t="s">
        <v>942</v>
      </c>
      <c r="B52" s="554" t="s">
        <v>943</v>
      </c>
      <c r="C52" s="553"/>
      <c r="D52" s="804" t="s">
        <v>944</v>
      </c>
      <c r="E52" s="802">
        <f>'P&amp;L old'!D55</f>
        <v>0</v>
      </c>
      <c r="F52" s="539">
        <f>'P&amp;L old'!E55</f>
        <v>0</v>
      </c>
    </row>
    <row r="53" spans="1:6" ht="30.75" customHeight="1">
      <c r="A53" s="803" t="s">
        <v>945</v>
      </c>
      <c r="B53" s="541" t="s">
        <v>946</v>
      </c>
      <c r="C53" s="540"/>
      <c r="D53" s="798" t="s">
        <v>947</v>
      </c>
      <c r="E53" s="802">
        <f>'P&amp;L old'!D56</f>
        <v>0</v>
      </c>
      <c r="F53" s="539">
        <f>'P&amp;L old'!E56</f>
        <v>0</v>
      </c>
    </row>
    <row r="54" spans="1:6" ht="28.5" customHeight="1">
      <c r="A54" s="806" t="s">
        <v>948</v>
      </c>
      <c r="B54" s="541" t="s">
        <v>1536</v>
      </c>
      <c r="C54" s="540"/>
      <c r="D54" s="798" t="s">
        <v>950</v>
      </c>
      <c r="E54" s="802">
        <f>'P&amp;L old'!D57</f>
        <v>0</v>
      </c>
      <c r="F54" s="539">
        <f>'P&amp;L old'!E57</f>
        <v>0</v>
      </c>
    </row>
    <row r="55" spans="1:6" ht="28.5" customHeight="1">
      <c r="A55" s="803" t="s">
        <v>836</v>
      </c>
      <c r="B55" s="541" t="s">
        <v>1537</v>
      </c>
      <c r="C55" s="540"/>
      <c r="D55" s="798" t="s">
        <v>952</v>
      </c>
      <c r="E55" s="802">
        <f>'P&amp;L old'!D58</f>
        <v>0</v>
      </c>
      <c r="F55" s="539">
        <f>'P&amp;L old'!E58</f>
        <v>0</v>
      </c>
    </row>
    <row r="56" spans="1:6" s="536" customFormat="1" ht="31.5" customHeight="1">
      <c r="A56" s="555" t="s">
        <v>942</v>
      </c>
      <c r="B56" s="554" t="s">
        <v>1538</v>
      </c>
      <c r="C56" s="553"/>
      <c r="D56" s="804" t="s">
        <v>954</v>
      </c>
      <c r="E56" s="802">
        <f>'P&amp;L old'!D59</f>
        <v>0</v>
      </c>
      <c r="F56" s="539">
        <f>'P&amp;L old'!E59</f>
        <v>0</v>
      </c>
    </row>
    <row r="57" spans="1:6" ht="29.25" customHeight="1">
      <c r="A57" s="803" t="s">
        <v>955</v>
      </c>
      <c r="B57" s="541" t="s">
        <v>956</v>
      </c>
      <c r="C57" s="540"/>
      <c r="D57" s="798" t="s">
        <v>957</v>
      </c>
      <c r="E57" s="802">
        <f>'P&amp;L old'!D60</f>
        <v>0</v>
      </c>
      <c r="F57" s="539">
        <f>'P&amp;L old'!E60</f>
        <v>0</v>
      </c>
    </row>
    <row r="58" spans="1:6" ht="28.5" customHeight="1">
      <c r="A58" s="803" t="s">
        <v>958</v>
      </c>
      <c r="B58" s="541" t="s">
        <v>959</v>
      </c>
      <c r="C58" s="540"/>
      <c r="D58" s="798" t="s">
        <v>960</v>
      </c>
      <c r="E58" s="802">
        <f>'P&amp;L old'!D61</f>
        <v>0</v>
      </c>
      <c r="F58" s="539">
        <f>'P&amp;L old'!E61</f>
        <v>0</v>
      </c>
    </row>
    <row r="59" spans="1:6" ht="30.75" customHeight="1" thickBot="1">
      <c r="A59" s="512" t="s">
        <v>880</v>
      </c>
      <c r="B59" s="538" t="s">
        <v>961</v>
      </c>
      <c r="C59" s="537"/>
      <c r="D59" s="511" t="s">
        <v>962</v>
      </c>
      <c r="E59" s="853">
        <f>'P&amp;L old'!D62</f>
        <v>0</v>
      </c>
      <c r="F59" s="854">
        <f>'P&amp;L old'!E62</f>
        <v>0</v>
      </c>
    </row>
    <row r="60" spans="1:6" ht="27.75" customHeight="1">
      <c r="A60" s="552" t="s">
        <v>963</v>
      </c>
      <c r="B60" s="551" t="s">
        <v>964</v>
      </c>
      <c r="C60" s="550"/>
      <c r="D60" s="797" t="s">
        <v>965</v>
      </c>
      <c r="E60" s="839">
        <f>'P&amp;L old'!D63</f>
        <v>0</v>
      </c>
      <c r="F60" s="855">
        <f>'P&amp;L old'!E63</f>
        <v>0</v>
      </c>
    </row>
    <row r="61" spans="1:6" ht="27.75" customHeight="1">
      <c r="A61" s="806" t="s">
        <v>966</v>
      </c>
      <c r="B61" s="541" t="s">
        <v>1539</v>
      </c>
      <c r="C61" s="540"/>
      <c r="D61" s="798" t="s">
        <v>968</v>
      </c>
      <c r="E61" s="802">
        <f>'P&amp;L old'!D64</f>
        <v>0</v>
      </c>
      <c r="F61" s="539">
        <f>'P&amp;L old'!E64</f>
        <v>0</v>
      </c>
    </row>
    <row r="62" spans="1:6" ht="27.75" customHeight="1">
      <c r="A62" s="803" t="s">
        <v>836</v>
      </c>
      <c r="B62" s="541" t="s">
        <v>1540</v>
      </c>
      <c r="C62" s="540"/>
      <c r="D62" s="798" t="s">
        <v>970</v>
      </c>
      <c r="E62" s="802">
        <f>'P&amp;L old'!D65</f>
        <v>0</v>
      </c>
      <c r="F62" s="539">
        <f>'P&amp;L old'!E65</f>
        <v>0</v>
      </c>
    </row>
    <row r="63" spans="1:6" s="536" customFormat="1" ht="27.75" customHeight="1">
      <c r="A63" s="547" t="s">
        <v>880</v>
      </c>
      <c r="B63" s="546" t="s">
        <v>971</v>
      </c>
      <c r="C63" s="545"/>
      <c r="D63" s="808" t="s">
        <v>972</v>
      </c>
      <c r="E63" s="839">
        <f>'P&amp;L old'!D66</f>
        <v>0</v>
      </c>
      <c r="F63" s="855">
        <f>'P&amp;L old'!E66</f>
        <v>0</v>
      </c>
    </row>
    <row r="64" spans="1:6" s="536" customFormat="1" ht="27.75" customHeight="1">
      <c r="A64" s="805" t="s">
        <v>973</v>
      </c>
      <c r="B64" s="543" t="s">
        <v>974</v>
      </c>
      <c r="C64" s="542"/>
      <c r="D64" s="804" t="s">
        <v>975</v>
      </c>
      <c r="E64" s="802">
        <f>'P&amp;L old'!D67</f>
        <v>0</v>
      </c>
      <c r="F64" s="539">
        <f>'P&amp;L old'!E67</f>
        <v>0</v>
      </c>
    </row>
    <row r="65" spans="1:6" ht="27.75" customHeight="1">
      <c r="A65" s="803" t="s">
        <v>976</v>
      </c>
      <c r="B65" s="541" t="s">
        <v>1541</v>
      </c>
      <c r="C65" s="540"/>
      <c r="D65" s="798" t="s">
        <v>978</v>
      </c>
      <c r="E65" s="802">
        <f>'P&amp;L old'!D68</f>
        <v>0</v>
      </c>
      <c r="F65" s="539">
        <f>'P&amp;L old'!E68</f>
        <v>0</v>
      </c>
    </row>
    <row r="66" spans="1:6" s="536" customFormat="1" ht="27.75" customHeight="1" thickBot="1">
      <c r="A66" s="512" t="s">
        <v>973</v>
      </c>
      <c r="B66" s="538" t="s">
        <v>979</v>
      </c>
      <c r="C66" s="537"/>
      <c r="D66" s="511" t="s">
        <v>980</v>
      </c>
      <c r="E66" s="853">
        <f>'P&amp;L old'!D69</f>
        <v>0</v>
      </c>
      <c r="F66" s="854">
        <f>'P&amp;L old'!E69</f>
        <v>0</v>
      </c>
    </row>
  </sheetData>
  <mergeCells count="1">
    <mergeCell ref="E4:F4"/>
  </mergeCells>
  <pageMargins left="0.74803149606299213" right="0.55118110236220474" top="0.78740157480314965" bottom="0.47244094488188981" header="0.47244094488188981" footer="0.23622047244094491"/>
  <pageSetup paperSize="9" scale="80" firstPageNumber="2" orientation="portrait" useFirstPageNumber="1" r:id="rId1"/>
  <headerFooter alignWithMargins="0">
    <oddHeader>&amp;LUVPOD2v09_&amp;P</oddHeader>
    <oddFooter>&amp;LMF SR č. 24219/3/2008/1&amp;RPage &amp;P</oddFooter>
  </headerFooter>
  <rowBreaks count="2" manualBreakCount="2">
    <brk id="32" max="5" man="1"/>
    <brk id="59" max="5" man="1"/>
  </rowBreaks>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K53"/>
  <sheetViews>
    <sheetView showGridLines="0" view="pageBreakPreview" zoomScaleNormal="100" zoomScaleSheetLayoutView="100" workbookViewId="0">
      <selection activeCell="E4" sqref="E4"/>
    </sheetView>
  </sheetViews>
  <sheetFormatPr defaultColWidth="9.140625" defaultRowHeight="12.75"/>
  <cols>
    <col min="1" max="45" width="2.5703125" style="927" customWidth="1"/>
    <col min="46" max="46" width="7.7109375" style="927" customWidth="1"/>
    <col min="47" max="61" width="2.5703125" style="927" customWidth="1"/>
    <col min="62" max="16384" width="9.140625" style="927"/>
  </cols>
  <sheetData>
    <row r="1" spans="1:37" s="500" customFormat="1" ht="9.75">
      <c r="C1" s="501" t="s">
        <v>1717</v>
      </c>
    </row>
    <row r="2" spans="1:37" s="397" customFormat="1" ht="21" customHeight="1">
      <c r="C2" s="499" t="s">
        <v>2009</v>
      </c>
      <c r="D2" s="498"/>
      <c r="E2" s="498"/>
      <c r="F2" s="498"/>
      <c r="G2" s="498"/>
      <c r="H2" s="498"/>
      <c r="I2" s="498"/>
      <c r="J2" s="498"/>
      <c r="K2" s="497"/>
      <c r="Q2" s="496" t="s">
        <v>2010</v>
      </c>
    </row>
    <row r="3" spans="1:37" ht="13.5" thickBot="1">
      <c r="N3" s="904"/>
      <c r="O3" s="904" t="s">
        <v>2011</v>
      </c>
    </row>
    <row r="4" spans="1:37" ht="28.5" customHeight="1" thickBot="1">
      <c r="K4" s="929" t="s">
        <v>2021</v>
      </c>
      <c r="L4" s="494"/>
      <c r="M4" s="494"/>
      <c r="N4" s="494"/>
      <c r="O4" s="494"/>
      <c r="P4" s="494" t="str">
        <f>'Notes-SK Cover sheet'!O4</f>
        <v>3</v>
      </c>
      <c r="Q4" s="494" t="str">
        <f>'Notes-SK Cover sheet'!P4</f>
        <v>1</v>
      </c>
      <c r="R4" s="494" t="str">
        <f>'Notes-SK Cover sheet'!Q4</f>
        <v>.</v>
      </c>
      <c r="S4" s="494" t="str">
        <f>'Notes-SK Cover sheet'!R4</f>
        <v>0</v>
      </c>
      <c r="T4" s="494" t="str">
        <f>'Notes-SK Cover sheet'!S4</f>
        <v>3</v>
      </c>
      <c r="U4" s="494" t="str">
        <f>'Notes-SK Cover sheet'!T4</f>
        <v>.</v>
      </c>
      <c r="V4" s="494" t="str">
        <f>'Notes-SK Cover sheet'!U4</f>
        <v>2</v>
      </c>
      <c r="W4" s="494" t="str">
        <f>'Notes-SK Cover sheet'!V4</f>
        <v>0</v>
      </c>
      <c r="X4" s="494" t="str">
        <f>'Notes-SK Cover sheet'!W4</f>
        <v>1</v>
      </c>
      <c r="Y4" s="494" t="str">
        <f>'Notes-SK Cover sheet'!X4</f>
        <v>8</v>
      </c>
      <c r="Z4" s="491"/>
    </row>
    <row r="5" spans="1:37" ht="7.5" customHeight="1" thickBot="1"/>
    <row r="6" spans="1:37" s="487" customFormat="1" ht="14.25" customHeight="1">
      <c r="A6" s="490" t="s">
        <v>2224</v>
      </c>
      <c r="B6" s="489"/>
      <c r="C6" s="489"/>
      <c r="D6" s="489"/>
      <c r="E6" s="489"/>
      <c r="F6" s="489"/>
      <c r="G6" s="489"/>
      <c r="H6" s="489"/>
      <c r="I6" s="489"/>
      <c r="J6" s="489"/>
      <c r="K6" s="489"/>
      <c r="L6" s="489"/>
      <c r="M6" s="489"/>
      <c r="N6" s="489"/>
      <c r="O6" s="489"/>
      <c r="P6" s="489"/>
      <c r="Q6" s="489"/>
      <c r="R6" s="489"/>
      <c r="S6" s="488"/>
      <c r="T6" s="489"/>
      <c r="U6" s="489"/>
      <c r="V6" s="489"/>
      <c r="W6" s="489"/>
      <c r="X6" s="489"/>
      <c r="Y6" s="489"/>
      <c r="Z6" s="489"/>
      <c r="AA6" s="489"/>
      <c r="AB6" s="489"/>
      <c r="AC6" s="489"/>
      <c r="AD6" s="489"/>
      <c r="AE6" s="489"/>
      <c r="AF6" s="489"/>
      <c r="AG6" s="489"/>
      <c r="AH6" s="489"/>
      <c r="AI6" s="489"/>
      <c r="AJ6" s="489"/>
      <c r="AK6" s="488"/>
    </row>
    <row r="7" spans="1:37" s="391" customFormat="1" ht="15" customHeight="1">
      <c r="A7" s="403" t="s">
        <v>1525</v>
      </c>
      <c r="B7" s="402"/>
      <c r="C7" s="402"/>
      <c r="D7" s="402"/>
      <c r="E7" s="402"/>
      <c r="F7" s="402"/>
      <c r="G7" s="402"/>
      <c r="H7" s="402"/>
      <c r="I7" s="402"/>
      <c r="J7" s="402"/>
      <c r="K7" s="402"/>
      <c r="L7" s="402"/>
      <c r="M7" s="402"/>
      <c r="N7" s="402"/>
      <c r="O7" s="402"/>
      <c r="P7" s="402"/>
      <c r="Q7" s="402"/>
      <c r="R7" s="402"/>
      <c r="S7" s="486"/>
      <c r="T7" s="402"/>
      <c r="U7" s="402"/>
      <c r="V7" s="402"/>
      <c r="W7" s="402"/>
      <c r="X7" s="402"/>
      <c r="Y7" s="402"/>
      <c r="Z7" s="402"/>
      <c r="AA7" s="402"/>
      <c r="AB7" s="402"/>
      <c r="AC7" s="402"/>
      <c r="AD7" s="402"/>
      <c r="AE7" s="402"/>
      <c r="AF7" s="402"/>
      <c r="AG7" s="402"/>
      <c r="AH7" s="402"/>
      <c r="AI7" s="402"/>
      <c r="AJ7" s="402"/>
      <c r="AK7" s="486"/>
    </row>
    <row r="8" spans="1:37" s="482" customFormat="1" ht="18" customHeight="1" thickBot="1">
      <c r="A8" s="485" t="s">
        <v>1067</v>
      </c>
      <c r="B8" s="484"/>
      <c r="C8" s="484"/>
      <c r="D8" s="484"/>
      <c r="E8" s="485"/>
      <c r="F8" s="484"/>
      <c r="G8" s="484"/>
      <c r="H8" s="484"/>
      <c r="I8" s="484"/>
      <c r="J8" s="484"/>
      <c r="K8" s="484"/>
      <c r="L8" s="484"/>
      <c r="M8" s="484"/>
      <c r="N8" s="484"/>
      <c r="O8" s="484"/>
      <c r="P8" s="484"/>
      <c r="Q8" s="484"/>
      <c r="R8" s="484"/>
      <c r="S8" s="483"/>
      <c r="T8" s="484"/>
      <c r="U8" s="484"/>
      <c r="V8" s="484"/>
      <c r="W8" s="484"/>
      <c r="X8" s="484"/>
      <c r="Y8" s="484"/>
      <c r="Z8" s="484"/>
      <c r="AA8" s="484"/>
      <c r="AB8" s="484"/>
      <c r="AC8" s="484"/>
      <c r="AD8" s="484"/>
      <c r="AE8" s="484"/>
      <c r="AF8" s="484"/>
      <c r="AG8" s="484"/>
      <c r="AH8" s="484"/>
      <c r="AI8" s="484"/>
      <c r="AJ8" s="484"/>
      <c r="AK8" s="483"/>
    </row>
    <row r="9" spans="1:37" s="462" customFormat="1" ht="3.75" customHeight="1" thickBot="1"/>
    <row r="10" spans="1:37" s="462" customFormat="1" ht="14.25" customHeight="1">
      <c r="A10" s="464" t="s">
        <v>1417</v>
      </c>
      <c r="B10" s="463"/>
      <c r="C10" s="463"/>
      <c r="D10" s="463"/>
      <c r="E10" s="463"/>
      <c r="F10" s="463"/>
      <c r="G10" s="463"/>
      <c r="H10" s="463"/>
      <c r="I10" s="407"/>
      <c r="J10" s="406"/>
      <c r="K10" s="480" t="s">
        <v>1418</v>
      </c>
      <c r="L10" s="463"/>
      <c r="M10" s="481"/>
      <c r="N10" s="481"/>
      <c r="O10" s="481"/>
      <c r="P10" s="463"/>
      <c r="Q10" s="480" t="s">
        <v>1418</v>
      </c>
      <c r="R10" s="463"/>
      <c r="S10" s="407"/>
      <c r="T10" s="463"/>
      <c r="U10" s="463"/>
      <c r="V10" s="479"/>
      <c r="W10" s="463"/>
      <c r="X10" s="463"/>
      <c r="Y10" s="463"/>
      <c r="Z10" s="463"/>
      <c r="AA10" s="463"/>
      <c r="AB10" s="463"/>
      <c r="AC10" s="463"/>
      <c r="AD10" s="480" t="s">
        <v>1419</v>
      </c>
      <c r="AE10" s="480"/>
      <c r="AF10" s="480"/>
      <c r="AG10" s="480" t="s">
        <v>1420</v>
      </c>
      <c r="AH10" s="463"/>
      <c r="AI10" s="463"/>
      <c r="AJ10" s="463"/>
      <c r="AK10" s="479"/>
    </row>
    <row r="11" spans="1:37" s="462" customFormat="1" ht="19.5" customHeight="1">
      <c r="A11" s="476" t="str">
        <f>'Notes-SK Cover sheet'!A11</f>
        <v>2</v>
      </c>
      <c r="B11" s="441" t="str">
        <f>'Notes-SK Cover sheet'!B11</f>
        <v>0</v>
      </c>
      <c r="C11" s="441" t="str">
        <f>'Notes-SK Cover sheet'!C11</f>
        <v>2</v>
      </c>
      <c r="D11" s="441" t="str">
        <f>'Notes-SK Cover sheet'!D11</f>
        <v>0</v>
      </c>
      <c r="E11" s="441" t="str">
        <f>'Notes-SK Cover sheet'!E11</f>
        <v>3</v>
      </c>
      <c r="F11" s="441" t="str">
        <f>'Notes-SK Cover sheet'!F11</f>
        <v>1</v>
      </c>
      <c r="G11" s="441" t="str">
        <f>'Notes-SK Cover sheet'!G11</f>
        <v>9</v>
      </c>
      <c r="H11" s="441" t="str">
        <f>'Notes-SK Cover sheet'!H11</f>
        <v>8</v>
      </c>
      <c r="I11" s="441" t="str">
        <f>'Notes-SK Cover sheet'!I11</f>
        <v>2</v>
      </c>
      <c r="J11" s="448" t="str">
        <f>'Notes-SK Cover sheet'!J11</f>
        <v>9</v>
      </c>
      <c r="K11" s="399"/>
      <c r="L11" s="478" t="str">
        <f>'Notes-SK Cover sheet'!L11</f>
        <v>x</v>
      </c>
      <c r="M11" s="470" t="s">
        <v>1326</v>
      </c>
      <c r="N11" s="472"/>
      <c r="O11" s="472"/>
      <c r="P11" s="472"/>
      <c r="Q11" s="472"/>
      <c r="R11" s="478" t="str">
        <f>'Notes-SK Cover sheet'!R11</f>
        <v>x</v>
      </c>
      <c r="S11" s="470" t="s">
        <v>1319</v>
      </c>
      <c r="T11" s="465"/>
      <c r="U11" s="465"/>
      <c r="V11" s="471"/>
      <c r="W11" s="470" t="s">
        <v>1421</v>
      </c>
      <c r="X11" s="465"/>
      <c r="Y11" s="465"/>
      <c r="Z11" s="465"/>
      <c r="AA11" s="465"/>
      <c r="AB11" s="470" t="s">
        <v>1422</v>
      </c>
      <c r="AC11" s="465"/>
      <c r="AD11" s="441" t="str">
        <f>'Notes-SK Cover sheet'!AD11</f>
        <v>0</v>
      </c>
      <c r="AE11" s="441" t="str">
        <f>'Notes-SK Cover sheet'!AE11</f>
        <v>4</v>
      </c>
      <c r="AF11" s="441"/>
      <c r="AG11" s="441" t="str">
        <f>'Notes-SK Cover sheet'!AG11</f>
        <v>2</v>
      </c>
      <c r="AH11" s="441" t="str">
        <f>'Notes-SK Cover sheet'!AH11</f>
        <v>0</v>
      </c>
      <c r="AI11" s="441" t="str">
        <f>'Notes-SK Cover sheet'!AI11</f>
        <v>1</v>
      </c>
      <c r="AJ11" s="441" t="str">
        <f>'Notes-SK Cover sheet'!AJ11</f>
        <v>7</v>
      </c>
      <c r="AK11" s="471"/>
    </row>
    <row r="12" spans="1:37" s="462" customFormat="1" ht="19.5" customHeight="1" thickBot="1">
      <c r="A12" s="403" t="s">
        <v>1423</v>
      </c>
      <c r="B12" s="465"/>
      <c r="C12" s="465"/>
      <c r="D12" s="465"/>
      <c r="E12" s="465"/>
      <c r="F12" s="465"/>
      <c r="G12" s="465"/>
      <c r="H12" s="399"/>
      <c r="I12" s="399"/>
      <c r="J12" s="398"/>
      <c r="K12" s="399"/>
      <c r="L12" s="474" t="str">
        <f>'Notes-SK Cover sheet'!L12</f>
        <v/>
      </c>
      <c r="M12" s="470" t="s">
        <v>1325</v>
      </c>
      <c r="N12" s="472"/>
      <c r="O12" s="472"/>
      <c r="P12" s="472"/>
      <c r="Q12" s="472"/>
      <c r="R12" s="475" t="str">
        <f>'Notes-SK Cover sheet'!R12</f>
        <v xml:space="preserve"> </v>
      </c>
      <c r="S12" s="470" t="s">
        <v>1317</v>
      </c>
      <c r="T12" s="465"/>
      <c r="U12" s="465"/>
      <c r="V12" s="471"/>
      <c r="W12" s="477"/>
      <c r="X12" s="467"/>
      <c r="Y12" s="467"/>
      <c r="Z12" s="467"/>
      <c r="AA12" s="467"/>
      <c r="AB12" s="466" t="s">
        <v>1426</v>
      </c>
      <c r="AC12" s="467"/>
      <c r="AD12" s="439" t="str">
        <f>'Notes-SK Cover sheet'!AD12</f>
        <v>0</v>
      </c>
      <c r="AE12" s="439" t="str">
        <f>'Notes-SK Cover sheet'!AE12</f>
        <v>3</v>
      </c>
      <c r="AF12" s="439"/>
      <c r="AG12" s="439" t="str">
        <f>'Notes-SK Cover sheet'!AG12</f>
        <v>2</v>
      </c>
      <c r="AH12" s="439" t="str">
        <f>'Notes-SK Cover sheet'!AH12</f>
        <v>0</v>
      </c>
      <c r="AI12" s="439" t="str">
        <f>'Notes-SK Cover sheet'!AI12</f>
        <v>1</v>
      </c>
      <c r="AJ12" s="439" t="str">
        <f>'Notes-SK Cover sheet'!AJ12</f>
        <v>8</v>
      </c>
      <c r="AK12" s="468"/>
    </row>
    <row r="13" spans="1:37" s="462" customFormat="1" ht="19.5" customHeight="1">
      <c r="A13" s="476" t="str">
        <f>'Notes-SK Cover sheet'!A13</f>
        <v>3</v>
      </c>
      <c r="B13" s="441" t="str">
        <f>'Notes-SK Cover sheet'!B13</f>
        <v>1</v>
      </c>
      <c r="C13" s="441" t="str">
        <f>'Notes-SK Cover sheet'!C13</f>
        <v>3</v>
      </c>
      <c r="D13" s="441" t="str">
        <f>'Notes-SK Cover sheet'!D13</f>
        <v>6</v>
      </c>
      <c r="E13" s="441" t="str">
        <f>'Notes-SK Cover sheet'!E13</f>
        <v>5</v>
      </c>
      <c r="F13" s="441" t="str">
        <f>'Notes-SK Cover sheet'!F13</f>
        <v>5</v>
      </c>
      <c r="G13" s="441" t="str">
        <f>'Notes-SK Cover sheet'!G13</f>
        <v>0</v>
      </c>
      <c r="H13" s="441" t="str">
        <f>'Notes-SK Cover sheet'!H13</f>
        <v>7</v>
      </c>
      <c r="I13" s="399"/>
      <c r="J13" s="398"/>
      <c r="K13" s="905"/>
      <c r="L13" s="826"/>
      <c r="M13" s="827" t="s">
        <v>2017</v>
      </c>
      <c r="N13" s="826"/>
      <c r="O13" s="826"/>
      <c r="P13" s="826"/>
      <c r="Q13" s="826"/>
      <c r="R13" s="906" t="s">
        <v>2020</v>
      </c>
      <c r="S13" s="826"/>
      <c r="T13" s="826"/>
      <c r="U13" s="826"/>
      <c r="V13" s="829"/>
      <c r="W13" s="470" t="s">
        <v>2012</v>
      </c>
      <c r="X13" s="465"/>
      <c r="Y13" s="402"/>
      <c r="Z13" s="399"/>
      <c r="AA13" s="399"/>
      <c r="AB13" s="472"/>
      <c r="AC13" s="399"/>
      <c r="AD13" s="474"/>
      <c r="AE13" s="474"/>
      <c r="AF13" s="474"/>
      <c r="AG13" s="474"/>
      <c r="AH13" s="474"/>
      <c r="AI13" s="474"/>
      <c r="AJ13" s="474"/>
      <c r="AK13" s="398"/>
    </row>
    <row r="14" spans="1:37" s="462" customFormat="1" ht="19.5" customHeight="1">
      <c r="A14" s="403" t="s">
        <v>1081</v>
      </c>
      <c r="B14" s="465"/>
      <c r="C14" s="465"/>
      <c r="D14" s="465"/>
      <c r="E14" s="465"/>
      <c r="F14" s="465"/>
      <c r="G14" s="465"/>
      <c r="H14" s="465"/>
      <c r="I14" s="399"/>
      <c r="J14" s="398"/>
      <c r="K14" s="399"/>
      <c r="L14" s="478" t="str">
        <f>IF('Notes-SK Cover sheet'!L14="","",'Notes-SK Cover sheet'!L14)</f>
        <v/>
      </c>
      <c r="M14" s="470" t="s">
        <v>2018</v>
      </c>
      <c r="N14" s="472"/>
      <c r="O14" s="472"/>
      <c r="P14" s="472"/>
      <c r="Q14" s="472"/>
      <c r="S14" s="472"/>
      <c r="T14" s="465"/>
      <c r="U14" s="465"/>
      <c r="V14" s="471"/>
      <c r="W14" s="470" t="s">
        <v>2013</v>
      </c>
      <c r="X14" s="465"/>
      <c r="Y14" s="402"/>
      <c r="Z14" s="399"/>
      <c r="AA14" s="399"/>
      <c r="AB14" s="470" t="s">
        <v>1422</v>
      </c>
      <c r="AC14" s="399"/>
      <c r="AD14" s="441" t="str">
        <f>'Notes-SK Cover sheet'!AD14</f>
        <v>0</v>
      </c>
      <c r="AE14" s="441" t="str">
        <f>'Notes-SK Cover sheet'!AE14</f>
        <v>4</v>
      </c>
      <c r="AF14" s="441"/>
      <c r="AG14" s="441" t="str">
        <f>'Notes-SK Cover sheet'!AG14</f>
        <v>2</v>
      </c>
      <c r="AH14" s="441" t="str">
        <f>'Notes-SK Cover sheet'!AH14</f>
        <v>0</v>
      </c>
      <c r="AI14" s="441" t="str">
        <f>'Notes-SK Cover sheet'!AI14</f>
        <v>1</v>
      </c>
      <c r="AJ14" s="441" t="str">
        <f>'Notes-SK Cover sheet'!AJ14</f>
        <v>6</v>
      </c>
      <c r="AK14" s="398"/>
    </row>
    <row r="15" spans="1:37" s="462" customFormat="1" ht="19.5" customHeight="1" thickBot="1">
      <c r="A15" s="469" t="str">
        <f>'Notes-SK Cover sheet'!A15</f>
        <v>2</v>
      </c>
      <c r="B15" s="394" t="str">
        <f>'Notes-SK Cover sheet'!B15</f>
        <v>7</v>
      </c>
      <c r="C15" s="467" t="str">
        <f>'Notes-SK Cover sheet'!C15</f>
        <v>.</v>
      </c>
      <c r="D15" s="394" t="str">
        <f>'Notes-SK Cover sheet'!D15</f>
        <v>3</v>
      </c>
      <c r="E15" s="394" t="str">
        <f>'Notes-SK Cover sheet'!E15</f>
        <v>1</v>
      </c>
      <c r="F15" s="418" t="str">
        <f>'Notes-SK Cover sheet'!F15</f>
        <v>.</v>
      </c>
      <c r="G15" s="394" t="str">
        <f>'Notes-SK Cover sheet'!G15</f>
        <v>0</v>
      </c>
      <c r="H15" s="394"/>
      <c r="I15" s="394"/>
      <c r="J15" s="393"/>
      <c r="K15" s="394"/>
      <c r="L15" s="394" t="str">
        <f>IF('Notes-SK Cover sheet'!L15="","",'Notes-SK Cover sheet'!L15)</f>
        <v/>
      </c>
      <c r="M15" s="466" t="s">
        <v>2019</v>
      </c>
      <c r="N15" s="394"/>
      <c r="O15" s="394"/>
      <c r="P15" s="394"/>
      <c r="Q15" s="394"/>
      <c r="R15" s="907" t="s">
        <v>2020</v>
      </c>
      <c r="S15" s="394"/>
      <c r="T15" s="467"/>
      <c r="U15" s="467"/>
      <c r="V15" s="468"/>
      <c r="W15" s="466" t="s">
        <v>679</v>
      </c>
      <c r="X15" s="467"/>
      <c r="Y15" s="395"/>
      <c r="Z15" s="394"/>
      <c r="AA15" s="394"/>
      <c r="AB15" s="466" t="s">
        <v>1426</v>
      </c>
      <c r="AC15" s="394"/>
      <c r="AD15" s="439" t="str">
        <f>'Notes-SK Cover sheet'!AD15</f>
        <v>0</v>
      </c>
      <c r="AE15" s="439" t="str">
        <f>'Notes-SK Cover sheet'!AE15</f>
        <v>3</v>
      </c>
      <c r="AF15" s="439"/>
      <c r="AG15" s="439" t="str">
        <f>'Notes-SK Cover sheet'!AG15</f>
        <v>2</v>
      </c>
      <c r="AH15" s="439" t="str">
        <f>'Notes-SK Cover sheet'!AH15</f>
        <v>0</v>
      </c>
      <c r="AI15" s="439" t="str">
        <f>'Notes-SK Cover sheet'!AI15</f>
        <v>1</v>
      </c>
      <c r="AJ15" s="439" t="str">
        <f>'Notes-SK Cover sheet'!AJ15</f>
        <v>7</v>
      </c>
      <c r="AK15" s="393"/>
    </row>
    <row r="16" spans="1:37" s="462" customFormat="1" ht="4.5" customHeight="1">
      <c r="A16" s="465"/>
      <c r="B16" s="465"/>
      <c r="C16" s="465"/>
      <c r="D16" s="465"/>
      <c r="E16" s="465"/>
      <c r="F16" s="463"/>
      <c r="G16" s="465"/>
      <c r="H16" s="399"/>
      <c r="I16" s="399"/>
      <c r="J16" s="399"/>
      <c r="K16" s="399"/>
      <c r="L16" s="399"/>
      <c r="M16" s="399"/>
      <c r="N16" s="399"/>
      <c r="O16" s="399"/>
      <c r="P16" s="399"/>
      <c r="Q16" s="399"/>
      <c r="R16" s="399"/>
      <c r="S16" s="399"/>
      <c r="T16" s="465"/>
      <c r="U16" s="465"/>
      <c r="V16" s="399"/>
      <c r="W16" s="399"/>
      <c r="X16" s="399"/>
      <c r="Y16" s="399"/>
      <c r="Z16" s="399"/>
      <c r="AA16" s="399"/>
      <c r="AB16" s="399"/>
      <c r="AC16" s="399"/>
      <c r="AD16" s="399"/>
      <c r="AE16" s="399"/>
      <c r="AF16" s="399"/>
      <c r="AG16" s="399"/>
      <c r="AH16" s="399"/>
      <c r="AI16" s="399"/>
      <c r="AJ16" s="399"/>
      <c r="AK16" s="399"/>
    </row>
    <row r="17" spans="1:37" s="462" customFormat="1" ht="3" customHeight="1" thickBot="1">
      <c r="H17" s="392"/>
      <c r="I17" s="392"/>
      <c r="J17" s="392"/>
      <c r="K17" s="392"/>
      <c r="L17" s="392"/>
      <c r="M17" s="392"/>
      <c r="N17" s="392"/>
      <c r="O17" s="392"/>
      <c r="P17" s="392"/>
      <c r="Q17" s="392"/>
      <c r="R17" s="392"/>
      <c r="S17" s="392"/>
      <c r="W17" s="392"/>
      <c r="X17" s="392"/>
      <c r="Y17" s="392"/>
      <c r="Z17" s="392"/>
      <c r="AA17" s="392"/>
      <c r="AB17" s="392"/>
      <c r="AC17" s="392"/>
      <c r="AD17" s="392"/>
      <c r="AE17" s="392"/>
      <c r="AF17" s="392"/>
      <c r="AG17" s="392"/>
      <c r="AH17" s="392"/>
      <c r="AI17" s="392"/>
      <c r="AJ17" s="392"/>
      <c r="AK17" s="392"/>
    </row>
    <row r="18" spans="1:37" s="462" customFormat="1" ht="16.5">
      <c r="A18" s="464" t="s">
        <v>1431</v>
      </c>
      <c r="B18" s="463"/>
      <c r="C18" s="463"/>
      <c r="D18" s="463"/>
      <c r="E18" s="463"/>
      <c r="F18" s="463"/>
      <c r="G18" s="463"/>
      <c r="H18" s="407"/>
      <c r="I18" s="407"/>
      <c r="J18" s="407"/>
      <c r="K18" s="407"/>
      <c r="L18" s="407"/>
      <c r="M18" s="407"/>
      <c r="N18" s="407"/>
      <c r="O18" s="407"/>
      <c r="P18" s="407"/>
      <c r="Q18" s="407"/>
      <c r="R18" s="407"/>
      <c r="S18" s="407"/>
      <c r="T18" s="463"/>
      <c r="U18" s="463"/>
      <c r="V18" s="463"/>
      <c r="W18" s="407"/>
      <c r="X18" s="407"/>
      <c r="Y18" s="407"/>
      <c r="Z18" s="407"/>
      <c r="AA18" s="407"/>
      <c r="AB18" s="407"/>
      <c r="AC18" s="407"/>
      <c r="AD18" s="407"/>
      <c r="AE18" s="407"/>
      <c r="AF18" s="407"/>
      <c r="AG18" s="407"/>
      <c r="AH18" s="407"/>
      <c r="AI18" s="407"/>
      <c r="AJ18" s="407"/>
      <c r="AK18" s="406"/>
    </row>
    <row r="19" spans="1:37" s="462" customFormat="1" ht="19.5" customHeight="1">
      <c r="A19" s="449" t="str">
        <f>'Notes-SK Cover sheet'!A19</f>
        <v>F</v>
      </c>
      <c r="B19" s="441" t="str">
        <f>'Notes-SK Cover sheet'!B19</f>
        <v>o</v>
      </c>
      <c r="C19" s="441" t="str">
        <f>'Notes-SK Cover sheet'!C19</f>
        <v>s</v>
      </c>
      <c r="D19" s="441" t="str">
        <f>'Notes-SK Cover sheet'!D19</f>
        <v>s</v>
      </c>
      <c r="E19" s="441" t="str">
        <f>'Notes-SK Cover sheet'!E19</f>
        <v xml:space="preserve"> </v>
      </c>
      <c r="F19" s="441" t="str">
        <f>'Notes-SK Cover sheet'!F19</f>
        <v>F</v>
      </c>
      <c r="G19" s="441" t="str">
        <f>'Notes-SK Cover sheet'!G19</f>
        <v>i</v>
      </c>
      <c r="H19" s="441" t="str">
        <f>'Notes-SK Cover sheet'!H19</f>
        <v>b</v>
      </c>
      <c r="I19" s="441" t="str">
        <f>'Notes-SK Cover sheet'!I19</f>
        <v>r</v>
      </c>
      <c r="J19" s="441" t="str">
        <f>'Notes-SK Cover sheet'!J19</f>
        <v>e</v>
      </c>
      <c r="K19" s="441" t="str">
        <f>'Notes-SK Cover sheet'!K19</f>
        <v xml:space="preserve"> </v>
      </c>
      <c r="L19" s="441" t="str">
        <f>'Notes-SK Cover sheet'!L19</f>
        <v>O</v>
      </c>
      <c r="M19" s="441" t="str">
        <f>'Notes-SK Cover sheet'!M19</f>
        <v>p</v>
      </c>
      <c r="N19" s="441" t="str">
        <f>'Notes-SK Cover sheet'!N19</f>
        <v>t</v>
      </c>
      <c r="O19" s="441" t="str">
        <f>'Notes-SK Cover sheet'!O19</f>
        <v>i</v>
      </c>
      <c r="P19" s="441" t="str">
        <f>'Notes-SK Cover sheet'!P19</f>
        <v>c</v>
      </c>
      <c r="Q19" s="441" t="str">
        <f>'Notes-SK Cover sheet'!Q19</f>
        <v>s</v>
      </c>
      <c r="R19" s="441" t="str">
        <f>'Notes-SK Cover sheet'!R19</f>
        <v>,</v>
      </c>
      <c r="S19" s="441" t="str">
        <f>'Notes-SK Cover sheet'!S19</f>
        <v xml:space="preserve"> </v>
      </c>
      <c r="T19" s="441" t="str">
        <f>'Notes-SK Cover sheet'!T19</f>
        <v>s</v>
      </c>
      <c r="U19" s="441" t="str">
        <f>'Notes-SK Cover sheet'!U19</f>
        <v>.</v>
      </c>
      <c r="V19" s="441" t="str">
        <f>'Notes-SK Cover sheet'!V19</f>
        <v>r</v>
      </c>
      <c r="W19" s="441" t="str">
        <f>'Notes-SK Cover sheet'!W19</f>
        <v>.</v>
      </c>
      <c r="X19" s="441" t="str">
        <f>'Notes-SK Cover sheet'!X19</f>
        <v>o</v>
      </c>
      <c r="Y19" s="441" t="str">
        <f>'Notes-SK Cover sheet'!Y19</f>
        <v>.</v>
      </c>
      <c r="Z19" s="441" t="str">
        <f>'Notes-SK Cover sheet'!Z19</f>
        <v xml:space="preserve"> </v>
      </c>
      <c r="AA19" s="441" t="str">
        <f>'Notes-SK Cover sheet'!AA19</f>
        <v xml:space="preserve">
</v>
      </c>
      <c r="AB19" s="441" t="str">
        <f>'Notes-SK Cover sheet'!AB19</f>
        <v/>
      </c>
      <c r="AC19" s="441" t="str">
        <f>'Notes-SK Cover sheet'!AC19</f>
        <v/>
      </c>
      <c r="AD19" s="441" t="str">
        <f>'Notes-SK Cover sheet'!AD19</f>
        <v/>
      </c>
      <c r="AE19" s="441" t="str">
        <f>'Notes-SK Cover sheet'!AE19</f>
        <v/>
      </c>
      <c r="AF19" s="441" t="str">
        <f>'Notes-SK Cover sheet'!AF19</f>
        <v/>
      </c>
      <c r="AG19" s="441" t="str">
        <f>'Notes-SK Cover sheet'!AG19</f>
        <v/>
      </c>
      <c r="AH19" s="441" t="str">
        <f>'Notes-SK Cover sheet'!AH19</f>
        <v/>
      </c>
      <c r="AI19" s="441" t="str">
        <f>'Notes-SK Cover sheet'!AI19</f>
        <v/>
      </c>
      <c r="AJ19" s="441" t="str">
        <f>'Notes-SK Cover sheet'!AJ19</f>
        <v/>
      </c>
      <c r="AK19" s="448" t="str">
        <f>'Notes-SK Cover sheet'!AK19</f>
        <v/>
      </c>
    </row>
    <row r="20" spans="1:37" ht="19.5" customHeight="1">
      <c r="A20" s="449" t="str">
        <f>'Notes-SK Cover sheet'!A20</f>
        <v/>
      </c>
      <c r="B20" s="441" t="str">
        <f>'Notes-SK Cover sheet'!B20</f>
        <v/>
      </c>
      <c r="C20" s="441" t="str">
        <f>'Notes-SK Cover sheet'!C20</f>
        <v/>
      </c>
      <c r="D20" s="441" t="str">
        <f>'Notes-SK Cover sheet'!D20</f>
        <v/>
      </c>
      <c r="E20" s="441" t="str">
        <f>'Notes-SK Cover sheet'!E20</f>
        <v/>
      </c>
      <c r="F20" s="441" t="str">
        <f>'Notes-SK Cover sheet'!F20</f>
        <v/>
      </c>
      <c r="G20" s="441" t="str">
        <f>'Notes-SK Cover sheet'!G20</f>
        <v/>
      </c>
      <c r="H20" s="441" t="str">
        <f>'Notes-SK Cover sheet'!H20</f>
        <v/>
      </c>
      <c r="I20" s="441" t="str">
        <f>'Notes-SK Cover sheet'!I20</f>
        <v/>
      </c>
      <c r="J20" s="441" t="str">
        <f>'Notes-SK Cover sheet'!J20</f>
        <v/>
      </c>
      <c r="K20" s="441" t="str">
        <f>'Notes-SK Cover sheet'!K20</f>
        <v/>
      </c>
      <c r="L20" s="441" t="str">
        <f>'Notes-SK Cover sheet'!L20</f>
        <v/>
      </c>
      <c r="M20" s="441" t="str">
        <f>'Notes-SK Cover sheet'!M20</f>
        <v/>
      </c>
      <c r="N20" s="441" t="str">
        <f>'Notes-SK Cover sheet'!N20</f>
        <v/>
      </c>
      <c r="O20" s="441" t="str">
        <f>'Notes-SK Cover sheet'!O20</f>
        <v/>
      </c>
      <c r="P20" s="441" t="str">
        <f>'Notes-SK Cover sheet'!P20</f>
        <v/>
      </c>
      <c r="Q20" s="441" t="str">
        <f>'Notes-SK Cover sheet'!Q20</f>
        <v/>
      </c>
      <c r="R20" s="441" t="str">
        <f>'Notes-SK Cover sheet'!R20</f>
        <v/>
      </c>
      <c r="S20" s="441" t="str">
        <f>'Notes-SK Cover sheet'!S20</f>
        <v/>
      </c>
      <c r="T20" s="441" t="str">
        <f>'Notes-SK Cover sheet'!T20</f>
        <v/>
      </c>
      <c r="U20" s="441" t="str">
        <f>'Notes-SK Cover sheet'!U20</f>
        <v/>
      </c>
      <c r="V20" s="441" t="str">
        <f>'Notes-SK Cover sheet'!V20</f>
        <v/>
      </c>
      <c r="W20" s="441" t="str">
        <f>'Notes-SK Cover sheet'!W20</f>
        <v/>
      </c>
      <c r="X20" s="441" t="str">
        <f>'Notes-SK Cover sheet'!X20</f>
        <v/>
      </c>
      <c r="Y20" s="441" t="str">
        <f>'Notes-SK Cover sheet'!Y20</f>
        <v/>
      </c>
      <c r="Z20" s="441" t="str">
        <f>'Notes-SK Cover sheet'!Z20</f>
        <v/>
      </c>
      <c r="AA20" s="441" t="str">
        <f>'Notes-SK Cover sheet'!AA20</f>
        <v/>
      </c>
      <c r="AB20" s="441" t="str">
        <f>'Notes-SK Cover sheet'!AB20</f>
        <v/>
      </c>
      <c r="AC20" s="441" t="str">
        <f>'Notes-SK Cover sheet'!AC20</f>
        <v/>
      </c>
      <c r="AD20" s="441" t="str">
        <f>'Notes-SK Cover sheet'!AD20</f>
        <v/>
      </c>
      <c r="AE20" s="441" t="str">
        <f>'Notes-SK Cover sheet'!AE20</f>
        <v/>
      </c>
      <c r="AF20" s="441" t="str">
        <f>'Notes-SK Cover sheet'!AF20</f>
        <v/>
      </c>
      <c r="AG20" s="441" t="str">
        <f>'Notes-SK Cover sheet'!AG20</f>
        <v/>
      </c>
      <c r="AH20" s="441" t="str">
        <f>'Notes-SK Cover sheet'!AH20</f>
        <v/>
      </c>
      <c r="AI20" s="441" t="str">
        <f>'Notes-SK Cover sheet'!AI20</f>
        <v/>
      </c>
      <c r="AJ20" s="441" t="str">
        <f>'Notes-SK Cover sheet'!AJ20</f>
        <v/>
      </c>
      <c r="AK20" s="448" t="str">
        <f>'Notes-SK Cover sheet'!AK20</f>
        <v/>
      </c>
    </row>
    <row r="21" spans="1:37" ht="14.25" customHeight="1">
      <c r="A21" s="461"/>
      <c r="B21" s="460"/>
      <c r="C21" s="460"/>
      <c r="D21" s="460"/>
      <c r="E21" s="460"/>
      <c r="F21" s="460"/>
      <c r="G21" s="460"/>
      <c r="H21" s="460"/>
      <c r="I21" s="460"/>
      <c r="J21" s="460"/>
      <c r="K21" s="460"/>
      <c r="L21" s="460"/>
      <c r="M21" s="460"/>
      <c r="N21" s="460"/>
      <c r="O21" s="460"/>
      <c r="P21" s="460"/>
      <c r="Q21" s="460"/>
      <c r="R21" s="460"/>
      <c r="S21" s="460"/>
      <c r="T21" s="460"/>
      <c r="U21" s="460"/>
      <c r="V21" s="460"/>
      <c r="W21" s="459"/>
      <c r="X21" s="459"/>
      <c r="Y21" s="459"/>
      <c r="Z21" s="459"/>
      <c r="AA21" s="459"/>
      <c r="AB21" s="459"/>
      <c r="AC21" s="459"/>
      <c r="AD21" s="459"/>
      <c r="AE21" s="459"/>
      <c r="AF21" s="459"/>
      <c r="AG21" s="459"/>
      <c r="AH21" s="459"/>
      <c r="AI21" s="459"/>
      <c r="AJ21" s="459"/>
      <c r="AK21" s="458"/>
    </row>
    <row r="22" spans="1:37" hidden="1">
      <c r="A22" s="461"/>
      <c r="B22" s="460"/>
      <c r="C22" s="460"/>
      <c r="D22" s="460"/>
      <c r="E22" s="460"/>
      <c r="F22" s="460"/>
      <c r="G22" s="460"/>
      <c r="H22" s="460"/>
      <c r="I22" s="460"/>
      <c r="J22" s="460"/>
      <c r="K22" s="460"/>
      <c r="L22" s="460"/>
      <c r="M22" s="460"/>
      <c r="N22" s="460"/>
      <c r="O22" s="460"/>
      <c r="P22" s="460"/>
      <c r="Q22" s="460"/>
      <c r="R22" s="460"/>
      <c r="S22" s="460"/>
      <c r="T22" s="460"/>
      <c r="U22" s="460"/>
      <c r="V22" s="460"/>
      <c r="W22" s="459"/>
      <c r="X22" s="459"/>
      <c r="Y22" s="459"/>
      <c r="Z22" s="459"/>
      <c r="AA22" s="459"/>
      <c r="AB22" s="459"/>
      <c r="AC22" s="459"/>
      <c r="AD22" s="459"/>
      <c r="AE22" s="459"/>
      <c r="AF22" s="459"/>
      <c r="AG22" s="459"/>
      <c r="AH22" s="459"/>
      <c r="AI22" s="459"/>
      <c r="AJ22" s="459"/>
      <c r="AK22" s="458"/>
    </row>
    <row r="23" spans="1:37" s="450" customFormat="1" ht="12" customHeight="1">
      <c r="A23" s="454" t="s">
        <v>1432</v>
      </c>
      <c r="B23" s="453"/>
      <c r="C23" s="453"/>
      <c r="D23" s="453"/>
      <c r="E23" s="453"/>
      <c r="F23" s="453"/>
      <c r="G23" s="453"/>
      <c r="H23" s="453"/>
      <c r="I23" s="453"/>
      <c r="J23" s="453"/>
      <c r="K23" s="453"/>
      <c r="L23" s="453"/>
      <c r="M23" s="453"/>
      <c r="N23" s="453"/>
      <c r="O23" s="453"/>
      <c r="P23" s="453"/>
      <c r="Q23" s="453"/>
      <c r="R23" s="453"/>
      <c r="S23" s="453"/>
      <c r="T23" s="453"/>
      <c r="U23" s="453"/>
      <c r="V23" s="453"/>
      <c r="W23" s="452"/>
      <c r="X23" s="452"/>
      <c r="Y23" s="452"/>
      <c r="Z23" s="452"/>
      <c r="AA23" s="452"/>
      <c r="AB23" s="452"/>
      <c r="AC23" s="452"/>
      <c r="AD23" s="452"/>
      <c r="AE23" s="452"/>
      <c r="AF23" s="452"/>
      <c r="AG23" s="452"/>
      <c r="AH23" s="452"/>
      <c r="AI23" s="452"/>
      <c r="AJ23" s="452"/>
      <c r="AK23" s="451"/>
    </row>
    <row r="24" spans="1:37" ht="12.75" customHeight="1">
      <c r="A24" s="446" t="s">
        <v>1433</v>
      </c>
      <c r="B24" s="928"/>
      <c r="C24" s="928"/>
      <c r="D24" s="928"/>
      <c r="E24" s="928"/>
      <c r="F24" s="928"/>
      <c r="G24" s="928"/>
      <c r="H24" s="928"/>
      <c r="I24" s="928"/>
      <c r="J24" s="928"/>
      <c r="K24" s="928"/>
      <c r="L24" s="928"/>
      <c r="M24" s="928"/>
      <c r="N24" s="928"/>
      <c r="O24" s="928"/>
      <c r="P24" s="928"/>
      <c r="Q24" s="928"/>
      <c r="R24" s="928"/>
      <c r="S24" s="928"/>
      <c r="T24" s="928"/>
      <c r="U24" s="928"/>
      <c r="V24" s="928"/>
      <c r="W24" s="399"/>
      <c r="X24" s="399"/>
      <c r="Y24" s="399"/>
      <c r="Z24" s="399"/>
      <c r="AA24" s="399"/>
      <c r="AB24" s="928"/>
      <c r="AC24" s="399"/>
      <c r="AD24" s="402" t="s">
        <v>1434</v>
      </c>
      <c r="AE24" s="399"/>
      <c r="AF24" s="399"/>
      <c r="AG24" s="399"/>
      <c r="AH24" s="399"/>
      <c r="AI24" s="399"/>
      <c r="AJ24" s="399"/>
      <c r="AK24" s="398"/>
    </row>
    <row r="25" spans="1:37" ht="19.5" customHeight="1">
      <c r="A25" s="449" t="str">
        <f>'Notes-SK Cover sheet'!A25</f>
        <v>O</v>
      </c>
      <c r="B25" s="441" t="str">
        <f>'Notes-SK Cover sheet'!B25</f>
        <v>d</v>
      </c>
      <c r="C25" s="441" t="str">
        <f>'Notes-SK Cover sheet'!C25</f>
        <v>b</v>
      </c>
      <c r="D25" s="441" t="str">
        <f>'Notes-SK Cover sheet'!D25</f>
        <v>o</v>
      </c>
      <c r="E25" s="441" t="str">
        <f>'Notes-SK Cover sheet'!E25</f>
        <v>r</v>
      </c>
      <c r="F25" s="441" t="str">
        <f>'Notes-SK Cover sheet'!F25</f>
        <v>á</v>
      </c>
      <c r="G25" s="441" t="str">
        <f>'Notes-SK Cover sheet'!G25</f>
        <v>r</v>
      </c>
      <c r="H25" s="441" t="str">
        <f>'Notes-SK Cover sheet'!H25</f>
        <v>s</v>
      </c>
      <c r="I25" s="441" t="str">
        <f>'Notes-SK Cover sheet'!I25</f>
        <v>k</v>
      </c>
      <c r="J25" s="441" t="str">
        <f>'Notes-SK Cover sheet'!J25</f>
        <v>a</v>
      </c>
      <c r="K25" s="441" t="str">
        <f>'Notes-SK Cover sheet'!K25</f>
        <v/>
      </c>
      <c r="L25" s="441" t="str">
        <f>'Notes-SK Cover sheet'!L25</f>
        <v/>
      </c>
      <c r="M25" s="441" t="str">
        <f>'Notes-SK Cover sheet'!M25</f>
        <v/>
      </c>
      <c r="N25" s="441" t="str">
        <f>'Notes-SK Cover sheet'!N25</f>
        <v/>
      </c>
      <c r="O25" s="441" t="str">
        <f>'Notes-SK Cover sheet'!O25</f>
        <v/>
      </c>
      <c r="P25" s="441" t="str">
        <f>'Notes-SK Cover sheet'!P25</f>
        <v/>
      </c>
      <c r="Q25" s="441" t="str">
        <f>'Notes-SK Cover sheet'!Q25</f>
        <v/>
      </c>
      <c r="R25" s="441" t="str">
        <f>'Notes-SK Cover sheet'!R25</f>
        <v/>
      </c>
      <c r="S25" s="441" t="str">
        <f>'Notes-SK Cover sheet'!S25</f>
        <v/>
      </c>
      <c r="T25" s="441" t="str">
        <f>'Notes-SK Cover sheet'!T25</f>
        <v/>
      </c>
      <c r="U25" s="441" t="str">
        <f>'Notes-SK Cover sheet'!U25</f>
        <v/>
      </c>
      <c r="V25" s="441" t="str">
        <f>'Notes-SK Cover sheet'!V25</f>
        <v/>
      </c>
      <c r="W25" s="441" t="str">
        <f>'Notes-SK Cover sheet'!W25</f>
        <v/>
      </c>
      <c r="X25" s="441" t="str">
        <f>'Notes-SK Cover sheet'!X25</f>
        <v/>
      </c>
      <c r="Y25" s="441" t="str">
        <f>'Notes-SK Cover sheet'!Y25</f>
        <v/>
      </c>
      <c r="Z25" s="441" t="str">
        <f>'Notes-SK Cover sheet'!Z25</f>
        <v/>
      </c>
      <c r="AA25" s="441" t="str">
        <f>'Notes-SK Cover sheet'!AA25</f>
        <v/>
      </c>
      <c r="AB25" s="441" t="str">
        <f>'Notes-SK Cover sheet'!AB25</f>
        <v/>
      </c>
      <c r="AC25" s="443"/>
      <c r="AD25" s="441" t="str">
        <f>'Notes-SK Cover sheet'!AD25</f>
        <v>5</v>
      </c>
      <c r="AE25" s="441" t="str">
        <f>'Notes-SK Cover sheet'!AE25</f>
        <v>2</v>
      </c>
      <c r="AF25" s="441" t="str">
        <f>'Notes-SK Cover sheet'!AF25</f>
        <v/>
      </c>
      <c r="AG25" s="441" t="str">
        <f>'Notes-SK Cover sheet'!AG25</f>
        <v/>
      </c>
      <c r="AH25" s="441" t="str">
        <f>'Notes-SK Cover sheet'!AH25</f>
        <v/>
      </c>
      <c r="AI25" s="441" t="str">
        <f>'Notes-SK Cover sheet'!AI25</f>
        <v/>
      </c>
      <c r="AJ25" s="441" t="str">
        <f>'Notes-SK Cover sheet'!AJ25</f>
        <v/>
      </c>
      <c r="AK25" s="448" t="str">
        <f>'Notes-SK Cover sheet'!AK25</f>
        <v/>
      </c>
    </row>
    <row r="26" spans="1:37" ht="12.75" customHeight="1">
      <c r="A26" s="446" t="s">
        <v>2022</v>
      </c>
      <c r="B26" s="928"/>
      <c r="C26" s="928"/>
      <c r="D26" s="928"/>
      <c r="E26" s="928"/>
      <c r="F26" s="928"/>
      <c r="G26" s="445" t="s">
        <v>2014</v>
      </c>
      <c r="H26" s="445"/>
      <c r="I26" s="445"/>
      <c r="J26" s="445"/>
      <c r="K26" s="445"/>
      <c r="L26" s="445"/>
      <c r="M26" s="445"/>
      <c r="N26" s="445"/>
      <c r="O26" s="445"/>
      <c r="P26" s="445"/>
      <c r="Q26" s="445"/>
      <c r="R26" s="445"/>
      <c r="S26" s="445"/>
      <c r="T26" s="445"/>
      <c r="U26" s="445"/>
      <c r="V26" s="445"/>
      <c r="W26" s="445"/>
      <c r="X26" s="445"/>
      <c r="Y26" s="445"/>
      <c r="Z26" s="445"/>
      <c r="AA26" s="445"/>
      <c r="AB26" s="445"/>
      <c r="AC26" s="445"/>
      <c r="AD26" s="445"/>
      <c r="AE26" s="399"/>
      <c r="AF26" s="399"/>
      <c r="AG26" s="399"/>
      <c r="AH26" s="399"/>
      <c r="AI26" s="399"/>
      <c r="AJ26" s="399"/>
      <c r="AK26" s="398"/>
    </row>
    <row r="27" spans="1:37" s="447" customFormat="1" ht="19.5" customHeight="1">
      <c r="A27" s="449" t="str">
        <f>'Notes-SK Cover sheet'!A27</f>
        <v>8</v>
      </c>
      <c r="B27" s="441" t="str">
        <f>'Notes-SK Cover sheet'!B27</f>
        <v>3</v>
      </c>
      <c r="C27" s="441" t="str">
        <f>'Notes-SK Cover sheet'!C27</f>
        <v>1</v>
      </c>
      <c r="D27" s="441" t="str">
        <f>'Notes-SK Cover sheet'!D27</f>
        <v xml:space="preserve"> </v>
      </c>
      <c r="E27" s="441" t="str">
        <f>'Notes-SK Cover sheet'!E27</f>
        <v>0</v>
      </c>
      <c r="F27" s="441"/>
      <c r="G27" s="441" t="str">
        <f>'Notes-SK Cover sheet'!G27</f>
        <v>B</v>
      </c>
      <c r="H27" s="441" t="str">
        <f>'Notes-SK Cover sheet'!H27</f>
        <v>r</v>
      </c>
      <c r="I27" s="441" t="str">
        <f>'Notes-SK Cover sheet'!I27</f>
        <v>a</v>
      </c>
      <c r="J27" s="441" t="str">
        <f>'Notes-SK Cover sheet'!J27</f>
        <v>t</v>
      </c>
      <c r="K27" s="441" t="str">
        <f>'Notes-SK Cover sheet'!K27</f>
        <v>i</v>
      </c>
      <c r="L27" s="441" t="str">
        <f>'Notes-SK Cover sheet'!L27</f>
        <v>s</v>
      </c>
      <c r="M27" s="441" t="str">
        <f>'Notes-SK Cover sheet'!M27</f>
        <v>l</v>
      </c>
      <c r="N27" s="441" t="str">
        <f>'Notes-SK Cover sheet'!N27</f>
        <v>a</v>
      </c>
      <c r="O27" s="441" t="str">
        <f>'Notes-SK Cover sheet'!O27</f>
        <v>v</v>
      </c>
      <c r="P27" s="441" t="str">
        <f>'Notes-SK Cover sheet'!P27</f>
        <v>a</v>
      </c>
      <c r="Q27" s="441" t="str">
        <f>'Notes-SK Cover sheet'!Q27</f>
        <v xml:space="preserve"> </v>
      </c>
      <c r="R27" s="441" t="str">
        <f>'Notes-SK Cover sheet'!R27</f>
        <v/>
      </c>
      <c r="S27" s="441" t="str">
        <f>'Notes-SK Cover sheet'!S27</f>
        <v/>
      </c>
      <c r="T27" s="441" t="str">
        <f>'Notes-SK Cover sheet'!T27</f>
        <v/>
      </c>
      <c r="U27" s="441" t="str">
        <f>'Notes-SK Cover sheet'!U27</f>
        <v/>
      </c>
      <c r="V27" s="441" t="str">
        <f>'Notes-SK Cover sheet'!V27</f>
        <v/>
      </c>
      <c r="W27" s="441" t="str">
        <f>'Notes-SK Cover sheet'!W27</f>
        <v/>
      </c>
      <c r="X27" s="441" t="str">
        <f>'Notes-SK Cover sheet'!X27</f>
        <v/>
      </c>
      <c r="Y27" s="441" t="str">
        <f>'Notes-SK Cover sheet'!Y27</f>
        <v/>
      </c>
      <c r="Z27" s="441" t="str">
        <f>'Notes-SK Cover sheet'!Z27</f>
        <v/>
      </c>
      <c r="AA27" s="441" t="str">
        <f>'Notes-SK Cover sheet'!AA27</f>
        <v/>
      </c>
      <c r="AB27" s="441" t="str">
        <f>'Notes-SK Cover sheet'!AB27</f>
        <v/>
      </c>
      <c r="AC27" s="441" t="str">
        <f>'Notes-SK Cover sheet'!AC27</f>
        <v/>
      </c>
      <c r="AD27" s="441" t="str">
        <f>'Notes-SK Cover sheet'!AD27</f>
        <v/>
      </c>
      <c r="AE27" s="441" t="str">
        <f>'Notes-SK Cover sheet'!AE27</f>
        <v/>
      </c>
      <c r="AF27" s="441" t="str">
        <f>'Notes-SK Cover sheet'!AF27</f>
        <v/>
      </c>
      <c r="AG27" s="441" t="str">
        <f>'Notes-SK Cover sheet'!AG27</f>
        <v/>
      </c>
      <c r="AH27" s="441" t="str">
        <f>'Notes-SK Cover sheet'!AH27</f>
        <v/>
      </c>
      <c r="AI27" s="441" t="str">
        <f>'Notes-SK Cover sheet'!AI27</f>
        <v/>
      </c>
      <c r="AJ27" s="441" t="str">
        <f>'Notes-SK Cover sheet'!AJ27</f>
        <v/>
      </c>
      <c r="AK27" s="448" t="str">
        <f>'Notes-SK Cover sheet'!AK27</f>
        <v/>
      </c>
    </row>
    <row r="28" spans="1:37" ht="12.75" customHeight="1">
      <c r="A28" s="446" t="s">
        <v>1437</v>
      </c>
      <c r="B28" s="928"/>
      <c r="C28" s="928"/>
      <c r="D28" s="928"/>
      <c r="E28" s="928"/>
      <c r="F28" s="928"/>
      <c r="G28" s="445"/>
      <c r="H28" s="445"/>
      <c r="I28" s="445"/>
      <c r="J28" s="445"/>
      <c r="K28" s="445"/>
      <c r="L28" s="445"/>
      <c r="M28" s="445"/>
      <c r="N28" s="928"/>
      <c r="O28" s="445" t="s">
        <v>1438</v>
      </c>
      <c r="P28" s="445"/>
      <c r="Q28" s="445"/>
      <c r="R28" s="445"/>
      <c r="S28" s="445"/>
      <c r="T28" s="445"/>
      <c r="U28" s="445"/>
      <c r="V28" s="445"/>
      <c r="W28" s="445"/>
      <c r="X28" s="445"/>
      <c r="Y28" s="445"/>
      <c r="Z28" s="445"/>
      <c r="AA28" s="445"/>
      <c r="AB28" s="445"/>
      <c r="AC28" s="445"/>
      <c r="AD28" s="445"/>
      <c r="AE28" s="399"/>
      <c r="AF28" s="399"/>
      <c r="AG28" s="399"/>
      <c r="AH28" s="399"/>
      <c r="AI28" s="399"/>
      <c r="AJ28" s="399"/>
      <c r="AK28" s="398"/>
    </row>
    <row r="29" spans="1:37" ht="19.5" customHeight="1">
      <c r="A29" s="444">
        <f>'Notes-SK Cover sheet'!A29</f>
        <v>0</v>
      </c>
      <c r="B29" s="441" t="str">
        <f>'Notes-SK Cover sheet'!B29</f>
        <v>2</v>
      </c>
      <c r="C29" s="441" t="str">
        <f>'Notes-SK Cover sheet'!C29</f>
        <v/>
      </c>
      <c r="D29" s="441" t="str">
        <f>'Notes-SK Cover sheet'!D29</f>
        <v/>
      </c>
      <c r="E29" s="441" t="str">
        <f>'Notes-SK Cover sheet'!E29</f>
        <v>/</v>
      </c>
      <c r="F29" s="441" t="str">
        <f>'Notes-SK Cover sheet'!F29</f>
        <v>4</v>
      </c>
      <c r="G29" s="441" t="str">
        <f>'Notes-SK Cover sheet'!G29</f>
        <v>8</v>
      </c>
      <c r="H29" s="441" t="str">
        <f>'Notes-SK Cover sheet'!H29</f>
        <v>2</v>
      </c>
      <c r="I29" s="441" t="str">
        <f>'Notes-SK Cover sheet'!I29</f>
        <v>0</v>
      </c>
      <c r="J29" s="441" t="str">
        <f>'Notes-SK Cover sheet'!J29</f>
        <v>5</v>
      </c>
      <c r="K29" s="441" t="str">
        <f>'Notes-SK Cover sheet'!K29</f>
        <v>2</v>
      </c>
      <c r="L29" s="441" t="str">
        <f>'Notes-SK Cover sheet'!L29</f>
        <v>1</v>
      </c>
      <c r="M29" s="441" t="str">
        <f>'Notes-SK Cover sheet'!M29</f>
        <v>0</v>
      </c>
      <c r="N29" s="443"/>
      <c r="O29" s="442">
        <f>'Notes-SK Cover sheet'!O29</f>
        <v>0</v>
      </c>
      <c r="P29" s="441" t="str">
        <f>'Notes-SK Cover sheet'!P29</f>
        <v>2</v>
      </c>
      <c r="Q29" s="441" t="str">
        <f>'Notes-SK Cover sheet'!Q29</f>
        <v/>
      </c>
      <c r="R29" s="441" t="str">
        <f>'Notes-SK Cover sheet'!R29</f>
        <v/>
      </c>
      <c r="S29" s="441" t="str">
        <f>'Notes-SK Cover sheet'!S29</f>
        <v>/</v>
      </c>
      <c r="T29" s="441" t="str">
        <f>'Notes-SK Cover sheet'!T29</f>
        <v>4</v>
      </c>
      <c r="U29" s="441" t="str">
        <f>'Notes-SK Cover sheet'!U29</f>
        <v>8</v>
      </c>
      <c r="V29" s="441" t="str">
        <f>'Notes-SK Cover sheet'!V29</f>
        <v>2</v>
      </c>
      <c r="W29" s="441" t="str">
        <f>'Notes-SK Cover sheet'!W29</f>
        <v>0</v>
      </c>
      <c r="X29" s="441" t="str">
        <f>'Notes-SK Cover sheet'!X29</f>
        <v>5</v>
      </c>
      <c r="Y29" s="441" t="str">
        <f>'Notes-SK Cover sheet'!Y29</f>
        <v>2</v>
      </c>
      <c r="Z29" s="441" t="str">
        <f>IF('Notes-SK Cover sheet'!Z29="","",'Notes-SK Cover sheet'!Z29)</f>
        <v>3</v>
      </c>
      <c r="AA29" s="441" t="str">
        <f>IF('Notes-SK Cover sheet'!AA29="","",'Notes-SK Cover sheet'!AA29)</f>
        <v>1</v>
      </c>
      <c r="AB29" s="441" t="str">
        <f>IF('Notes-SK Cover sheet'!AB29="","",'Notes-SK Cover sheet'!AB29)</f>
        <v/>
      </c>
      <c r="AC29" s="441" t="str">
        <f>IF('Notes-SK Cover sheet'!AC29="","",'Notes-SK Cover sheet'!AC29)</f>
        <v/>
      </c>
      <c r="AD29" s="441" t="str">
        <f>IF('Notes-SK Cover sheet'!AD29="","",'Notes-SK Cover sheet'!AD29)</f>
        <v/>
      </c>
      <c r="AE29" s="399" t="str">
        <f>IF('Notes-SK Cover sheet'!AE29="","",'Notes-SK Cover sheet'!AE29)</f>
        <v/>
      </c>
      <c r="AF29" s="399" t="str">
        <f>IF('Notes-SK Cover sheet'!AF29="","",'Notes-SK Cover sheet'!AF29)</f>
        <v/>
      </c>
      <c r="AG29" s="399" t="str">
        <f>IF('Notes-SK Cover sheet'!AG29="","",'Notes-SK Cover sheet'!AG29)</f>
        <v xml:space="preserve"> </v>
      </c>
      <c r="AH29" s="399" t="str">
        <f>IF('Notes-SK Cover sheet'!AH29="","",'Notes-SK Cover sheet'!AH29)</f>
        <v/>
      </c>
      <c r="AI29" s="399" t="str">
        <f>IF('Notes-SK Cover sheet'!AI29="","",'Notes-SK Cover sheet'!AI29)</f>
        <v/>
      </c>
      <c r="AJ29" s="399" t="str">
        <f>IF('Notes-SK Cover sheet'!AJ29="","",'Notes-SK Cover sheet'!AJ29)</f>
        <v/>
      </c>
      <c r="AK29" s="398" t="str">
        <f>IF('Notes-SK Cover sheet'!AK29="","",'Notes-SK Cover sheet'!AK29)</f>
        <v/>
      </c>
    </row>
    <row r="30" spans="1:37" s="391" customFormat="1" ht="12.75" customHeight="1">
      <c r="A30" s="403" t="s">
        <v>1439</v>
      </c>
      <c r="B30" s="402"/>
      <c r="C30" s="402"/>
      <c r="D30" s="402"/>
      <c r="E30" s="402"/>
      <c r="F30" s="402"/>
      <c r="G30" s="402"/>
      <c r="H30" s="402"/>
      <c r="I30" s="402"/>
      <c r="J30" s="402"/>
      <c r="K30" s="402"/>
      <c r="L30" s="402"/>
      <c r="M30" s="402"/>
      <c r="N30" s="402"/>
      <c r="O30" s="402"/>
      <c r="P30" s="402"/>
      <c r="Q30" s="402"/>
      <c r="R30" s="402"/>
      <c r="S30" s="402"/>
      <c r="T30" s="402"/>
      <c r="U30" s="402"/>
      <c r="V30" s="402"/>
      <c r="W30" s="399"/>
      <c r="X30" s="399"/>
      <c r="Y30" s="399"/>
      <c r="Z30" s="399"/>
      <c r="AA30" s="399"/>
      <c r="AB30" s="399"/>
      <c r="AC30" s="399"/>
      <c r="AD30" s="399"/>
      <c r="AE30" s="399"/>
      <c r="AF30" s="399"/>
      <c r="AG30" s="399"/>
      <c r="AH30" s="399"/>
      <c r="AI30" s="399"/>
      <c r="AJ30" s="399"/>
      <c r="AK30" s="398"/>
    </row>
    <row r="31" spans="1:37" ht="19.5" customHeight="1" thickBot="1">
      <c r="A31" s="440" t="str">
        <f>'Notes-SK Cover sheet'!A31</f>
        <v>a</v>
      </c>
      <c r="B31" s="439" t="str">
        <f>'Notes-SK Cover sheet'!B31</f>
        <v>c</v>
      </c>
      <c r="C31" s="439" t="str">
        <f>'Notes-SK Cover sheet'!C31</f>
        <v>c</v>
      </c>
      <c r="D31" s="439" t="str">
        <f>'Notes-SK Cover sheet'!D31</f>
        <v>o</v>
      </c>
      <c r="E31" s="439" t="str">
        <f>'Notes-SK Cover sheet'!E31</f>
        <v>u</v>
      </c>
      <c r="F31" s="439" t="str">
        <f>'Notes-SK Cover sheet'!F31</f>
        <v>n</v>
      </c>
      <c r="G31" s="439" t="str">
        <f>'Notes-SK Cover sheet'!G31</f>
        <v>t</v>
      </c>
      <c r="H31" s="439" t="str">
        <f>'Notes-SK Cover sheet'!H31</f>
        <v>i</v>
      </c>
      <c r="I31" s="439" t="str">
        <f>'Notes-SK Cover sheet'!I31</f>
        <v>n</v>
      </c>
      <c r="J31" s="439" t="str">
        <f>'Notes-SK Cover sheet'!J31</f>
        <v>g</v>
      </c>
      <c r="K31" s="439" t="str">
        <f>'Notes-SK Cover sheet'!K31</f>
        <v>@</v>
      </c>
      <c r="L31" s="439" t="str">
        <f>'Notes-SK Cover sheet'!L31</f>
        <v>o</v>
      </c>
      <c r="M31" s="439" t="str">
        <f>'Notes-SK Cover sheet'!M31</f>
        <v>p</v>
      </c>
      <c r="N31" s="439" t="str">
        <f>'Notes-SK Cover sheet'!N31</f>
        <v>t</v>
      </c>
      <c r="O31" s="439" t="str">
        <f>'Notes-SK Cover sheet'!O31</f>
        <v>o</v>
      </c>
      <c r="P31" s="439" t="str">
        <f>'Notes-SK Cover sheet'!P31</f>
        <v>c</v>
      </c>
      <c r="Q31" s="439" t="str">
        <f>'Notes-SK Cover sheet'!Q31</f>
        <v>o</v>
      </c>
      <c r="R31" s="439" t="str">
        <f>'Notes-SK Cover sheet'!R31</f>
        <v>n</v>
      </c>
      <c r="S31" s="439" t="str">
        <f>'Notes-SK Cover sheet'!S31</f>
        <v>.</v>
      </c>
      <c r="T31" s="439" t="str">
        <f>'Notes-SK Cover sheet'!T31</f>
        <v>s</v>
      </c>
      <c r="U31" s="439" t="str">
        <f>'Notes-SK Cover sheet'!U31</f>
        <v>k</v>
      </c>
      <c r="V31" s="439" t="str">
        <f>'Notes-SK Cover sheet'!V31</f>
        <v/>
      </c>
      <c r="W31" s="439" t="str">
        <f>'Notes-SK Cover sheet'!W31</f>
        <v/>
      </c>
      <c r="X31" s="439" t="str">
        <f>'Notes-SK Cover sheet'!X31</f>
        <v/>
      </c>
      <c r="Y31" s="439" t="str">
        <f>'Notes-SK Cover sheet'!Y31</f>
        <v/>
      </c>
      <c r="Z31" s="439" t="str">
        <f>'Notes-SK Cover sheet'!Z31</f>
        <v/>
      </c>
      <c r="AA31" s="439" t="str">
        <f>'Notes-SK Cover sheet'!AA31</f>
        <v/>
      </c>
      <c r="AB31" s="439" t="str">
        <f>'Notes-SK Cover sheet'!AB31</f>
        <v/>
      </c>
      <c r="AC31" s="439" t="str">
        <f>'Notes-SK Cover sheet'!AC31</f>
        <v/>
      </c>
      <c r="AD31" s="439" t="str">
        <f>'Notes-SK Cover sheet'!AD31</f>
        <v/>
      </c>
      <c r="AE31" s="439" t="str">
        <f>'Notes-SK Cover sheet'!AE31</f>
        <v/>
      </c>
      <c r="AF31" s="439" t="str">
        <f>'Notes-SK Cover sheet'!AF31</f>
        <v/>
      </c>
      <c r="AG31" s="439" t="str">
        <f>'Notes-SK Cover sheet'!AG31</f>
        <v/>
      </c>
      <c r="AH31" s="439" t="str">
        <f>'Notes-SK Cover sheet'!AH31</f>
        <v/>
      </c>
      <c r="AI31" s="439" t="str">
        <f>'Notes-SK Cover sheet'!AI31</f>
        <v/>
      </c>
      <c r="AJ31" s="439" t="str">
        <f>'Notes-SK Cover sheet'!AJ31</f>
        <v/>
      </c>
      <c r="AK31" s="438" t="str">
        <f>'Notes-SK Cover sheet'!AK31</f>
        <v/>
      </c>
    </row>
    <row r="32" spans="1:37" s="391" customFormat="1" ht="4.5" customHeight="1" thickBot="1">
      <c r="W32" s="392"/>
      <c r="X32" s="392"/>
      <c r="Y32" s="392"/>
      <c r="Z32" s="392"/>
      <c r="AA32" s="392"/>
      <c r="AB32" s="392"/>
      <c r="AC32" s="392"/>
      <c r="AD32" s="392"/>
      <c r="AE32" s="392"/>
      <c r="AF32" s="392"/>
      <c r="AG32" s="392"/>
      <c r="AH32" s="392"/>
      <c r="AI32" s="392"/>
      <c r="AJ32" s="392"/>
      <c r="AK32" s="392"/>
    </row>
    <row r="33" spans="1:37" s="434" customFormat="1" ht="12.75" customHeight="1">
      <c r="A33" s="437" t="s">
        <v>2015</v>
      </c>
      <c r="B33" s="436"/>
      <c r="C33" s="436"/>
      <c r="D33" s="436"/>
      <c r="E33" s="436"/>
      <c r="F33" s="436"/>
      <c r="G33" s="436"/>
      <c r="H33" s="436"/>
      <c r="I33" s="436"/>
      <c r="J33" s="436"/>
      <c r="K33" s="435"/>
      <c r="L33" s="2297" t="s">
        <v>1440</v>
      </c>
      <c r="M33" s="1610"/>
      <c r="N33" s="1610"/>
      <c r="O33" s="1610"/>
      <c r="P33" s="1610"/>
      <c r="Q33" s="1610"/>
      <c r="R33" s="1610"/>
      <c r="S33" s="1610"/>
      <c r="T33" s="2298"/>
      <c r="U33" s="2297" t="s">
        <v>1441</v>
      </c>
      <c r="V33" s="1610"/>
      <c r="W33" s="1610"/>
      <c r="X33" s="1610"/>
      <c r="Y33" s="1610"/>
      <c r="Z33" s="1610"/>
      <c r="AA33" s="1610"/>
      <c r="AB33" s="2298"/>
      <c r="AC33" s="2297" t="s">
        <v>1442</v>
      </c>
      <c r="AD33" s="1610"/>
      <c r="AE33" s="1610"/>
      <c r="AF33" s="1610"/>
      <c r="AG33" s="1610"/>
      <c r="AH33" s="1610"/>
      <c r="AI33" s="1610"/>
      <c r="AJ33" s="1610"/>
      <c r="AK33" s="1611"/>
    </row>
    <row r="34" spans="1:37" s="391" customFormat="1" ht="19.5" customHeight="1">
      <c r="A34" s="420" t="str">
        <f>IF('Notes-SK Cover sheet'!A34="","",'Notes-SK Cover sheet'!A34)</f>
        <v>1</v>
      </c>
      <c r="B34" s="419" t="str">
        <f>IF('Notes-SK Cover sheet'!B34="","",'Notes-SK Cover sheet'!B34)</f>
        <v>5</v>
      </c>
      <c r="C34" s="418" t="str">
        <f>IF('Notes-SK Cover sheet'!C34="","",'Notes-SK Cover sheet'!C34)</f>
        <v>.</v>
      </c>
      <c r="D34" s="419" t="str">
        <f>IF('Notes-SK Cover sheet'!D34="","",'Notes-SK Cover sheet'!D34)</f>
        <v>0</v>
      </c>
      <c r="E34" s="419" t="str">
        <f>IF('Notes-SK Cover sheet'!E34="","",'Notes-SK Cover sheet'!E34)</f>
        <v>5</v>
      </c>
      <c r="F34" s="418" t="str">
        <f>IF('Notes-SK Cover sheet'!F34="","",'Notes-SK Cover sheet'!F34)</f>
        <v>.</v>
      </c>
      <c r="G34" s="417" t="str">
        <f>IF('Notes-SK Cover sheet'!G34="","",'Notes-SK Cover sheet'!G34)</f>
        <v>2</v>
      </c>
      <c r="H34" s="417" t="str">
        <f>IF('Notes-SK Cover sheet'!H34="","",'Notes-SK Cover sheet'!H34)</f>
        <v>0</v>
      </c>
      <c r="I34" s="417" t="str">
        <f>IF('Notes-SK Cover sheet'!I34="","",'Notes-SK Cover sheet'!I34)</f>
        <v>1</v>
      </c>
      <c r="J34" s="417" t="str">
        <f>IF('Notes-SK Cover sheet'!J34="","",'Notes-SK Cover sheet'!J34)</f>
        <v>8</v>
      </c>
      <c r="K34" s="433"/>
      <c r="L34" s="2299"/>
      <c r="M34" s="1612"/>
      <c r="N34" s="1612"/>
      <c r="O34" s="1612"/>
      <c r="P34" s="1612"/>
      <c r="Q34" s="1612"/>
      <c r="R34" s="1612"/>
      <c r="S34" s="1612"/>
      <c r="T34" s="2300"/>
      <c r="U34" s="2299"/>
      <c r="V34" s="1612"/>
      <c r="W34" s="1612"/>
      <c r="X34" s="1612"/>
      <c r="Y34" s="1612"/>
      <c r="Z34" s="1612"/>
      <c r="AA34" s="1612"/>
      <c r="AB34" s="2300"/>
      <c r="AC34" s="2299"/>
      <c r="AD34" s="1612"/>
      <c r="AE34" s="1612"/>
      <c r="AF34" s="1612"/>
      <c r="AG34" s="1612"/>
      <c r="AH34" s="1612"/>
      <c r="AI34" s="1612"/>
      <c r="AJ34" s="1612"/>
      <c r="AK34" s="1613"/>
    </row>
    <row r="35" spans="1:37" s="391" customFormat="1" ht="12.75" customHeight="1">
      <c r="A35" s="432"/>
      <c r="B35" s="431"/>
      <c r="C35" s="431"/>
      <c r="D35" s="431"/>
      <c r="E35" s="431"/>
      <c r="F35" s="431"/>
      <c r="G35" s="430"/>
      <c r="H35" s="430"/>
      <c r="I35" s="430"/>
      <c r="J35" s="430"/>
      <c r="K35" s="429"/>
      <c r="L35" s="2299"/>
      <c r="M35" s="1612"/>
      <c r="N35" s="1612"/>
      <c r="O35" s="1612"/>
      <c r="P35" s="1612"/>
      <c r="Q35" s="1612"/>
      <c r="R35" s="1612"/>
      <c r="S35" s="1612"/>
      <c r="T35" s="2300"/>
      <c r="U35" s="2299"/>
      <c r="V35" s="1612"/>
      <c r="W35" s="1612"/>
      <c r="X35" s="1612"/>
      <c r="Y35" s="1612"/>
      <c r="Z35" s="1612"/>
      <c r="AA35" s="1612"/>
      <c r="AB35" s="2300"/>
      <c r="AC35" s="2299"/>
      <c r="AD35" s="1612"/>
      <c r="AE35" s="1612"/>
      <c r="AF35" s="1612"/>
      <c r="AG35" s="1612"/>
      <c r="AH35" s="1612"/>
      <c r="AI35" s="1612"/>
      <c r="AJ35" s="1612"/>
      <c r="AK35" s="1613"/>
    </row>
    <row r="36" spans="1:37" s="391" customFormat="1" ht="12.75" customHeight="1">
      <c r="A36" s="403" t="s">
        <v>2016</v>
      </c>
      <c r="B36" s="402"/>
      <c r="C36" s="402"/>
      <c r="D36" s="402"/>
      <c r="E36" s="402"/>
      <c r="F36" s="402"/>
      <c r="G36" s="428"/>
      <c r="H36" s="428"/>
      <c r="I36" s="428"/>
      <c r="J36" s="428"/>
      <c r="K36" s="427"/>
      <c r="L36" s="426"/>
      <c r="M36" s="426"/>
      <c r="N36" s="426"/>
      <c r="O36" s="426"/>
      <c r="P36" s="426"/>
      <c r="Q36" s="426"/>
      <c r="R36" s="426"/>
      <c r="S36" s="402"/>
      <c r="T36" s="424"/>
      <c r="U36" s="425"/>
      <c r="V36" s="425"/>
      <c r="W36" s="425"/>
      <c r="X36" s="425"/>
      <c r="Y36" s="425"/>
      <c r="Z36" s="399"/>
      <c r="AA36" s="425"/>
      <c r="AB36" s="424"/>
      <c r="AC36" s="423"/>
      <c r="AD36" s="425"/>
      <c r="AE36" s="425"/>
      <c r="AF36" s="425"/>
      <c r="AG36" s="425"/>
      <c r="AH36" s="425"/>
      <c r="AI36" s="425"/>
      <c r="AJ36" s="425"/>
      <c r="AK36" s="931"/>
    </row>
    <row r="37" spans="1:37" s="391" customFormat="1" ht="19.5" customHeight="1">
      <c r="A37" s="420" t="str">
        <f>IF('Notes-SK Cover sheet'!A37="","",'Notes-SK Cover sheet'!A37)</f>
        <v/>
      </c>
      <c r="B37" s="419" t="str">
        <f>IF('Notes-SK Cover sheet'!B37="","",'Notes-SK Cover sheet'!B37)</f>
        <v/>
      </c>
      <c r="C37" s="418" t="str">
        <f>IF('Notes-SK Cover sheet'!C37="","",'Notes-SK Cover sheet'!C37)</f>
        <v>.</v>
      </c>
      <c r="D37" s="419" t="str">
        <f>IF('Notes-SK Cover sheet'!D37="","",'Notes-SK Cover sheet'!D37)</f>
        <v/>
      </c>
      <c r="E37" s="419" t="str">
        <f>IF('Notes-SK Cover sheet'!E37="","",'Notes-SK Cover sheet'!E37)</f>
        <v/>
      </c>
      <c r="F37" s="418" t="str">
        <f>IF('Notes-SK Cover sheet'!F37="","",'Notes-SK Cover sheet'!F37)</f>
        <v>.</v>
      </c>
      <c r="G37" s="417" t="str">
        <f>IF('Notes-SK Cover sheet'!G37="","",'Notes-SK Cover sheet'!G37)</f>
        <v/>
      </c>
      <c r="H37" s="417" t="str">
        <f>IF('Notes-SK Cover sheet'!H37="","",'Notes-SK Cover sheet'!H37)</f>
        <v/>
      </c>
      <c r="I37" s="417" t="str">
        <f>IF('Notes-SK Cover sheet'!I37="","",'Notes-SK Cover sheet'!I37)</f>
        <v/>
      </c>
      <c r="J37" s="417" t="str">
        <f>IF('Notes-SK Cover sheet'!J37="","",'Notes-SK Cover sheet'!J37)</f>
        <v/>
      </c>
      <c r="K37" s="416"/>
      <c r="L37" s="415"/>
      <c r="M37" s="414"/>
      <c r="N37" s="414"/>
      <c r="O37" s="414"/>
      <c r="P37" s="414"/>
      <c r="Q37" s="414"/>
      <c r="R37" s="414"/>
      <c r="S37" s="414"/>
      <c r="T37" s="413"/>
      <c r="U37" s="415"/>
      <c r="V37" s="414"/>
      <c r="W37" s="414"/>
      <c r="X37" s="414"/>
      <c r="Y37" s="414"/>
      <c r="Z37" s="414"/>
      <c r="AA37" s="414"/>
      <c r="AB37" s="413"/>
      <c r="AC37" s="399"/>
      <c r="AD37" s="399"/>
      <c r="AE37" s="399"/>
      <c r="AF37" s="399"/>
      <c r="AG37" s="399"/>
      <c r="AH37" s="399"/>
      <c r="AI37" s="399"/>
      <c r="AJ37" s="399"/>
      <c r="AK37" s="398"/>
    </row>
    <row r="38" spans="1:37" s="397" customFormat="1" ht="12.75" customHeight="1" thickBot="1">
      <c r="A38" s="412"/>
      <c r="B38" s="411"/>
      <c r="C38" s="411"/>
      <c r="D38" s="411"/>
      <c r="E38" s="411"/>
      <c r="F38" s="411"/>
      <c r="G38" s="411"/>
      <c r="H38" s="411"/>
      <c r="I38" s="411"/>
      <c r="J38" s="411"/>
      <c r="K38" s="410"/>
      <c r="L38" s="2301">
        <f>IF('Notes-SK Cover sheet'!L38="","",'Notes-SK Cover sheet'!L38)</f>
        <v>0</v>
      </c>
      <c r="M38" s="2302" t="str">
        <f>IF('Notes-SK Cover sheet'!M38="","",'Notes-SK Cover sheet'!M38)</f>
        <v/>
      </c>
      <c r="N38" s="2302" t="str">
        <f>IF('Notes-SK Cover sheet'!N38="","",'Notes-SK Cover sheet'!N38)</f>
        <v/>
      </c>
      <c r="O38" s="2302" t="str">
        <f>IF('Notes-SK Cover sheet'!O38="","",'Notes-SK Cover sheet'!O38)</f>
        <v/>
      </c>
      <c r="P38" s="2302" t="str">
        <f>IF('Notes-SK Cover sheet'!P38="","",'Notes-SK Cover sheet'!P38)</f>
        <v/>
      </c>
      <c r="Q38" s="2302" t="str">
        <f>IF('Notes-SK Cover sheet'!Q38="","",'Notes-SK Cover sheet'!Q38)</f>
        <v/>
      </c>
      <c r="R38" s="2302" t="str">
        <f>IF('Notes-SK Cover sheet'!R38="","",'Notes-SK Cover sheet'!R38)</f>
        <v/>
      </c>
      <c r="S38" s="2302" t="str">
        <f>IF('Notes-SK Cover sheet'!S38="","",'Notes-SK Cover sheet'!S38)</f>
        <v/>
      </c>
      <c r="T38" s="2303" t="str">
        <f>IF('Notes-SK Cover sheet'!T38="","",'Notes-SK Cover sheet'!T38)</f>
        <v/>
      </c>
      <c r="U38" s="2301" t="e">
        <f>IF('Notes-SK Cover sheet'!U38="","",'Notes-SK Cover sheet'!U38)</f>
        <v>#REF!</v>
      </c>
      <c r="V38" s="2302" t="str">
        <f>IF('Notes-SK Cover sheet'!V38="","",'Notes-SK Cover sheet'!V38)</f>
        <v/>
      </c>
      <c r="W38" s="2302" t="str">
        <f>IF('Notes-SK Cover sheet'!W38="","",'Notes-SK Cover sheet'!W38)</f>
        <v/>
      </c>
      <c r="X38" s="2302" t="str">
        <f>IF('Notes-SK Cover sheet'!X38="","",'Notes-SK Cover sheet'!X38)</f>
        <v/>
      </c>
      <c r="Y38" s="2302" t="str">
        <f>IF('Notes-SK Cover sheet'!Y38="","",'Notes-SK Cover sheet'!Y38)</f>
        <v/>
      </c>
      <c r="Z38" s="2302" t="str">
        <f>IF('Notes-SK Cover sheet'!Z38="","",'Notes-SK Cover sheet'!Z38)</f>
        <v/>
      </c>
      <c r="AA38" s="2302" t="str">
        <f>IF('Notes-SK Cover sheet'!AA38="","",'Notes-SK Cover sheet'!AA38)</f>
        <v/>
      </c>
      <c r="AB38" s="2303" t="str">
        <f>IF('Notes-SK Cover sheet'!AB38="","",'Notes-SK Cover sheet'!AB38)</f>
        <v/>
      </c>
      <c r="AC38" s="2304" t="e">
        <f>IF('Notes-SK Cover sheet'!AC38="","",'Notes-SK Cover sheet'!AC38)</f>
        <v>#REF!</v>
      </c>
      <c r="AD38" s="2302" t="str">
        <f>IF('Notes-SK Cover sheet'!AD38="","",'Notes-SK Cover sheet'!AD38)</f>
        <v/>
      </c>
      <c r="AE38" s="2302" t="str">
        <f>IF('Notes-SK Cover sheet'!AE38="","",'Notes-SK Cover sheet'!AE38)</f>
        <v/>
      </c>
      <c r="AF38" s="2302" t="str">
        <f>IF('Notes-SK Cover sheet'!AF38="","",'Notes-SK Cover sheet'!AF38)</f>
        <v/>
      </c>
      <c r="AG38" s="2302" t="str">
        <f>IF('Notes-SK Cover sheet'!AG38="","",'Notes-SK Cover sheet'!AG38)</f>
        <v/>
      </c>
      <c r="AH38" s="2302" t="str">
        <f>IF('Notes-SK Cover sheet'!AH38="","",'Notes-SK Cover sheet'!AH38)</f>
        <v/>
      </c>
      <c r="AI38" s="2302" t="str">
        <f>IF('Notes-SK Cover sheet'!AI38="","",'Notes-SK Cover sheet'!AI38)</f>
        <v/>
      </c>
      <c r="AJ38" s="2302" t="str">
        <f>IF('Notes-SK Cover sheet'!AJ38="","",'Notes-SK Cover sheet'!AJ38)</f>
        <v/>
      </c>
      <c r="AK38" s="2305" t="str">
        <f>IF('Notes-SK Cover sheet'!AK38="","",'Notes-SK Cover sheet'!AK38)</f>
        <v/>
      </c>
    </row>
    <row r="39" spans="1:37" s="397" customFormat="1">
      <c r="W39" s="392"/>
      <c r="X39" s="392"/>
      <c r="Y39" s="392"/>
      <c r="Z39" s="392"/>
      <c r="AA39" s="392"/>
      <c r="AB39" s="392"/>
      <c r="AC39" s="392"/>
      <c r="AD39" s="392"/>
      <c r="AE39" s="392"/>
      <c r="AF39" s="392"/>
      <c r="AG39" s="392"/>
      <c r="AH39" s="392"/>
      <c r="AI39" s="392"/>
      <c r="AJ39" s="392"/>
      <c r="AK39" s="392"/>
    </row>
    <row r="40" spans="1:37" s="397" customFormat="1">
      <c r="W40" s="392"/>
      <c r="X40" s="392"/>
      <c r="Y40" s="392"/>
      <c r="Z40" s="392"/>
      <c r="AA40" s="392"/>
      <c r="AB40" s="392"/>
      <c r="AC40" s="392"/>
      <c r="AD40" s="392"/>
      <c r="AE40" s="392"/>
      <c r="AF40" s="392"/>
      <c r="AG40" s="392"/>
      <c r="AH40" s="392"/>
      <c r="AI40" s="392"/>
      <c r="AJ40" s="392"/>
      <c r="AK40" s="392"/>
    </row>
    <row r="41" spans="1:37" s="397" customFormat="1">
      <c r="W41" s="392"/>
      <c r="X41" s="392"/>
      <c r="Y41" s="392"/>
      <c r="Z41" s="392"/>
      <c r="AA41" s="392"/>
      <c r="AB41" s="392"/>
      <c r="AC41" s="392"/>
      <c r="AD41" s="392"/>
      <c r="AE41" s="392"/>
      <c r="AF41" s="392"/>
      <c r="AG41" s="392"/>
      <c r="AH41" s="392"/>
      <c r="AI41" s="392"/>
      <c r="AJ41" s="392"/>
      <c r="AK41" s="392"/>
    </row>
    <row r="42" spans="1:37" ht="13.5" thickBot="1">
      <c r="W42" s="392"/>
      <c r="X42" s="392"/>
      <c r="Y42" s="392"/>
      <c r="Z42" s="392"/>
      <c r="AA42" s="392"/>
      <c r="AB42" s="392"/>
      <c r="AC42" s="392"/>
      <c r="AD42" s="392"/>
      <c r="AE42" s="392"/>
      <c r="AF42" s="392"/>
      <c r="AG42" s="392"/>
      <c r="AH42" s="392"/>
      <c r="AI42" s="392"/>
      <c r="AJ42" s="392"/>
      <c r="AK42" s="392"/>
    </row>
    <row r="43" spans="1:37" s="397" customFormat="1">
      <c r="B43" s="409" t="s">
        <v>1443</v>
      </c>
      <c r="C43" s="408"/>
      <c r="D43" s="408"/>
      <c r="E43" s="408"/>
      <c r="F43" s="408"/>
      <c r="G43" s="408"/>
      <c r="H43" s="408"/>
      <c r="I43" s="408"/>
      <c r="J43" s="408"/>
      <c r="K43" s="408"/>
      <c r="L43" s="408"/>
      <c r="M43" s="408"/>
      <c r="N43" s="408"/>
      <c r="O43" s="408"/>
      <c r="P43" s="408"/>
      <c r="Q43" s="408"/>
      <c r="R43" s="408"/>
      <c r="S43" s="408"/>
      <c r="T43" s="408"/>
      <c r="U43" s="408"/>
      <c r="V43" s="408"/>
      <c r="W43" s="407"/>
      <c r="X43" s="407"/>
      <c r="Y43" s="407"/>
      <c r="Z43" s="407"/>
      <c r="AA43" s="407"/>
      <c r="AB43" s="407"/>
      <c r="AC43" s="407"/>
      <c r="AD43" s="407"/>
      <c r="AE43" s="407"/>
      <c r="AF43" s="407"/>
      <c r="AG43" s="407"/>
      <c r="AH43" s="407"/>
      <c r="AI43" s="407"/>
      <c r="AJ43" s="406"/>
      <c r="AK43" s="392"/>
    </row>
    <row r="44" spans="1:37" s="397" customFormat="1">
      <c r="B44" s="401"/>
      <c r="C44" s="400"/>
      <c r="D44" s="400"/>
      <c r="E44" s="400"/>
      <c r="F44" s="400"/>
      <c r="G44" s="400"/>
      <c r="H44" s="400"/>
      <c r="I44" s="400"/>
      <c r="J44" s="400"/>
      <c r="K44" s="400"/>
      <c r="L44" s="400"/>
      <c r="M44" s="400"/>
      <c r="N44" s="400"/>
      <c r="O44" s="400"/>
      <c r="P44" s="400"/>
      <c r="Q44" s="400"/>
      <c r="R44" s="400"/>
      <c r="S44" s="400"/>
      <c r="T44" s="400"/>
      <c r="U44" s="400"/>
      <c r="V44" s="400"/>
      <c r="W44" s="399"/>
      <c r="X44" s="399"/>
      <c r="Y44" s="399"/>
      <c r="Z44" s="399"/>
      <c r="AA44" s="399"/>
      <c r="AB44" s="399"/>
      <c r="AC44" s="399"/>
      <c r="AD44" s="399"/>
      <c r="AE44" s="399"/>
      <c r="AF44" s="399"/>
      <c r="AG44" s="399"/>
      <c r="AH44" s="399"/>
      <c r="AI44" s="399"/>
      <c r="AJ44" s="398"/>
      <c r="AK44" s="392"/>
    </row>
    <row r="45" spans="1:37">
      <c r="B45" s="405"/>
      <c r="C45" s="928"/>
      <c r="D45" s="928"/>
      <c r="E45" s="928"/>
      <c r="F45" s="928"/>
      <c r="G45" s="928"/>
      <c r="H45" s="928"/>
      <c r="I45" s="928"/>
      <c r="J45" s="928"/>
      <c r="K45" s="928"/>
      <c r="L45" s="928"/>
      <c r="M45" s="928"/>
      <c r="N45" s="928"/>
      <c r="O45" s="928"/>
      <c r="P45" s="928"/>
      <c r="Q45" s="928"/>
      <c r="R45" s="928"/>
      <c r="S45" s="928"/>
      <c r="T45" s="928"/>
      <c r="U45" s="928"/>
      <c r="V45" s="928"/>
      <c r="W45" s="399"/>
      <c r="X45" s="399"/>
      <c r="Y45" s="399"/>
      <c r="Z45" s="399"/>
      <c r="AA45" s="399"/>
      <c r="AB45" s="399"/>
      <c r="AC45" s="399"/>
      <c r="AD45" s="399"/>
      <c r="AE45" s="399"/>
      <c r="AF45" s="399"/>
      <c r="AG45" s="399"/>
      <c r="AH45" s="399"/>
      <c r="AI45" s="399"/>
      <c r="AJ45" s="398"/>
      <c r="AK45" s="392"/>
    </row>
    <row r="46" spans="1:37" s="397" customFormat="1">
      <c r="B46" s="401"/>
      <c r="C46" s="400"/>
      <c r="D46" s="400"/>
      <c r="E46" s="400"/>
      <c r="F46" s="400"/>
      <c r="G46" s="400"/>
      <c r="H46" s="400"/>
      <c r="I46" s="400"/>
      <c r="J46" s="400"/>
      <c r="K46" s="400"/>
      <c r="L46" s="400"/>
      <c r="M46" s="400"/>
      <c r="N46" s="400"/>
      <c r="O46" s="400"/>
      <c r="P46" s="400"/>
      <c r="Q46" s="400"/>
      <c r="R46" s="400"/>
      <c r="S46" s="400"/>
      <c r="T46" s="400"/>
      <c r="U46" s="400"/>
      <c r="V46" s="400"/>
      <c r="W46" s="399"/>
      <c r="X46" s="399"/>
      <c r="Y46" s="399"/>
      <c r="Z46" s="399"/>
      <c r="AA46" s="399"/>
      <c r="AB46" s="399"/>
      <c r="AC46" s="399"/>
      <c r="AD46" s="399"/>
      <c r="AE46" s="399"/>
      <c r="AF46" s="399"/>
      <c r="AG46" s="399"/>
      <c r="AH46" s="399"/>
      <c r="AI46" s="399"/>
      <c r="AJ46" s="398"/>
      <c r="AK46" s="392"/>
    </row>
    <row r="47" spans="1:37" s="391" customFormat="1">
      <c r="B47" s="403"/>
      <c r="C47" s="402"/>
      <c r="D47" s="402"/>
      <c r="E47" s="402"/>
      <c r="F47" s="402"/>
      <c r="G47" s="402"/>
      <c r="H47" s="402"/>
      <c r="I47" s="402"/>
      <c r="J47" s="402"/>
      <c r="K47" s="402"/>
      <c r="L47" s="402"/>
      <c r="M47" s="402"/>
      <c r="N47" s="402"/>
      <c r="O47" s="402"/>
      <c r="P47" s="402"/>
      <c r="Q47" s="402"/>
      <c r="R47" s="402"/>
      <c r="S47" s="402"/>
      <c r="T47" s="402"/>
      <c r="U47" s="402"/>
      <c r="V47" s="402"/>
      <c r="W47" s="399"/>
      <c r="X47" s="399"/>
      <c r="Y47" s="399"/>
      <c r="Z47" s="399"/>
      <c r="AA47" s="399"/>
      <c r="AB47" s="399"/>
      <c r="AC47" s="399"/>
      <c r="AD47" s="399"/>
      <c r="AE47" s="399"/>
      <c r="AF47" s="399"/>
      <c r="AG47" s="399"/>
      <c r="AH47" s="399"/>
      <c r="AI47" s="399"/>
      <c r="AJ47" s="398"/>
      <c r="AK47" s="392"/>
    </row>
    <row r="48" spans="1:37" s="391" customFormat="1">
      <c r="B48" s="403"/>
      <c r="C48" s="402"/>
      <c r="D48" s="402"/>
      <c r="E48" s="402"/>
      <c r="F48" s="402"/>
      <c r="G48" s="402"/>
      <c r="H48" s="402"/>
      <c r="I48" s="402"/>
      <c r="J48" s="402"/>
      <c r="K48" s="402"/>
      <c r="L48" s="402"/>
      <c r="M48" s="402"/>
      <c r="N48" s="402"/>
      <c r="O48" s="402"/>
      <c r="P48" s="402"/>
      <c r="Q48" s="402"/>
      <c r="R48" s="402"/>
      <c r="S48" s="402"/>
      <c r="T48" s="402"/>
      <c r="U48" s="402"/>
      <c r="V48" s="402"/>
      <c r="W48" s="399"/>
      <c r="X48" s="399"/>
      <c r="Y48" s="399"/>
      <c r="Z48" s="399"/>
      <c r="AA48" s="399"/>
      <c r="AB48" s="399"/>
      <c r="AC48" s="399"/>
      <c r="AD48" s="399"/>
      <c r="AE48" s="399"/>
      <c r="AF48" s="399"/>
      <c r="AG48" s="399"/>
      <c r="AH48" s="399"/>
      <c r="AI48" s="399"/>
      <c r="AJ48" s="398"/>
      <c r="AK48" s="392"/>
    </row>
    <row r="49" spans="2:37" s="397" customFormat="1">
      <c r="B49" s="401"/>
      <c r="C49" s="400"/>
      <c r="D49" s="400"/>
      <c r="E49" s="400"/>
      <c r="F49" s="400"/>
      <c r="G49" s="400"/>
      <c r="H49" s="400"/>
      <c r="I49" s="400"/>
      <c r="J49" s="400"/>
      <c r="K49" s="400"/>
      <c r="L49" s="400"/>
      <c r="M49" s="400"/>
      <c r="N49" s="400"/>
      <c r="O49" s="400"/>
      <c r="P49" s="400"/>
      <c r="Q49" s="400"/>
      <c r="R49" s="400"/>
      <c r="S49" s="400"/>
      <c r="T49" s="400"/>
      <c r="U49" s="400"/>
      <c r="V49" s="400"/>
      <c r="W49" s="399"/>
      <c r="X49" s="399"/>
      <c r="Y49" s="399"/>
      <c r="Z49" s="399"/>
      <c r="AA49" s="399"/>
      <c r="AB49" s="399"/>
      <c r="AC49" s="399"/>
      <c r="AD49" s="399"/>
      <c r="AE49" s="399"/>
      <c r="AF49" s="399"/>
      <c r="AG49" s="399"/>
      <c r="AH49" s="399"/>
      <c r="AI49" s="399"/>
      <c r="AJ49" s="398"/>
      <c r="AK49" s="392"/>
    </row>
    <row r="50" spans="2:37" s="397" customFormat="1">
      <c r="B50" s="401"/>
      <c r="C50" s="400"/>
      <c r="D50" s="400"/>
      <c r="E50" s="400"/>
      <c r="F50" s="400"/>
      <c r="G50" s="400"/>
      <c r="H50" s="400"/>
      <c r="I50" s="400"/>
      <c r="J50" s="400"/>
      <c r="K50" s="400"/>
      <c r="L50" s="400"/>
      <c r="M50" s="400"/>
      <c r="N50" s="400"/>
      <c r="O50" s="400"/>
      <c r="P50" s="400"/>
      <c r="Q50" s="400"/>
      <c r="R50" s="400"/>
      <c r="S50" s="400"/>
      <c r="T50" s="400"/>
      <c r="U50" s="400"/>
      <c r="V50" s="400"/>
      <c r="W50" s="399"/>
      <c r="X50" s="399"/>
      <c r="Y50" s="399"/>
      <c r="Z50" s="399"/>
      <c r="AA50" s="399"/>
      <c r="AB50" s="399"/>
      <c r="AC50" s="399"/>
      <c r="AD50" s="399"/>
      <c r="AE50" s="399"/>
      <c r="AF50" s="399"/>
      <c r="AG50" s="399"/>
      <c r="AH50" s="399"/>
      <c r="AI50" s="399"/>
      <c r="AJ50" s="398"/>
      <c r="AK50" s="392"/>
    </row>
    <row r="51" spans="2:37" s="397" customFormat="1">
      <c r="B51" s="401"/>
      <c r="C51" s="400"/>
      <c r="D51" s="400"/>
      <c r="E51" s="400"/>
      <c r="F51" s="400"/>
      <c r="G51" s="400"/>
      <c r="H51" s="400"/>
      <c r="I51" s="400"/>
      <c r="J51" s="400"/>
      <c r="K51" s="400"/>
      <c r="L51" s="400"/>
      <c r="M51" s="400"/>
      <c r="N51" s="400"/>
      <c r="O51" s="400"/>
      <c r="P51" s="400"/>
      <c r="Q51" s="400"/>
      <c r="R51" s="400"/>
      <c r="S51" s="400"/>
      <c r="T51" s="400"/>
      <c r="U51" s="400"/>
      <c r="V51" s="400"/>
      <c r="W51" s="399"/>
      <c r="X51" s="399"/>
      <c r="Y51" s="399"/>
      <c r="Z51" s="399"/>
      <c r="AA51" s="399"/>
      <c r="AB51" s="399"/>
      <c r="AC51" s="399"/>
      <c r="AD51" s="399"/>
      <c r="AE51" s="399"/>
      <c r="AF51" s="399"/>
      <c r="AG51" s="399"/>
      <c r="AH51" s="399"/>
      <c r="AI51" s="399"/>
      <c r="AJ51" s="398"/>
      <c r="AK51" s="392"/>
    </row>
    <row r="52" spans="2:37" s="397" customFormat="1">
      <c r="B52" s="401"/>
      <c r="C52" s="400"/>
      <c r="D52" s="400"/>
      <c r="E52" s="400"/>
      <c r="F52" s="400"/>
      <c r="G52" s="400"/>
      <c r="H52" s="400"/>
      <c r="I52" s="400"/>
      <c r="J52" s="400"/>
      <c r="K52" s="400"/>
      <c r="L52" s="400"/>
      <c r="M52" s="400"/>
      <c r="N52" s="400"/>
      <c r="O52" s="400"/>
      <c r="P52" s="400"/>
      <c r="Q52" s="400"/>
      <c r="R52" s="400"/>
      <c r="S52" s="400"/>
      <c r="T52" s="400"/>
      <c r="U52" s="400"/>
      <c r="V52" s="400"/>
      <c r="W52" s="399"/>
      <c r="X52" s="399"/>
      <c r="Y52" s="399"/>
      <c r="Z52" s="399"/>
      <c r="AA52" s="399"/>
      <c r="AB52" s="399"/>
      <c r="AC52" s="399"/>
      <c r="AD52" s="399"/>
      <c r="AE52" s="399"/>
      <c r="AF52" s="399"/>
      <c r="AG52" s="399"/>
      <c r="AH52" s="399"/>
      <c r="AI52" s="399"/>
      <c r="AJ52" s="398"/>
      <c r="AK52" s="392"/>
    </row>
    <row r="53" spans="2:37" s="391" customFormat="1" ht="13.5" thickBot="1">
      <c r="B53" s="396"/>
      <c r="C53" s="395"/>
      <c r="D53" s="395"/>
      <c r="E53" s="395"/>
      <c r="F53" s="395"/>
      <c r="G53" s="395" t="s">
        <v>1444</v>
      </c>
      <c r="H53" s="395"/>
      <c r="I53" s="395"/>
      <c r="J53" s="395"/>
      <c r="K53" s="395"/>
      <c r="L53" s="395"/>
      <c r="M53" s="395"/>
      <c r="N53" s="395"/>
      <c r="O53" s="395"/>
      <c r="P53" s="395"/>
      <c r="Q53" s="395"/>
      <c r="R53" s="395"/>
      <c r="S53" s="395"/>
      <c r="T53" s="395"/>
      <c r="U53" s="395" t="s">
        <v>1445</v>
      </c>
      <c r="V53" s="395"/>
      <c r="W53" s="394"/>
      <c r="X53" s="394"/>
      <c r="Y53" s="394"/>
      <c r="Z53" s="394"/>
      <c r="AA53" s="394"/>
      <c r="AB53" s="394"/>
      <c r="AC53" s="394"/>
      <c r="AD53" s="394"/>
      <c r="AE53" s="394"/>
      <c r="AF53" s="394"/>
      <c r="AG53" s="394"/>
      <c r="AH53" s="394"/>
      <c r="AI53" s="394"/>
      <c r="AJ53" s="393"/>
      <c r="AK53" s="392"/>
    </row>
  </sheetData>
  <mergeCells count="6">
    <mergeCell ref="L33:T35"/>
    <mergeCell ref="U33:AB35"/>
    <mergeCell ref="AC33:AK35"/>
    <mergeCell ref="L38:T38"/>
    <mergeCell ref="U38:AB38"/>
    <mergeCell ref="AC38:AK38"/>
  </mergeCells>
  <pageMargins left="0.39370078740157483" right="0.39370078740157483" top="0.35433070866141736" bottom="0.35433070866141736" header="0.31496062992125984" footer="0.23622047244094491"/>
  <pageSetup paperSize="9" orientation="portrait" r:id="rId1"/>
  <headerFooter>
    <oddFooter>&amp;LMF SR č. 25947/1/2010&amp;RPage 1</odd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H878"/>
  <sheetViews>
    <sheetView showGridLines="0" view="pageBreakPreview" zoomScale="115" zoomScaleNormal="115" zoomScaleSheetLayoutView="115" workbookViewId="0">
      <pane ySplit="1" topLeftCell="A858" activePane="bottomLeft" state="frozen"/>
      <selection pane="bottomLeft" activeCell="AD872" sqref="AD872"/>
    </sheetView>
  </sheetViews>
  <sheetFormatPr defaultColWidth="9.140625" defaultRowHeight="14.25" customHeight="1"/>
  <cols>
    <col min="1" max="1" width="3.42578125" style="597" customWidth="1"/>
    <col min="2" max="2" width="1.5703125" style="18" customWidth="1"/>
    <col min="3" max="17" width="3.42578125" style="18" customWidth="1"/>
    <col min="18" max="18" width="5.5703125" style="18" customWidth="1"/>
    <col min="19" max="34" width="3.42578125" style="18" customWidth="1"/>
    <col min="35" max="16384" width="9.140625" style="18"/>
  </cols>
  <sheetData>
    <row r="1" spans="1:34" s="602" customFormat="1" ht="15.75" customHeight="1" thickBot="1">
      <c r="A1" s="914" t="s">
        <v>1398</v>
      </c>
      <c r="B1" s="2640" t="s">
        <v>1736</v>
      </c>
      <c r="C1" s="2131"/>
      <c r="D1" s="2131"/>
      <c r="E1" s="2131"/>
      <c r="F1" s="2131"/>
      <c r="G1" s="2131"/>
      <c r="H1" s="2131"/>
      <c r="I1" s="2131"/>
      <c r="J1" s="2131"/>
      <c r="K1" s="2131"/>
      <c r="L1" s="2131"/>
      <c r="M1" s="2131"/>
      <c r="N1" s="2131"/>
      <c r="O1" s="2131"/>
      <c r="P1" s="2131"/>
      <c r="Q1" s="2131"/>
      <c r="R1" s="2131"/>
      <c r="S1" s="2131"/>
      <c r="T1" s="2131"/>
      <c r="U1" s="2131"/>
      <c r="V1" s="2131"/>
      <c r="W1" s="2131"/>
      <c r="X1" s="2131"/>
      <c r="Y1" s="2131"/>
      <c r="Z1" s="2131"/>
      <c r="AA1" s="2131"/>
      <c r="AB1" s="2131"/>
      <c r="AC1" s="2131"/>
      <c r="AD1" s="2131"/>
      <c r="AE1" s="2131"/>
      <c r="AF1" s="2131"/>
      <c r="AG1" s="2131"/>
      <c r="AH1" s="2132"/>
    </row>
    <row r="2" spans="1:34" s="584" customFormat="1" ht="9" customHeight="1">
      <c r="A2" s="597"/>
    </row>
    <row r="3" spans="1:34" s="584" customFormat="1" ht="15" customHeight="1">
      <c r="A3" s="597"/>
      <c r="D3" s="922" t="s">
        <v>2680</v>
      </c>
      <c r="E3" s="920"/>
      <c r="F3" s="920"/>
      <c r="G3" s="920"/>
      <c r="H3" s="920"/>
      <c r="I3" s="920"/>
      <c r="J3" s="920"/>
      <c r="K3" s="921"/>
      <c r="M3" s="923" t="s">
        <v>1231</v>
      </c>
      <c r="N3" s="924" t="str">
        <f>MID('Input data'!$C$24,1,1)</f>
        <v>2</v>
      </c>
      <c r="O3" s="925" t="str">
        <f>MID('Input data'!$C$24,2,1)</f>
        <v>0</v>
      </c>
      <c r="P3" s="925" t="str">
        <f>MID('Input data'!$C$24,3,1)</f>
        <v>2</v>
      </c>
      <c r="Q3" s="925" t="str">
        <f>MID('Input data'!$C$24,4,1)</f>
        <v>0</v>
      </c>
      <c r="R3" s="925" t="str">
        <f>MID('Input data'!$C$24,5,1)</f>
        <v>3</v>
      </c>
      <c r="S3" s="925" t="str">
        <f>MID('Input data'!$C$24,6,1)</f>
        <v>1</v>
      </c>
      <c r="T3" s="925" t="str">
        <f>MID('Input data'!$C$24,7,1)</f>
        <v>9</v>
      </c>
      <c r="U3" s="925" t="str">
        <f>MID('Input data'!$C$24,8,1)</f>
        <v>8</v>
      </c>
      <c r="V3" s="925" t="str">
        <f>MID('Input data'!$C$24,9,1)</f>
        <v>2</v>
      </c>
      <c r="W3" s="926" t="str">
        <f>MID('Input data'!$C$24,10,1)</f>
        <v>9</v>
      </c>
      <c r="Y3" s="923" t="s">
        <v>1074</v>
      </c>
      <c r="Z3" s="924" t="str">
        <f>MID('Input data'!$C$26,1,1)</f>
        <v>3</v>
      </c>
      <c r="AA3" s="925" t="str">
        <f>MID('Input data'!$C$26,2,1)</f>
        <v>1</v>
      </c>
      <c r="AB3" s="925" t="str">
        <f>MID('Input data'!$C$26,3,1)</f>
        <v>3</v>
      </c>
      <c r="AC3" s="925" t="str">
        <f>MID('Input data'!$C$26,4,1)</f>
        <v>6</v>
      </c>
      <c r="AD3" s="925" t="str">
        <f>MID('Input data'!$C$26,5,1)</f>
        <v>5</v>
      </c>
      <c r="AE3" s="925" t="str">
        <f>MID('Input data'!$C$26,6,1)</f>
        <v>5</v>
      </c>
      <c r="AF3" s="925" t="str">
        <f>MID('Input data'!$C$26,7,1)</f>
        <v>0</v>
      </c>
      <c r="AG3" s="926" t="str">
        <f>MID('Input data'!$C$26,8,1)</f>
        <v>7</v>
      </c>
    </row>
    <row r="4" spans="1:34" s="584" customFormat="1" ht="15" hidden="1" customHeight="1">
      <c r="A4" s="597"/>
      <c r="D4" s="933"/>
      <c r="E4" s="930"/>
      <c r="F4" s="930"/>
      <c r="G4" s="930"/>
      <c r="H4" s="930"/>
      <c r="I4" s="930"/>
      <c r="J4" s="930"/>
      <c r="K4" s="930"/>
      <c r="W4" s="923"/>
      <c r="X4" s="934"/>
      <c r="Y4" s="934"/>
      <c r="Z4" s="934"/>
      <c r="AA4" s="934"/>
      <c r="AB4" s="934"/>
      <c r="AC4" s="934"/>
      <c r="AD4" s="934"/>
      <c r="AE4" s="934"/>
      <c r="AF4" s="934"/>
      <c r="AG4" s="934"/>
    </row>
    <row r="5" spans="1:34" s="584" customFormat="1" ht="15" customHeight="1">
      <c r="A5" s="597"/>
      <c r="D5" s="933" t="str">
        <f>LEFT('Notes- SK Template'!D5,25)&amp;" (until 8 March 2018 Optocon technologies s.r.o.)"</f>
        <v>Foss Fibre Optics, s.r.o. (until 8 March 2018 Optocon technologies s.r.o.)</v>
      </c>
      <c r="E5" s="930"/>
      <c r="F5" s="930"/>
      <c r="G5" s="930"/>
      <c r="H5" s="930"/>
      <c r="I5" s="930"/>
      <c r="J5" s="930"/>
      <c r="K5" s="930"/>
      <c r="W5" s="923"/>
      <c r="X5" s="934"/>
      <c r="Y5" s="934"/>
      <c r="Z5" s="934"/>
      <c r="AA5" s="934"/>
      <c r="AB5" s="934"/>
      <c r="AC5" s="934"/>
      <c r="AD5" s="934"/>
      <c r="AE5" s="934"/>
      <c r="AF5" s="934"/>
      <c r="AG5" s="934"/>
    </row>
    <row r="6" spans="1:34" s="584" customFormat="1" ht="21.75" customHeight="1">
      <c r="A6" s="597"/>
    </row>
    <row r="7" spans="1:34" s="584" customFormat="1">
      <c r="A7" s="597"/>
      <c r="D7" s="582" t="s">
        <v>1737</v>
      </c>
    </row>
    <row r="8" spans="1:34" s="584" customFormat="1">
      <c r="A8" s="597"/>
      <c r="D8" s="582"/>
    </row>
    <row r="9" spans="1:34" s="584" customFormat="1" ht="15" customHeight="1">
      <c r="A9" s="597"/>
      <c r="D9" s="2057" t="s">
        <v>2952</v>
      </c>
      <c r="E9" s="2101"/>
      <c r="F9" s="2101"/>
      <c r="G9" s="2101"/>
      <c r="H9" s="2101"/>
      <c r="I9" s="2101"/>
      <c r="J9" s="2101"/>
      <c r="K9" s="2101"/>
      <c r="L9" s="2101"/>
      <c r="M9" s="2101"/>
      <c r="N9" s="2101"/>
      <c r="O9" s="2101"/>
      <c r="P9" s="2101"/>
      <c r="Q9" s="2101"/>
      <c r="R9" s="2101"/>
      <c r="S9" s="2101"/>
      <c r="T9" s="2101"/>
      <c r="U9" s="2101"/>
      <c r="V9" s="2101"/>
      <c r="W9" s="2101"/>
      <c r="X9" s="2101"/>
      <c r="Y9" s="2101"/>
      <c r="Z9" s="2101"/>
      <c r="AA9" s="2101"/>
      <c r="AB9" s="2101"/>
      <c r="AC9" s="2101"/>
      <c r="AD9" s="2101"/>
      <c r="AE9" s="2101"/>
      <c r="AF9" s="2101"/>
      <c r="AG9" s="2101"/>
    </row>
    <row r="10" spans="1:34" s="584" customFormat="1">
      <c r="A10" s="597"/>
      <c r="D10" s="2101"/>
      <c r="E10" s="2101"/>
      <c r="F10" s="2101"/>
      <c r="G10" s="2101"/>
      <c r="H10" s="2101"/>
      <c r="I10" s="2101"/>
      <c r="J10" s="2101"/>
      <c r="K10" s="2101"/>
      <c r="L10" s="2101"/>
      <c r="M10" s="2101"/>
      <c r="N10" s="2101"/>
      <c r="O10" s="2101"/>
      <c r="P10" s="2101"/>
      <c r="Q10" s="2101"/>
      <c r="R10" s="2101"/>
      <c r="S10" s="2101"/>
      <c r="T10" s="2101"/>
      <c r="U10" s="2101"/>
      <c r="V10" s="2101"/>
      <c r="W10" s="2101"/>
      <c r="X10" s="2101"/>
      <c r="Y10" s="2101"/>
      <c r="Z10" s="2101"/>
      <c r="AA10" s="2101"/>
      <c r="AB10" s="2101"/>
      <c r="AC10" s="2101"/>
      <c r="AD10" s="2101"/>
      <c r="AE10" s="2101"/>
      <c r="AF10" s="2101"/>
      <c r="AG10" s="2101"/>
    </row>
    <row r="11" spans="1:34" s="584" customFormat="1">
      <c r="A11" s="597"/>
      <c r="D11" s="2101"/>
      <c r="E11" s="2101"/>
      <c r="F11" s="2101"/>
      <c r="G11" s="2101"/>
      <c r="H11" s="2101"/>
      <c r="I11" s="2101"/>
      <c r="J11" s="2101"/>
      <c r="K11" s="2101"/>
      <c r="L11" s="2101"/>
      <c r="M11" s="2101"/>
      <c r="N11" s="2101"/>
      <c r="O11" s="2101"/>
      <c r="P11" s="2101"/>
      <c r="Q11" s="2101"/>
      <c r="R11" s="2101"/>
      <c r="S11" s="2101"/>
      <c r="T11" s="2101"/>
      <c r="U11" s="2101"/>
      <c r="V11" s="2101"/>
      <c r="W11" s="2101"/>
      <c r="X11" s="2101"/>
      <c r="Y11" s="2101"/>
      <c r="Z11" s="2101"/>
      <c r="AA11" s="2101"/>
      <c r="AB11" s="2101"/>
      <c r="AC11" s="2101"/>
      <c r="AD11" s="2101"/>
      <c r="AE11" s="2101"/>
      <c r="AF11" s="2101"/>
      <c r="AG11" s="2101"/>
    </row>
    <row r="12" spans="1:34" s="584" customFormat="1">
      <c r="A12" s="597"/>
      <c r="D12" s="2101"/>
      <c r="E12" s="2101"/>
      <c r="F12" s="2101"/>
      <c r="G12" s="2101"/>
      <c r="H12" s="2101"/>
      <c r="I12" s="2101"/>
      <c r="J12" s="2101"/>
      <c r="K12" s="2101"/>
      <c r="L12" s="2101"/>
      <c r="M12" s="2101"/>
      <c r="N12" s="2101"/>
      <c r="O12" s="2101"/>
      <c r="P12" s="2101"/>
      <c r="Q12" s="2101"/>
      <c r="R12" s="2101"/>
      <c r="S12" s="2101"/>
      <c r="T12" s="2101"/>
      <c r="U12" s="2101"/>
      <c r="V12" s="2101"/>
      <c r="W12" s="2101"/>
      <c r="X12" s="2101"/>
      <c r="Y12" s="2101"/>
      <c r="Z12" s="2101"/>
      <c r="AA12" s="2101"/>
      <c r="AB12" s="2101"/>
      <c r="AC12" s="2101"/>
      <c r="AD12" s="2101"/>
      <c r="AE12" s="2101"/>
      <c r="AF12" s="2101"/>
      <c r="AG12" s="2101"/>
    </row>
    <row r="13" spans="1:34" s="584" customFormat="1" ht="34.5" customHeight="1">
      <c r="A13" s="597"/>
      <c r="D13" s="2057" t="s">
        <v>2905</v>
      </c>
      <c r="E13" s="2101"/>
      <c r="F13" s="2101"/>
      <c r="G13" s="2101"/>
      <c r="H13" s="2101"/>
      <c r="I13" s="2101"/>
      <c r="J13" s="2101"/>
      <c r="K13" s="2101"/>
      <c r="L13" s="2101"/>
      <c r="M13" s="2101"/>
      <c r="N13" s="2101"/>
      <c r="O13" s="2101"/>
      <c r="P13" s="2101"/>
      <c r="Q13" s="2101"/>
      <c r="R13" s="2101"/>
      <c r="S13" s="2101"/>
      <c r="T13" s="2101"/>
      <c r="U13" s="2101"/>
      <c r="V13" s="2101"/>
      <c r="W13" s="2101"/>
      <c r="X13" s="2101"/>
      <c r="Y13" s="2101"/>
      <c r="Z13" s="2101"/>
      <c r="AA13" s="2101"/>
      <c r="AB13" s="2101"/>
      <c r="AC13" s="2101"/>
      <c r="AD13" s="2101"/>
      <c r="AE13" s="2101"/>
      <c r="AF13" s="2101"/>
      <c r="AG13" s="2101"/>
    </row>
    <row r="14" spans="1:34" s="1502" customFormat="1">
      <c r="A14" s="597"/>
      <c r="D14" s="1503"/>
      <c r="E14" s="1503"/>
      <c r="F14" s="1503"/>
      <c r="G14" s="1503"/>
      <c r="H14" s="1503"/>
      <c r="I14" s="1503"/>
      <c r="J14" s="1503"/>
      <c r="K14" s="1503"/>
      <c r="L14" s="1503"/>
      <c r="M14" s="1503"/>
      <c r="N14" s="1503"/>
      <c r="O14" s="1503"/>
      <c r="P14" s="1503"/>
      <c r="Q14" s="1503"/>
      <c r="R14" s="1503"/>
      <c r="S14" s="1503"/>
      <c r="T14" s="1503"/>
      <c r="U14" s="1503"/>
      <c r="V14" s="1503"/>
      <c r="W14" s="1503"/>
      <c r="X14" s="1503"/>
      <c r="Y14" s="1503"/>
      <c r="Z14" s="1503"/>
      <c r="AA14" s="1503"/>
      <c r="AB14" s="1503"/>
      <c r="AC14" s="1503"/>
      <c r="AD14" s="1503"/>
      <c r="AE14" s="1503"/>
      <c r="AF14" s="1503"/>
      <c r="AG14" s="1503"/>
    </row>
    <row r="15" spans="1:34" s="1502" customFormat="1">
      <c r="A15" s="597"/>
      <c r="D15" s="2133" t="s">
        <v>2806</v>
      </c>
      <c r="E15" s="2133"/>
      <c r="F15" s="2133"/>
      <c r="G15" s="2133"/>
      <c r="H15" s="2133"/>
      <c r="I15" s="2133"/>
      <c r="J15" s="2133"/>
      <c r="K15" s="2133"/>
      <c r="L15" s="2133"/>
      <c r="M15" s="2133"/>
      <c r="N15" s="2133"/>
      <c r="O15" s="2133"/>
      <c r="P15" s="2133"/>
      <c r="Q15" s="2133"/>
      <c r="R15" s="2133"/>
      <c r="S15" s="2133"/>
      <c r="T15" s="2133"/>
      <c r="U15" s="2133"/>
      <c r="V15" s="2133"/>
      <c r="W15" s="2133"/>
      <c r="X15" s="2133"/>
      <c r="Y15" s="2133"/>
      <c r="Z15" s="2133"/>
      <c r="AA15" s="2133"/>
      <c r="AB15" s="2133"/>
      <c r="AC15" s="2133"/>
      <c r="AD15" s="2133"/>
      <c r="AE15" s="2133"/>
      <c r="AF15" s="2133"/>
      <c r="AG15" s="2133"/>
    </row>
    <row r="16" spans="1:34" s="1502" customFormat="1">
      <c r="A16" s="597"/>
      <c r="D16" s="1500"/>
      <c r="E16" s="1500"/>
      <c r="F16" s="1500"/>
      <c r="G16" s="1500"/>
      <c r="H16" s="1500"/>
      <c r="I16" s="1500"/>
      <c r="J16" s="1500"/>
      <c r="K16" s="1500"/>
      <c r="L16" s="1500"/>
      <c r="M16" s="1500"/>
      <c r="N16" s="1500"/>
      <c r="O16" s="1500"/>
      <c r="P16" s="1500"/>
      <c r="Q16" s="1500"/>
      <c r="R16" s="1500"/>
      <c r="S16" s="1500"/>
      <c r="T16" s="1500"/>
      <c r="U16" s="1500"/>
      <c r="V16" s="1500"/>
      <c r="W16" s="1500"/>
      <c r="X16" s="1500"/>
      <c r="Y16" s="1500"/>
      <c r="Z16" s="1500"/>
      <c r="AA16" s="1500"/>
      <c r="AB16" s="1500"/>
      <c r="AC16" s="1500"/>
      <c r="AD16" s="1500"/>
      <c r="AE16" s="1500"/>
      <c r="AF16" s="1500"/>
      <c r="AG16" s="1500"/>
    </row>
    <row r="17" spans="1:33" s="584" customFormat="1">
      <c r="A17" s="597"/>
      <c r="D17" s="917" t="s">
        <v>1738</v>
      </c>
    </row>
    <row r="18" spans="1:33" s="1502" customFormat="1">
      <c r="A18" s="597"/>
      <c r="D18" s="917" t="s">
        <v>1331</v>
      </c>
      <c r="E18" s="917" t="s">
        <v>2807</v>
      </c>
    </row>
    <row r="19" spans="1:33" s="584" customFormat="1">
      <c r="A19" s="597"/>
      <c r="D19" s="917" t="s">
        <v>532</v>
      </c>
      <c r="E19" s="908" t="s">
        <v>2808</v>
      </c>
    </row>
    <row r="20" spans="1:33" s="584" customFormat="1">
      <c r="A20" s="597"/>
      <c r="D20" s="917" t="s">
        <v>535</v>
      </c>
      <c r="E20" s="908" t="s">
        <v>2809</v>
      </c>
    </row>
    <row r="21" spans="1:33" s="584" customFormat="1">
      <c r="A21" s="597"/>
      <c r="D21" s="917" t="s">
        <v>538</v>
      </c>
      <c r="E21" s="908" t="s">
        <v>2810</v>
      </c>
    </row>
    <row r="22" spans="1:33" s="584" customFormat="1">
      <c r="A22" s="597"/>
      <c r="D22" s="583"/>
    </row>
    <row r="23" spans="1:33" s="584" customFormat="1">
      <c r="A23" s="597"/>
      <c r="D23" s="917" t="s">
        <v>1739</v>
      </c>
    </row>
    <row r="24" spans="1:33" s="584" customFormat="1" ht="15" thickBot="1">
      <c r="A24" s="597"/>
    </row>
    <row r="25" spans="1:33" s="584" customFormat="1" ht="34.5" customHeight="1" thickBot="1">
      <c r="A25" s="597">
        <v>1</v>
      </c>
      <c r="D25" s="2120" t="s">
        <v>1740</v>
      </c>
      <c r="E25" s="2120"/>
      <c r="F25" s="2120"/>
      <c r="G25" s="2120"/>
      <c r="H25" s="2120"/>
      <c r="I25" s="2120"/>
      <c r="J25" s="2120"/>
      <c r="K25" s="2120"/>
      <c r="L25" s="2120"/>
      <c r="M25" s="2120"/>
      <c r="N25" s="2120"/>
      <c r="O25" s="2120"/>
      <c r="P25" s="2120" t="s">
        <v>1741</v>
      </c>
      <c r="Q25" s="2120"/>
      <c r="R25" s="2120"/>
      <c r="S25" s="2120"/>
      <c r="T25" s="2120"/>
      <c r="U25" s="2120"/>
      <c r="V25" s="2120"/>
      <c r="W25" s="2120"/>
      <c r="X25" s="2120"/>
      <c r="Y25" s="2120" t="s">
        <v>1802</v>
      </c>
      <c r="Z25" s="2120"/>
      <c r="AA25" s="2120"/>
      <c r="AB25" s="2120"/>
      <c r="AC25" s="2120"/>
      <c r="AD25" s="2120"/>
      <c r="AE25" s="2120"/>
      <c r="AF25" s="2120"/>
      <c r="AG25" s="2120"/>
    </row>
    <row r="26" spans="1:33" s="584" customFormat="1" ht="30" customHeight="1">
      <c r="A26" s="597"/>
      <c r="D26" s="2641" t="s">
        <v>1742</v>
      </c>
      <c r="E26" s="2123"/>
      <c r="F26" s="2123"/>
      <c r="G26" s="2123"/>
      <c r="H26" s="2123"/>
      <c r="I26" s="2123"/>
      <c r="J26" s="2123"/>
      <c r="K26" s="2123"/>
      <c r="L26" s="2123"/>
      <c r="M26" s="2123"/>
      <c r="N26" s="2123"/>
      <c r="O26" s="2123"/>
      <c r="P26" s="2642">
        <f>'Notes- SK Template'!P27</f>
        <v>52</v>
      </c>
      <c r="Q26" s="2643"/>
      <c r="R26" s="2643"/>
      <c r="S26" s="2643"/>
      <c r="T26" s="2643"/>
      <c r="U26" s="2643"/>
      <c r="V26" s="2643"/>
      <c r="W26" s="2643"/>
      <c r="X26" s="2644"/>
      <c r="Y26" s="2642">
        <f>'Notes- SK Template'!Y27</f>
        <v>56.5</v>
      </c>
      <c r="Z26" s="2643"/>
      <c r="AA26" s="2643"/>
      <c r="AB26" s="2643"/>
      <c r="AC26" s="2643"/>
      <c r="AD26" s="2643"/>
      <c r="AE26" s="2643"/>
      <c r="AF26" s="2643"/>
      <c r="AG26" s="2644"/>
    </row>
    <row r="27" spans="1:33" s="584" customFormat="1" ht="30" customHeight="1">
      <c r="A27" s="597"/>
      <c r="D27" s="2645" t="s">
        <v>1743</v>
      </c>
      <c r="E27" s="2122"/>
      <c r="F27" s="2122"/>
      <c r="G27" s="2122"/>
      <c r="H27" s="2122"/>
      <c r="I27" s="2122"/>
      <c r="J27" s="2122"/>
      <c r="K27" s="2122"/>
      <c r="L27" s="2122"/>
      <c r="M27" s="2122"/>
      <c r="N27" s="2122"/>
      <c r="O27" s="2122"/>
      <c r="P27" s="2548">
        <f>'Notes- SK Template'!P28</f>
        <v>51</v>
      </c>
      <c r="Q27" s="2549"/>
      <c r="R27" s="2549"/>
      <c r="S27" s="2549"/>
      <c r="T27" s="2549"/>
      <c r="U27" s="2549"/>
      <c r="V27" s="2549"/>
      <c r="W27" s="2549"/>
      <c r="X27" s="2550"/>
      <c r="Y27" s="2548">
        <f>'Notes- SK Template'!Y28</f>
        <v>55</v>
      </c>
      <c r="Z27" s="2549"/>
      <c r="AA27" s="2549"/>
      <c r="AB27" s="2549"/>
      <c r="AC27" s="2549"/>
      <c r="AD27" s="2549"/>
      <c r="AE27" s="2549"/>
      <c r="AF27" s="2549"/>
      <c r="AG27" s="2550"/>
    </row>
    <row r="28" spans="1:33" s="584" customFormat="1" ht="30" customHeight="1" thickBot="1">
      <c r="A28" s="597"/>
      <c r="D28" s="2630" t="s">
        <v>1744</v>
      </c>
      <c r="E28" s="2121"/>
      <c r="F28" s="2121"/>
      <c r="G28" s="2121"/>
      <c r="H28" s="2121"/>
      <c r="I28" s="2121"/>
      <c r="J28" s="2121"/>
      <c r="K28" s="2121"/>
      <c r="L28" s="2121"/>
      <c r="M28" s="2121"/>
      <c r="N28" s="2121"/>
      <c r="O28" s="2121"/>
      <c r="P28" s="2631">
        <f>'Notes- SK Template'!P29</f>
        <v>3</v>
      </c>
      <c r="Q28" s="2632"/>
      <c r="R28" s="2632"/>
      <c r="S28" s="2632"/>
      <c r="T28" s="2632"/>
      <c r="U28" s="2632"/>
      <c r="V28" s="2632"/>
      <c r="W28" s="2632"/>
      <c r="X28" s="2633"/>
      <c r="Y28" s="2631">
        <f>'Notes- SK Template'!Y29</f>
        <v>3</v>
      </c>
      <c r="Z28" s="2632"/>
      <c r="AA28" s="2632"/>
      <c r="AB28" s="2632"/>
      <c r="AC28" s="2632"/>
      <c r="AD28" s="2632"/>
      <c r="AE28" s="2632"/>
      <c r="AF28" s="2632"/>
      <c r="AG28" s="2633"/>
    </row>
    <row r="29" spans="1:33" s="584" customFormat="1">
      <c r="A29" s="597"/>
    </row>
    <row r="30" spans="1:33" s="584" customFormat="1" ht="15" customHeight="1">
      <c r="A30" s="597"/>
      <c r="D30" s="1884" t="s">
        <v>1745</v>
      </c>
      <c r="E30" s="1884"/>
      <c r="F30" s="1884"/>
      <c r="G30" s="1884"/>
      <c r="H30" s="1884"/>
      <c r="I30" s="1884"/>
      <c r="J30" s="1884"/>
      <c r="K30" s="1884"/>
      <c r="L30" s="1884"/>
      <c r="M30" s="1884"/>
      <c r="N30" s="1884"/>
      <c r="O30" s="1884"/>
      <c r="P30" s="1884"/>
      <c r="Q30" s="1884"/>
      <c r="R30" s="1884"/>
      <c r="S30" s="1884"/>
      <c r="T30" s="1884"/>
      <c r="U30" s="1884"/>
      <c r="V30" s="1884"/>
      <c r="W30" s="1884"/>
      <c r="X30" s="1884"/>
      <c r="Y30" s="1884"/>
      <c r="Z30" s="1884"/>
      <c r="AA30" s="1884"/>
      <c r="AB30" s="1884"/>
      <c r="AC30" s="1884"/>
      <c r="AD30" s="1884"/>
      <c r="AE30" s="1884"/>
      <c r="AF30" s="1884"/>
      <c r="AG30" s="1884"/>
    </row>
    <row r="31" spans="1:33" s="584" customFormat="1">
      <c r="A31" s="597"/>
      <c r="D31" s="1884"/>
      <c r="E31" s="1884"/>
      <c r="F31" s="1884"/>
      <c r="G31" s="1884"/>
      <c r="H31" s="1884"/>
      <c r="I31" s="1884"/>
      <c r="J31" s="1884"/>
      <c r="K31" s="1884"/>
      <c r="L31" s="1884"/>
      <c r="M31" s="1884"/>
      <c r="N31" s="1884"/>
      <c r="O31" s="1884"/>
      <c r="P31" s="1884"/>
      <c r="Q31" s="1884"/>
      <c r="R31" s="1884"/>
      <c r="S31" s="1884"/>
      <c r="T31" s="1884"/>
      <c r="U31" s="1884"/>
      <c r="V31" s="1884"/>
      <c r="W31" s="1884"/>
      <c r="X31" s="1884"/>
      <c r="Y31" s="1884"/>
      <c r="Z31" s="1884"/>
      <c r="AA31" s="1884"/>
      <c r="AB31" s="1884"/>
      <c r="AC31" s="1884"/>
      <c r="AD31" s="1884"/>
      <c r="AE31" s="1884"/>
      <c r="AF31" s="1884"/>
      <c r="AG31" s="1884"/>
    </row>
    <row r="32" spans="1:33" s="584" customFormat="1" ht="15" thickBot="1">
      <c r="A32" s="597"/>
      <c r="D32" s="773"/>
      <c r="E32" s="773"/>
      <c r="F32" s="773"/>
      <c r="G32" s="773"/>
      <c r="H32" s="773"/>
      <c r="I32" s="773"/>
      <c r="J32" s="773"/>
      <c r="K32" s="773"/>
      <c r="L32" s="773"/>
      <c r="M32" s="773"/>
      <c r="N32" s="773"/>
      <c r="O32" s="773"/>
      <c r="P32" s="773"/>
      <c r="Q32" s="773"/>
      <c r="R32" s="773"/>
      <c r="S32" s="773"/>
      <c r="T32" s="773"/>
      <c r="U32" s="773"/>
      <c r="V32" s="773"/>
      <c r="W32" s="773"/>
      <c r="X32" s="773"/>
      <c r="Y32" s="773"/>
      <c r="Z32" s="773"/>
      <c r="AA32" s="773"/>
      <c r="AB32" s="773"/>
      <c r="AC32" s="773"/>
      <c r="AD32" s="773"/>
      <c r="AE32" s="773"/>
      <c r="AF32" s="773"/>
      <c r="AG32" s="773"/>
    </row>
    <row r="33" spans="1:33" s="584" customFormat="1" ht="24.75" customHeight="1" thickBot="1">
      <c r="A33" s="597" t="s">
        <v>1732</v>
      </c>
      <c r="D33" s="1849" t="s">
        <v>1746</v>
      </c>
      <c r="E33" s="1849"/>
      <c r="F33" s="1849"/>
      <c r="G33" s="1849"/>
      <c r="H33" s="1849"/>
      <c r="I33" s="1849"/>
      <c r="J33" s="1849"/>
      <c r="K33" s="1849"/>
      <c r="L33" s="1849"/>
      <c r="M33" s="1849"/>
      <c r="N33" s="1849" t="s">
        <v>1747</v>
      </c>
      <c r="O33" s="1849"/>
      <c r="P33" s="1849"/>
      <c r="Q33" s="1849"/>
      <c r="R33" s="1849"/>
      <c r="S33" s="1849"/>
      <c r="T33" s="1849"/>
      <c r="U33" s="1849"/>
      <c r="V33" s="1849"/>
      <c r="W33" s="1849"/>
      <c r="X33" s="1849" t="s">
        <v>1750</v>
      </c>
      <c r="Y33" s="1849"/>
      <c r="Z33" s="1849"/>
      <c r="AA33" s="1849"/>
      <c r="AB33" s="1849"/>
      <c r="AC33" s="1849" t="s">
        <v>1751</v>
      </c>
      <c r="AD33" s="1849"/>
      <c r="AE33" s="1849"/>
      <c r="AF33" s="1849"/>
      <c r="AG33" s="1849"/>
    </row>
    <row r="34" spans="1:33" s="584" customFormat="1" ht="24.75" customHeight="1" thickBot="1">
      <c r="A34" s="597"/>
      <c r="D34" s="1849"/>
      <c r="E34" s="1849"/>
      <c r="F34" s="1849"/>
      <c r="G34" s="1849"/>
      <c r="H34" s="1849"/>
      <c r="I34" s="1849"/>
      <c r="J34" s="1849"/>
      <c r="K34" s="1849"/>
      <c r="L34" s="1849"/>
      <c r="M34" s="1849"/>
      <c r="N34" s="1849" t="s">
        <v>1748</v>
      </c>
      <c r="O34" s="1849"/>
      <c r="P34" s="1849"/>
      <c r="Q34" s="1849"/>
      <c r="R34" s="1849"/>
      <c r="S34" s="1849" t="s">
        <v>1749</v>
      </c>
      <c r="T34" s="1849"/>
      <c r="U34" s="1849"/>
      <c r="V34" s="1849"/>
      <c r="W34" s="1849"/>
      <c r="X34" s="1849"/>
      <c r="Y34" s="1849"/>
      <c r="Z34" s="1849"/>
      <c r="AA34" s="1849"/>
      <c r="AB34" s="1849"/>
      <c r="AC34" s="1849"/>
      <c r="AD34" s="1849"/>
      <c r="AE34" s="1849"/>
      <c r="AF34" s="1849"/>
      <c r="AG34" s="1849"/>
    </row>
    <row r="35" spans="1:33" s="584" customFormat="1" ht="15.75" customHeight="1">
      <c r="A35" s="597"/>
      <c r="D35" s="2624" t="str">
        <f>'Notes- SK Template'!D36</f>
        <v>FOSS AS FIBEROPTISK SYSTEMSALG</v>
      </c>
      <c r="E35" s="2624"/>
      <c r="F35" s="2624"/>
      <c r="G35" s="2624"/>
      <c r="H35" s="2624"/>
      <c r="I35" s="2624"/>
      <c r="J35" s="2624"/>
      <c r="K35" s="2624"/>
      <c r="L35" s="2624"/>
      <c r="M35" s="2624"/>
      <c r="N35" s="1854">
        <f>'Notes- SK Template'!N36</f>
        <v>2506390</v>
      </c>
      <c r="O35" s="1854"/>
      <c r="P35" s="1854"/>
      <c r="Q35" s="1854"/>
      <c r="R35" s="1854"/>
      <c r="S35" s="2625">
        <f>'Notes- SK Template'!S36</f>
        <v>1</v>
      </c>
      <c r="T35" s="2625"/>
      <c r="U35" s="2625"/>
      <c r="V35" s="2625"/>
      <c r="W35" s="2625"/>
      <c r="X35" s="2625">
        <f>'Notes- SK Template'!X36</f>
        <v>1</v>
      </c>
      <c r="Y35" s="2625"/>
      <c r="Z35" s="2625"/>
      <c r="AA35" s="2625"/>
      <c r="AB35" s="2625"/>
      <c r="AC35" s="2625">
        <f>'Notes- SK Template'!AC36</f>
        <v>1</v>
      </c>
      <c r="AD35" s="2625"/>
      <c r="AE35" s="2625"/>
      <c r="AF35" s="2625"/>
      <c r="AG35" s="2625"/>
    </row>
    <row r="36" spans="1:33" s="584" customFormat="1" ht="15.75" customHeight="1">
      <c r="A36" s="597"/>
      <c r="D36" s="1856"/>
      <c r="E36" s="1856"/>
      <c r="F36" s="1856"/>
      <c r="G36" s="1856"/>
      <c r="H36" s="1856"/>
      <c r="I36" s="1856"/>
      <c r="J36" s="1856"/>
      <c r="K36" s="1856"/>
      <c r="L36" s="1856"/>
      <c r="M36" s="1856"/>
      <c r="N36" s="1857"/>
      <c r="O36" s="1857"/>
      <c r="P36" s="1857"/>
      <c r="Q36" s="1857"/>
      <c r="R36" s="1857"/>
      <c r="S36" s="2626"/>
      <c r="T36" s="2626"/>
      <c r="U36" s="2626"/>
      <c r="V36" s="2626"/>
      <c r="W36" s="2626"/>
      <c r="X36" s="2626"/>
      <c r="Y36" s="2626"/>
      <c r="Z36" s="2626"/>
      <c r="AA36" s="2626"/>
      <c r="AB36" s="2626"/>
      <c r="AC36" s="2626"/>
      <c r="AD36" s="2626"/>
      <c r="AE36" s="2626"/>
      <c r="AF36" s="2626"/>
      <c r="AG36" s="2626"/>
    </row>
    <row r="37" spans="1:33" s="584" customFormat="1" ht="15.75" customHeight="1" thickBot="1">
      <c r="A37" s="597"/>
      <c r="D37" s="2124" t="s">
        <v>1752</v>
      </c>
      <c r="E37" s="2125"/>
      <c r="F37" s="2125"/>
      <c r="G37" s="2125"/>
      <c r="H37" s="2125"/>
      <c r="I37" s="2125"/>
      <c r="J37" s="2125"/>
      <c r="K37" s="2125"/>
      <c r="L37" s="2125"/>
      <c r="M37" s="2126"/>
      <c r="N37" s="2127">
        <f>'Notes- SK Template'!N38</f>
        <v>2506390</v>
      </c>
      <c r="O37" s="2127"/>
      <c r="P37" s="2127"/>
      <c r="Q37" s="2127"/>
      <c r="R37" s="2127"/>
      <c r="S37" s="2128">
        <f>'Notes- SK Template'!S38</f>
        <v>1</v>
      </c>
      <c r="T37" s="2129"/>
      <c r="U37" s="2129"/>
      <c r="V37" s="2129"/>
      <c r="W37" s="2130"/>
      <c r="X37" s="2128">
        <f>'Notes- SK Template'!X38</f>
        <v>1</v>
      </c>
      <c r="Y37" s="2129"/>
      <c r="Z37" s="2129"/>
      <c r="AA37" s="2129"/>
      <c r="AB37" s="2130"/>
      <c r="AC37" s="2128">
        <f>'Notes- SK Template'!AC38</f>
        <v>1</v>
      </c>
      <c r="AD37" s="2129"/>
      <c r="AE37" s="2129"/>
      <c r="AF37" s="2129"/>
      <c r="AG37" s="2130"/>
    </row>
    <row r="38" spans="1:33" s="584" customFormat="1">
      <c r="A38" s="597"/>
      <c r="D38" s="773"/>
      <c r="E38" s="773"/>
      <c r="F38" s="773"/>
      <c r="G38" s="773"/>
      <c r="H38" s="773"/>
      <c r="I38" s="773"/>
      <c r="J38" s="773"/>
      <c r="K38" s="773"/>
      <c r="L38" s="773"/>
      <c r="M38" s="773"/>
      <c r="N38" s="773"/>
      <c r="O38" s="773"/>
      <c r="P38" s="773"/>
      <c r="Q38" s="773"/>
      <c r="R38" s="773"/>
      <c r="S38" s="773"/>
      <c r="T38" s="773"/>
      <c r="U38" s="773"/>
      <c r="V38" s="773"/>
      <c r="W38" s="773"/>
      <c r="X38" s="773"/>
      <c r="Y38" s="773"/>
      <c r="Z38" s="773"/>
      <c r="AA38" s="773"/>
      <c r="AB38" s="773"/>
      <c r="AC38" s="773"/>
      <c r="AD38" s="773"/>
      <c r="AE38" s="773"/>
      <c r="AF38" s="773"/>
      <c r="AG38" s="773"/>
    </row>
    <row r="39" spans="1:33" s="584" customFormat="1">
      <c r="A39" s="597"/>
    </row>
    <row r="40" spans="1:33" s="584" customFormat="1" ht="14.25" customHeight="1">
      <c r="A40" s="597"/>
      <c r="D40" s="2057" t="s">
        <v>3032</v>
      </c>
      <c r="E40" s="2057"/>
      <c r="F40" s="2057"/>
      <c r="G40" s="2057"/>
      <c r="H40" s="2057"/>
      <c r="I40" s="2057"/>
      <c r="J40" s="2057"/>
      <c r="K40" s="2057"/>
      <c r="L40" s="2057"/>
      <c r="M40" s="2057"/>
      <c r="N40" s="2057"/>
      <c r="O40" s="2057"/>
      <c r="P40" s="2057"/>
      <c r="Q40" s="2057"/>
      <c r="R40" s="2057"/>
      <c r="S40" s="2057"/>
      <c r="T40" s="2057"/>
      <c r="U40" s="2057"/>
      <c r="V40" s="2057"/>
      <c r="W40" s="2057"/>
      <c r="X40" s="2057"/>
      <c r="Y40" s="2057"/>
      <c r="Z40" s="2057"/>
      <c r="AA40" s="2057"/>
      <c r="AB40" s="2057"/>
      <c r="AC40" s="2057"/>
      <c r="AD40" s="2057"/>
      <c r="AE40" s="2057"/>
      <c r="AF40" s="2057"/>
      <c r="AG40" s="2057"/>
    </row>
    <row r="41" spans="1:33" s="584" customFormat="1">
      <c r="A41" s="597"/>
      <c r="D41" s="2057"/>
      <c r="E41" s="2057"/>
      <c r="F41" s="2057"/>
      <c r="G41" s="2057"/>
      <c r="H41" s="2057"/>
      <c r="I41" s="2057"/>
      <c r="J41" s="2057"/>
      <c r="K41" s="2057"/>
      <c r="L41" s="2057"/>
      <c r="M41" s="2057"/>
      <c r="N41" s="2057"/>
      <c r="O41" s="2057"/>
      <c r="P41" s="2057"/>
      <c r="Q41" s="2057"/>
      <c r="R41" s="2057"/>
      <c r="S41" s="2057"/>
      <c r="T41" s="2057"/>
      <c r="U41" s="2057"/>
      <c r="V41" s="2057"/>
      <c r="W41" s="2057"/>
      <c r="X41" s="2057"/>
      <c r="Y41" s="2057"/>
      <c r="Z41" s="2057"/>
      <c r="AA41" s="2057"/>
      <c r="AB41" s="2057"/>
      <c r="AC41" s="2057"/>
      <c r="AD41" s="2057"/>
      <c r="AE41" s="2057"/>
      <c r="AF41" s="2057"/>
      <c r="AG41" s="2057"/>
    </row>
    <row r="42" spans="1:33" s="584" customFormat="1">
      <c r="A42" s="597"/>
      <c r="D42" s="2057"/>
      <c r="E42" s="2057"/>
      <c r="F42" s="2057"/>
      <c r="G42" s="2057"/>
      <c r="H42" s="2057"/>
      <c r="I42" s="2057"/>
      <c r="J42" s="2057"/>
      <c r="K42" s="2057"/>
      <c r="L42" s="2057"/>
      <c r="M42" s="2057"/>
      <c r="N42" s="2057"/>
      <c r="O42" s="2057"/>
      <c r="P42" s="2057"/>
      <c r="Q42" s="2057"/>
      <c r="R42" s="2057"/>
      <c r="S42" s="2057"/>
      <c r="T42" s="2057"/>
      <c r="U42" s="2057"/>
      <c r="V42" s="2057"/>
      <c r="W42" s="2057"/>
      <c r="X42" s="2057"/>
      <c r="Y42" s="2057"/>
      <c r="Z42" s="2057"/>
      <c r="AA42" s="2057"/>
      <c r="AB42" s="2057"/>
      <c r="AC42" s="2057"/>
      <c r="AD42" s="2057"/>
      <c r="AE42" s="2057"/>
      <c r="AF42" s="2057"/>
      <c r="AG42" s="2057"/>
    </row>
    <row r="43" spans="1:33" s="584" customFormat="1">
      <c r="A43" s="597"/>
      <c r="D43" s="2057"/>
      <c r="E43" s="2057"/>
      <c r="F43" s="2057"/>
      <c r="G43" s="2057"/>
      <c r="H43" s="2057"/>
      <c r="I43" s="2057"/>
      <c r="J43" s="2057"/>
      <c r="K43" s="2057"/>
      <c r="L43" s="2057"/>
      <c r="M43" s="2057"/>
      <c r="N43" s="2057"/>
      <c r="O43" s="2057"/>
      <c r="P43" s="2057"/>
      <c r="Q43" s="2057"/>
      <c r="R43" s="2057"/>
      <c r="S43" s="2057"/>
      <c r="T43" s="2057"/>
      <c r="U43" s="2057"/>
      <c r="V43" s="2057"/>
      <c r="W43" s="2057"/>
      <c r="X43" s="2057"/>
      <c r="Y43" s="2057"/>
      <c r="Z43" s="2057"/>
      <c r="AA43" s="2057"/>
      <c r="AB43" s="2057"/>
      <c r="AC43" s="2057"/>
      <c r="AD43" s="2057"/>
      <c r="AE43" s="2057"/>
      <c r="AF43" s="2057"/>
      <c r="AG43" s="2057"/>
    </row>
    <row r="44" spans="1:33" s="584" customFormat="1" ht="14.25" customHeight="1">
      <c r="A44" s="597"/>
      <c r="D44" s="2057" t="s">
        <v>3033</v>
      </c>
      <c r="E44" s="2106"/>
      <c r="F44" s="2106"/>
      <c r="G44" s="2106"/>
      <c r="H44" s="2106"/>
      <c r="I44" s="2106"/>
      <c r="J44" s="2106"/>
      <c r="K44" s="2106"/>
      <c r="L44" s="2106"/>
      <c r="M44" s="2106"/>
      <c r="N44" s="2106"/>
      <c r="O44" s="2106"/>
      <c r="P44" s="2106"/>
      <c r="Q44" s="2106"/>
      <c r="R44" s="2106"/>
      <c r="S44" s="2106"/>
      <c r="T44" s="2106"/>
      <c r="U44" s="2106"/>
      <c r="V44" s="2106"/>
      <c r="W44" s="2106"/>
      <c r="X44" s="2106"/>
      <c r="Y44" s="2106"/>
      <c r="Z44" s="2106"/>
      <c r="AA44" s="2106"/>
      <c r="AB44" s="2106"/>
      <c r="AC44" s="2106"/>
      <c r="AD44" s="2106"/>
      <c r="AE44" s="2106"/>
      <c r="AF44" s="2106"/>
      <c r="AG44" s="2106"/>
    </row>
    <row r="45" spans="1:33" s="584" customFormat="1">
      <c r="A45" s="597"/>
      <c r="D45" s="2106"/>
      <c r="E45" s="2106"/>
      <c r="F45" s="2106"/>
      <c r="G45" s="2106"/>
      <c r="H45" s="2106"/>
      <c r="I45" s="2106"/>
      <c r="J45" s="2106"/>
      <c r="K45" s="2106"/>
      <c r="L45" s="2106"/>
      <c r="M45" s="2106"/>
      <c r="N45" s="2106"/>
      <c r="O45" s="2106"/>
      <c r="P45" s="2106"/>
      <c r="Q45" s="2106"/>
      <c r="R45" s="2106"/>
      <c r="S45" s="2106"/>
      <c r="T45" s="2106"/>
      <c r="U45" s="2106"/>
      <c r="V45" s="2106"/>
      <c r="W45" s="2106"/>
      <c r="X45" s="2106"/>
      <c r="Y45" s="2106"/>
      <c r="Z45" s="2106"/>
      <c r="AA45" s="2106"/>
      <c r="AB45" s="2106"/>
      <c r="AC45" s="2106"/>
      <c r="AD45" s="2106"/>
      <c r="AE45" s="2106"/>
      <c r="AF45" s="2106"/>
      <c r="AG45" s="2106"/>
    </row>
    <row r="46" spans="1:33" s="584" customFormat="1">
      <c r="A46" s="597"/>
      <c r="D46" s="2106"/>
      <c r="E46" s="2106"/>
      <c r="F46" s="2106"/>
      <c r="G46" s="2106"/>
      <c r="H46" s="2106"/>
      <c r="I46" s="2106"/>
      <c r="J46" s="2106"/>
      <c r="K46" s="2106"/>
      <c r="L46" s="2106"/>
      <c r="M46" s="2106"/>
      <c r="N46" s="2106"/>
      <c r="O46" s="2106"/>
      <c r="P46" s="2106"/>
      <c r="Q46" s="2106"/>
      <c r="R46" s="2106"/>
      <c r="S46" s="2106"/>
      <c r="T46" s="2106"/>
      <c r="U46" s="2106"/>
      <c r="V46" s="2106"/>
      <c r="W46" s="2106"/>
      <c r="X46" s="2106"/>
      <c r="Y46" s="2106"/>
      <c r="Z46" s="2106"/>
      <c r="AA46" s="2106"/>
      <c r="AB46" s="2106"/>
      <c r="AC46" s="2106"/>
      <c r="AD46" s="2106"/>
      <c r="AE46" s="2106"/>
      <c r="AF46" s="2106"/>
      <c r="AG46" s="2106"/>
    </row>
    <row r="47" spans="1:33" s="584" customFormat="1">
      <c r="A47" s="597"/>
      <c r="D47" s="2106"/>
      <c r="E47" s="2106"/>
      <c r="F47" s="2106"/>
      <c r="G47" s="2106"/>
      <c r="H47" s="2106"/>
      <c r="I47" s="2106"/>
      <c r="J47" s="2106"/>
      <c r="K47" s="2106"/>
      <c r="L47" s="2106"/>
      <c r="M47" s="2106"/>
      <c r="N47" s="2106"/>
      <c r="O47" s="2106"/>
      <c r="P47" s="2106"/>
      <c r="Q47" s="2106"/>
      <c r="R47" s="2106"/>
      <c r="S47" s="2106"/>
      <c r="T47" s="2106"/>
      <c r="U47" s="2106"/>
      <c r="V47" s="2106"/>
      <c r="W47" s="2106"/>
      <c r="X47" s="2106"/>
      <c r="Y47" s="2106"/>
      <c r="Z47" s="2106"/>
      <c r="AA47" s="2106"/>
      <c r="AB47" s="2106"/>
      <c r="AC47" s="2106"/>
      <c r="AD47" s="2106"/>
      <c r="AE47" s="2106"/>
      <c r="AF47" s="2106"/>
      <c r="AG47" s="2106"/>
    </row>
    <row r="48" spans="1:33" s="584" customFormat="1" ht="14.25" customHeight="1">
      <c r="A48" s="597"/>
      <c r="D48" s="2057" t="s">
        <v>2811</v>
      </c>
      <c r="E48" s="2106"/>
      <c r="F48" s="2106"/>
      <c r="G48" s="2106"/>
      <c r="H48" s="2106"/>
      <c r="I48" s="2106"/>
      <c r="J48" s="2106"/>
      <c r="K48" s="2106"/>
      <c r="L48" s="2106"/>
      <c r="M48" s="2106"/>
      <c r="N48" s="2106"/>
      <c r="O48" s="2106"/>
      <c r="P48" s="2106"/>
      <c r="Q48" s="2106"/>
      <c r="R48" s="2106"/>
      <c r="S48" s="2106"/>
      <c r="T48" s="2106"/>
      <c r="U48" s="2106"/>
      <c r="V48" s="2106"/>
      <c r="W48" s="2106"/>
      <c r="X48" s="2106"/>
      <c r="Y48" s="2106"/>
      <c r="Z48" s="2106"/>
      <c r="AA48" s="2106"/>
      <c r="AB48" s="2106"/>
      <c r="AC48" s="2106"/>
      <c r="AD48" s="2106"/>
      <c r="AE48" s="2106"/>
      <c r="AF48" s="2106"/>
      <c r="AG48" s="2106"/>
    </row>
    <row r="49" spans="1:33" s="584" customFormat="1">
      <c r="A49" s="597"/>
      <c r="D49" s="2106"/>
      <c r="E49" s="2106"/>
      <c r="F49" s="2106"/>
      <c r="G49" s="2106"/>
      <c r="H49" s="2106"/>
      <c r="I49" s="2106"/>
      <c r="J49" s="2106"/>
      <c r="K49" s="2106"/>
      <c r="L49" s="2106"/>
      <c r="M49" s="2106"/>
      <c r="N49" s="2106"/>
      <c r="O49" s="2106"/>
      <c r="P49" s="2106"/>
      <c r="Q49" s="2106"/>
      <c r="R49" s="2106"/>
      <c r="S49" s="2106"/>
      <c r="T49" s="2106"/>
      <c r="U49" s="2106"/>
      <c r="V49" s="2106"/>
      <c r="W49" s="2106"/>
      <c r="X49" s="2106"/>
      <c r="Y49" s="2106"/>
      <c r="Z49" s="2106"/>
      <c r="AA49" s="2106"/>
      <c r="AB49" s="2106"/>
      <c r="AC49" s="2106"/>
      <c r="AD49" s="2106"/>
      <c r="AE49" s="2106"/>
      <c r="AF49" s="2106"/>
      <c r="AG49" s="2106"/>
    </row>
    <row r="50" spans="1:33" s="584" customFormat="1">
      <c r="A50" s="597"/>
      <c r="D50" s="917" t="s">
        <v>2868</v>
      </c>
      <c r="E50" s="587"/>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row>
    <row r="51" spans="1:33" s="584" customFormat="1">
      <c r="A51" s="597"/>
    </row>
    <row r="52" spans="1:33" s="584" customFormat="1" ht="15" thickBot="1">
      <c r="A52" s="597"/>
      <c r="D52" s="2105" t="s">
        <v>2812</v>
      </c>
      <c r="E52" s="2105"/>
      <c r="F52" s="2105"/>
      <c r="G52" s="2105"/>
      <c r="H52" s="2105"/>
      <c r="I52" s="2105"/>
      <c r="J52" s="2105"/>
      <c r="K52" s="2105"/>
      <c r="L52" s="2105"/>
      <c r="M52" s="2105"/>
      <c r="N52" s="2105"/>
      <c r="O52" s="2105"/>
    </row>
    <row r="53" spans="1:33" s="584" customFormat="1" ht="15" thickTop="1">
      <c r="A53" s="597"/>
      <c r="D53" s="1504" t="s">
        <v>2730</v>
      </c>
      <c r="E53" s="589"/>
      <c r="F53" s="589"/>
      <c r="G53" s="589"/>
      <c r="H53" s="918"/>
      <c r="I53" s="589"/>
      <c r="J53" s="589"/>
      <c r="K53" s="589"/>
      <c r="L53" s="589"/>
      <c r="M53" s="589"/>
      <c r="N53" s="589"/>
      <c r="O53" s="589"/>
    </row>
    <row r="54" spans="1:33" s="584" customFormat="1">
      <c r="A54" s="597"/>
    </row>
    <row r="55" spans="1:33" s="584" customFormat="1" ht="14.25" customHeight="1">
      <c r="A55" s="597"/>
      <c r="D55" s="2057" t="s">
        <v>2813</v>
      </c>
      <c r="E55" s="2106"/>
      <c r="F55" s="2106"/>
      <c r="G55" s="2106"/>
      <c r="H55" s="2106"/>
      <c r="I55" s="2106"/>
      <c r="J55" s="2106"/>
      <c r="K55" s="2106"/>
      <c r="L55" s="2106"/>
      <c r="M55" s="2106"/>
      <c r="N55" s="2106"/>
      <c r="O55" s="2106"/>
      <c r="P55" s="2106"/>
      <c r="Q55" s="2106"/>
      <c r="R55" s="2106"/>
      <c r="S55" s="2106"/>
      <c r="T55" s="2106"/>
      <c r="U55" s="2106"/>
      <c r="V55" s="2106"/>
      <c r="W55" s="2106"/>
      <c r="X55" s="2106"/>
      <c r="Y55" s="2106"/>
      <c r="Z55" s="2106"/>
      <c r="AA55" s="2106"/>
      <c r="AB55" s="2106"/>
      <c r="AC55" s="2106"/>
      <c r="AD55" s="2106"/>
      <c r="AE55" s="2106"/>
      <c r="AF55" s="2106"/>
      <c r="AG55" s="2106"/>
    </row>
    <row r="56" spans="1:33" s="584" customFormat="1">
      <c r="A56" s="597"/>
      <c r="D56" s="2106"/>
      <c r="E56" s="2106"/>
      <c r="F56" s="2106"/>
      <c r="G56" s="2106"/>
      <c r="H56" s="2106"/>
      <c r="I56" s="2106"/>
      <c r="J56" s="2106"/>
      <c r="K56" s="2106"/>
      <c r="L56" s="2106"/>
      <c r="M56" s="2106"/>
      <c r="N56" s="2106"/>
      <c r="O56" s="2106"/>
      <c r="P56" s="2106"/>
      <c r="Q56" s="2106"/>
      <c r="R56" s="2106"/>
      <c r="S56" s="2106"/>
      <c r="T56" s="2106"/>
      <c r="U56" s="2106"/>
      <c r="V56" s="2106"/>
      <c r="W56" s="2106"/>
      <c r="X56" s="2106"/>
      <c r="Y56" s="2106"/>
      <c r="Z56" s="2106"/>
      <c r="AA56" s="2106"/>
      <c r="AB56" s="2106"/>
      <c r="AC56" s="2106"/>
      <c r="AD56" s="2106"/>
      <c r="AE56" s="2106"/>
      <c r="AF56" s="2106"/>
      <c r="AG56" s="2106"/>
    </row>
    <row r="57" spans="1:33" s="584" customFormat="1">
      <c r="A57" s="597"/>
      <c r="D57" s="582" t="s">
        <v>1753</v>
      </c>
    </row>
    <row r="58" spans="1:33" s="584" customFormat="1">
      <c r="A58" s="597"/>
    </row>
    <row r="59" spans="1:33" s="584" customFormat="1">
      <c r="A59" s="597"/>
      <c r="D59" s="2057" t="s">
        <v>1754</v>
      </c>
      <c r="E59" s="2101"/>
      <c r="F59" s="2101"/>
      <c r="G59" s="2101"/>
      <c r="H59" s="2101"/>
      <c r="I59" s="2101"/>
      <c r="J59" s="2101"/>
      <c r="K59" s="2101"/>
      <c r="L59" s="2101"/>
      <c r="M59" s="2101"/>
      <c r="N59" s="2101"/>
      <c r="O59" s="2101"/>
      <c r="P59" s="2101"/>
      <c r="Q59" s="2101"/>
      <c r="R59" s="2101"/>
      <c r="S59" s="2101"/>
      <c r="T59" s="2101"/>
      <c r="U59" s="2101"/>
      <c r="V59" s="2101"/>
      <c r="W59" s="2101"/>
      <c r="X59" s="2101"/>
      <c r="Y59" s="2101"/>
      <c r="Z59" s="2101"/>
      <c r="AA59" s="2101"/>
      <c r="AB59" s="2101"/>
      <c r="AC59" s="2101"/>
      <c r="AD59" s="2101"/>
      <c r="AE59" s="2101"/>
      <c r="AF59" s="2101"/>
      <c r="AG59" s="2101"/>
    </row>
    <row r="60" spans="1:33" s="584" customFormat="1">
      <c r="A60" s="597"/>
      <c r="D60" s="2101"/>
      <c r="E60" s="2101"/>
      <c r="F60" s="2101"/>
      <c r="G60" s="2101"/>
      <c r="H60" s="2101"/>
      <c r="I60" s="2101"/>
      <c r="J60" s="2101"/>
      <c r="K60" s="2101"/>
      <c r="L60" s="2101"/>
      <c r="M60" s="2101"/>
      <c r="N60" s="2101"/>
      <c r="O60" s="2101"/>
      <c r="P60" s="2101"/>
      <c r="Q60" s="2101"/>
      <c r="R60" s="2101"/>
      <c r="S60" s="2101"/>
      <c r="T60" s="2101"/>
      <c r="U60" s="2101"/>
      <c r="V60" s="2101"/>
      <c r="W60" s="2101"/>
      <c r="X60" s="2101"/>
      <c r="Y60" s="2101"/>
      <c r="Z60" s="2101"/>
      <c r="AA60" s="2101"/>
      <c r="AB60" s="2101"/>
      <c r="AC60" s="2101"/>
      <c r="AD60" s="2101"/>
      <c r="AE60" s="2101"/>
      <c r="AF60" s="2101"/>
      <c r="AG60" s="2101"/>
    </row>
    <row r="61" spans="1:33" s="584" customFormat="1">
      <c r="A61" s="597"/>
      <c r="D61" s="1547"/>
      <c r="E61" s="1547"/>
      <c r="F61" s="1547"/>
      <c r="G61" s="1547"/>
      <c r="H61" s="1547"/>
      <c r="I61" s="1547"/>
      <c r="J61" s="1547"/>
      <c r="K61" s="1547"/>
      <c r="L61" s="1547"/>
      <c r="M61" s="1547"/>
      <c r="N61" s="1547"/>
      <c r="O61" s="1547"/>
      <c r="P61" s="1547"/>
      <c r="Q61" s="1547"/>
      <c r="R61" s="1547"/>
      <c r="S61" s="1547"/>
      <c r="T61" s="1547"/>
      <c r="U61" s="1547"/>
      <c r="V61" s="1547"/>
      <c r="W61" s="1547"/>
      <c r="X61" s="1547"/>
      <c r="Y61" s="1547"/>
      <c r="Z61" s="1547"/>
      <c r="AA61" s="1547"/>
      <c r="AB61" s="1547"/>
      <c r="AC61" s="1547"/>
      <c r="AD61" s="1547"/>
      <c r="AE61" s="1547"/>
      <c r="AF61" s="1547"/>
      <c r="AG61" s="1547"/>
    </row>
    <row r="62" spans="1:33" s="584" customFormat="1">
      <c r="A62" s="597"/>
      <c r="D62" s="582" t="s">
        <v>3035</v>
      </c>
      <c r="H62" s="1547"/>
      <c r="I62" s="1547"/>
      <c r="J62" s="1547"/>
      <c r="K62" s="1547"/>
      <c r="L62" s="1547"/>
      <c r="M62" s="1547"/>
      <c r="N62" s="1547"/>
      <c r="O62" s="1547"/>
      <c r="P62" s="1547"/>
      <c r="Q62" s="1547"/>
      <c r="R62" s="1547"/>
      <c r="S62" s="1547"/>
      <c r="T62" s="1547"/>
      <c r="U62" s="1547"/>
      <c r="V62" s="1547"/>
      <c r="W62" s="1547"/>
      <c r="X62" s="1547"/>
      <c r="Y62" s="1547"/>
      <c r="Z62" s="1547"/>
      <c r="AA62" s="1547"/>
      <c r="AB62" s="1547"/>
      <c r="AC62" s="1547"/>
      <c r="AD62" s="1547"/>
      <c r="AE62" s="1547"/>
      <c r="AF62" s="1547"/>
      <c r="AG62" s="1547"/>
    </row>
    <row r="63" spans="1:33" s="584" customFormat="1">
      <c r="A63" s="597"/>
      <c r="D63" s="1546"/>
      <c r="E63" s="1547"/>
      <c r="F63" s="1547"/>
      <c r="G63" s="1547"/>
      <c r="H63" s="1547"/>
      <c r="I63" s="1547"/>
      <c r="J63" s="1547"/>
      <c r="K63" s="1547"/>
      <c r="L63" s="1547"/>
      <c r="M63" s="1547"/>
      <c r="N63" s="1547"/>
      <c r="O63" s="1547"/>
      <c r="P63" s="1547"/>
      <c r="Q63" s="1547"/>
      <c r="R63" s="1547"/>
      <c r="S63" s="1547"/>
      <c r="T63" s="1547"/>
      <c r="U63" s="1547"/>
      <c r="V63" s="1547"/>
      <c r="W63" s="1547"/>
      <c r="X63" s="1547"/>
      <c r="Y63" s="1547"/>
      <c r="Z63" s="1547"/>
      <c r="AA63" s="1547"/>
      <c r="AB63" s="1547"/>
      <c r="AC63" s="1547"/>
      <c r="AD63" s="1547"/>
      <c r="AE63" s="1547"/>
      <c r="AF63" s="1547"/>
      <c r="AG63" s="1547"/>
    </row>
    <row r="64" spans="1:33" s="584" customFormat="1" ht="13.9" customHeight="1">
      <c r="A64" s="597"/>
      <c r="D64" s="2083" t="s">
        <v>3034</v>
      </c>
      <c r="E64" s="2083"/>
      <c r="F64" s="2083"/>
      <c r="G64" s="2083"/>
      <c r="H64" s="2083"/>
      <c r="I64" s="2083"/>
      <c r="J64" s="2083"/>
      <c r="K64" s="2083"/>
      <c r="L64" s="2083"/>
      <c r="M64" s="2083"/>
      <c r="N64" s="2083"/>
      <c r="O64" s="2083"/>
      <c r="P64" s="2083"/>
      <c r="Q64" s="2083"/>
      <c r="R64" s="2083"/>
      <c r="S64" s="2083"/>
      <c r="T64" s="2083"/>
      <c r="U64" s="2083"/>
      <c r="V64" s="2083"/>
      <c r="W64" s="2083"/>
      <c r="X64" s="2083"/>
      <c r="Y64" s="2083"/>
      <c r="Z64" s="2083"/>
      <c r="AA64" s="2083"/>
      <c r="AB64" s="2083"/>
      <c r="AC64" s="2083"/>
      <c r="AD64" s="2083"/>
      <c r="AE64" s="2083"/>
      <c r="AF64" s="2083"/>
      <c r="AG64" s="2083"/>
    </row>
    <row r="65" spans="1:33" s="584" customFormat="1">
      <c r="A65" s="597"/>
      <c r="D65" s="1548"/>
      <c r="E65" s="1547"/>
      <c r="F65" s="1545"/>
      <c r="G65" s="1547"/>
      <c r="H65" s="1547"/>
      <c r="I65" s="1547"/>
      <c r="J65" s="1547"/>
      <c r="K65" s="1547"/>
      <c r="L65" s="1547"/>
      <c r="M65" s="1547"/>
      <c r="N65" s="1547"/>
      <c r="O65" s="1547"/>
      <c r="P65" s="1547"/>
      <c r="Q65" s="1547"/>
      <c r="R65" s="1547"/>
      <c r="S65" s="1547"/>
      <c r="T65" s="1547"/>
      <c r="U65" s="1547"/>
      <c r="V65" s="1547"/>
      <c r="W65" s="1547"/>
      <c r="X65" s="1547"/>
      <c r="Y65" s="1547"/>
      <c r="Z65" s="1547"/>
      <c r="AA65" s="1547"/>
      <c r="AB65" s="1547"/>
      <c r="AC65" s="1547"/>
      <c r="AD65" s="1547"/>
      <c r="AE65" s="1547"/>
      <c r="AF65" s="1547"/>
      <c r="AG65" s="1547"/>
    </row>
    <row r="66" spans="1:33" s="584" customFormat="1">
      <c r="A66" s="597"/>
      <c r="D66" s="582" t="s">
        <v>3036</v>
      </c>
      <c r="E66" s="1547"/>
      <c r="F66" s="1547"/>
      <c r="G66" s="1547"/>
      <c r="H66" s="1547"/>
      <c r="I66" s="1547"/>
      <c r="J66" s="1547"/>
      <c r="K66" s="1547"/>
      <c r="L66" s="1547"/>
      <c r="M66" s="1547"/>
      <c r="N66" s="1547"/>
      <c r="O66" s="1547"/>
      <c r="P66" s="1547"/>
      <c r="Q66" s="1547"/>
      <c r="R66" s="1547"/>
      <c r="S66" s="1547"/>
      <c r="T66" s="1547"/>
      <c r="U66" s="1547"/>
      <c r="V66" s="1547"/>
      <c r="W66" s="1547"/>
      <c r="X66" s="1547"/>
      <c r="Y66" s="1547"/>
      <c r="Z66" s="1547"/>
      <c r="AA66" s="1547"/>
      <c r="AB66" s="1547"/>
      <c r="AC66" s="1547"/>
      <c r="AD66" s="1547"/>
      <c r="AE66" s="1547"/>
      <c r="AF66" s="1547"/>
      <c r="AG66" s="1547"/>
    </row>
    <row r="67" spans="1:33" s="584" customFormat="1">
      <c r="A67" s="597"/>
      <c r="D67" s="582"/>
      <c r="E67" s="1547"/>
      <c r="F67" s="1547"/>
      <c r="G67" s="1547"/>
      <c r="H67" s="1547"/>
      <c r="I67" s="1547"/>
      <c r="J67" s="1547"/>
      <c r="K67" s="1547"/>
      <c r="L67" s="1547"/>
      <c r="M67" s="1547"/>
      <c r="N67" s="1547"/>
      <c r="O67" s="1547"/>
      <c r="P67" s="1547"/>
      <c r="Q67" s="1547"/>
      <c r="R67" s="1547"/>
      <c r="S67" s="1547"/>
      <c r="T67" s="1547"/>
      <c r="U67" s="1547"/>
      <c r="V67" s="1547"/>
      <c r="W67" s="1547"/>
      <c r="X67" s="1547"/>
      <c r="Y67" s="1547"/>
      <c r="Z67" s="1547"/>
      <c r="AA67" s="1547"/>
      <c r="AB67" s="1547"/>
      <c r="AC67" s="1547"/>
      <c r="AD67" s="1547"/>
      <c r="AE67" s="1547"/>
      <c r="AF67" s="1547"/>
      <c r="AG67" s="1547"/>
    </row>
    <row r="68" spans="1:33" s="584" customFormat="1">
      <c r="A68" s="597"/>
      <c r="D68" s="2057" t="s">
        <v>3037</v>
      </c>
      <c r="E68" s="2101"/>
      <c r="F68" s="2101"/>
      <c r="G68" s="2101"/>
      <c r="H68" s="2101"/>
      <c r="I68" s="2101"/>
      <c r="J68" s="2101"/>
      <c r="K68" s="2101"/>
      <c r="L68" s="2101"/>
      <c r="M68" s="2101"/>
      <c r="N68" s="2101"/>
      <c r="O68" s="2101"/>
      <c r="P68" s="2101"/>
      <c r="Q68" s="2101"/>
      <c r="R68" s="2101"/>
      <c r="S68" s="2101"/>
      <c r="T68" s="2101"/>
      <c r="U68" s="2101"/>
      <c r="V68" s="2101"/>
      <c r="W68" s="2101"/>
      <c r="X68" s="2101"/>
      <c r="Y68" s="2101"/>
      <c r="Z68" s="2101"/>
      <c r="AA68" s="2101"/>
      <c r="AB68" s="2101"/>
      <c r="AC68" s="2101"/>
      <c r="AD68" s="2101"/>
      <c r="AE68" s="2101"/>
      <c r="AF68" s="2101"/>
      <c r="AG68" s="2101"/>
    </row>
    <row r="69" spans="1:33" s="584" customFormat="1">
      <c r="A69" s="597"/>
      <c r="D69" s="2101"/>
      <c r="E69" s="2101"/>
      <c r="F69" s="2101"/>
      <c r="G69" s="2101"/>
      <c r="H69" s="2101"/>
      <c r="I69" s="2101"/>
      <c r="J69" s="2101"/>
      <c r="K69" s="2101"/>
      <c r="L69" s="2101"/>
      <c r="M69" s="2101"/>
      <c r="N69" s="2101"/>
      <c r="O69" s="2101"/>
      <c r="P69" s="2101"/>
      <c r="Q69" s="2101"/>
      <c r="R69" s="2101"/>
      <c r="S69" s="2101"/>
      <c r="T69" s="2101"/>
      <c r="U69" s="2101"/>
      <c r="V69" s="2101"/>
      <c r="W69" s="2101"/>
      <c r="X69" s="2101"/>
      <c r="Y69" s="2101"/>
      <c r="Z69" s="2101"/>
      <c r="AA69" s="2101"/>
      <c r="AB69" s="2101"/>
      <c r="AC69" s="2101"/>
      <c r="AD69" s="2101"/>
      <c r="AE69" s="2101"/>
      <c r="AF69" s="2101"/>
      <c r="AG69" s="2101"/>
    </row>
    <row r="70" spans="1:33" s="584" customFormat="1" ht="15">
      <c r="A70" s="597"/>
      <c r="D70" s="1422"/>
      <c r="E70" s="1422"/>
      <c r="F70" s="1422"/>
      <c r="G70" s="1422"/>
      <c r="H70" s="1422"/>
      <c r="I70" s="1422"/>
      <c r="J70" s="1422"/>
      <c r="K70" s="1422"/>
      <c r="L70" s="1422"/>
      <c r="M70" s="1422"/>
      <c r="N70" s="1422"/>
      <c r="O70" s="1422"/>
      <c r="P70" s="1422"/>
      <c r="Q70" s="1422"/>
      <c r="R70" s="1422"/>
      <c r="S70" s="1422"/>
      <c r="T70" s="1422"/>
      <c r="U70" s="1422"/>
      <c r="V70" s="1422"/>
      <c r="W70" s="1422"/>
      <c r="X70" s="1422"/>
      <c r="Y70" s="1422"/>
      <c r="Z70" s="1422"/>
      <c r="AA70" s="1422"/>
      <c r="AB70" s="1422"/>
      <c r="AC70" s="1422"/>
      <c r="AD70" s="1422"/>
      <c r="AE70" s="1422"/>
      <c r="AF70" s="1422"/>
      <c r="AG70" s="1422"/>
    </row>
    <row r="71" spans="1:33" s="584" customFormat="1">
      <c r="A71" s="597"/>
    </row>
    <row r="72" spans="1:33" s="584" customFormat="1">
      <c r="A72" s="597"/>
      <c r="D72" s="582" t="s">
        <v>3038</v>
      </c>
    </row>
    <row r="73" spans="1:33" s="584" customFormat="1">
      <c r="A73" s="597"/>
    </row>
    <row r="74" spans="1:33" s="584" customFormat="1">
      <c r="A74" s="597"/>
      <c r="D74" s="2057" t="s">
        <v>2906</v>
      </c>
      <c r="E74" s="2101"/>
      <c r="F74" s="2101"/>
      <c r="G74" s="2101"/>
      <c r="H74" s="2101"/>
      <c r="I74" s="2101"/>
      <c r="J74" s="2101"/>
      <c r="K74" s="2101"/>
      <c r="L74" s="2101"/>
      <c r="M74" s="2101"/>
      <c r="N74" s="2101"/>
      <c r="O74" s="2101"/>
      <c r="P74" s="2101"/>
      <c r="Q74" s="2101"/>
      <c r="R74" s="2101"/>
      <c r="S74" s="2101"/>
      <c r="T74" s="2101"/>
      <c r="U74" s="2101"/>
      <c r="V74" s="2101"/>
      <c r="W74" s="2101"/>
      <c r="X74" s="2101"/>
      <c r="Y74" s="2101"/>
      <c r="Z74" s="2101"/>
      <c r="AA74" s="2101"/>
      <c r="AB74" s="2101"/>
      <c r="AC74" s="2101"/>
      <c r="AD74" s="2101"/>
      <c r="AE74" s="2101"/>
      <c r="AF74" s="2101"/>
      <c r="AG74" s="2101"/>
    </row>
    <row r="75" spans="1:33" s="584" customFormat="1">
      <c r="A75" s="597"/>
      <c r="D75" s="2101"/>
      <c r="E75" s="2101"/>
      <c r="F75" s="2101"/>
      <c r="G75" s="2101"/>
      <c r="H75" s="2101"/>
      <c r="I75" s="2101"/>
      <c r="J75" s="2101"/>
      <c r="K75" s="2101"/>
      <c r="L75" s="2101"/>
      <c r="M75" s="2101"/>
      <c r="N75" s="2101"/>
      <c r="O75" s="2101"/>
      <c r="P75" s="2101"/>
      <c r="Q75" s="2101"/>
      <c r="R75" s="2101"/>
      <c r="S75" s="2101"/>
      <c r="T75" s="2101"/>
      <c r="U75" s="2101"/>
      <c r="V75" s="2101"/>
      <c r="W75" s="2101"/>
      <c r="X75" s="2101"/>
      <c r="Y75" s="2101"/>
      <c r="Z75" s="2101"/>
      <c r="AA75" s="2101"/>
      <c r="AB75" s="2101"/>
      <c r="AC75" s="2101"/>
      <c r="AD75" s="2101"/>
      <c r="AE75" s="2101"/>
      <c r="AF75" s="2101"/>
      <c r="AG75" s="2101"/>
    </row>
    <row r="76" spans="1:33" s="584" customFormat="1">
      <c r="A76" s="597"/>
    </row>
    <row r="77" spans="1:33" s="584" customFormat="1">
      <c r="A77" s="597"/>
      <c r="D77" s="582" t="s">
        <v>1755</v>
      </c>
    </row>
    <row r="78" spans="1:33" s="584" customFormat="1">
      <c r="A78" s="597"/>
    </row>
    <row r="79" spans="1:33" s="584" customFormat="1">
      <c r="A79" s="597"/>
      <c r="D79" s="2057" t="s">
        <v>1756</v>
      </c>
      <c r="E79" s="2101"/>
      <c r="F79" s="2101"/>
      <c r="G79" s="2101"/>
      <c r="H79" s="2101"/>
      <c r="I79" s="2101"/>
      <c r="J79" s="2101"/>
      <c r="K79" s="2101"/>
      <c r="L79" s="2101"/>
      <c r="M79" s="2101"/>
      <c r="N79" s="2101"/>
      <c r="O79" s="2101"/>
      <c r="P79" s="2101"/>
      <c r="Q79" s="2101"/>
      <c r="R79" s="2101"/>
      <c r="S79" s="2101"/>
      <c r="T79" s="2101"/>
      <c r="U79" s="2101"/>
      <c r="V79" s="2101"/>
      <c r="W79" s="2101"/>
      <c r="X79" s="2101"/>
      <c r="Y79" s="2101"/>
      <c r="Z79" s="2101"/>
      <c r="AA79" s="2101"/>
      <c r="AB79" s="2101"/>
      <c r="AC79" s="2101"/>
      <c r="AD79" s="2101"/>
      <c r="AE79" s="2101"/>
      <c r="AF79" s="2101"/>
      <c r="AG79" s="2101"/>
    </row>
    <row r="80" spans="1:33" s="584" customFormat="1">
      <c r="A80" s="597"/>
      <c r="D80" s="2101"/>
      <c r="E80" s="2101"/>
      <c r="F80" s="2101"/>
      <c r="G80" s="2101"/>
      <c r="H80" s="2101"/>
      <c r="I80" s="2101"/>
      <c r="J80" s="2101"/>
      <c r="K80" s="2101"/>
      <c r="L80" s="2101"/>
      <c r="M80" s="2101"/>
      <c r="N80" s="2101"/>
      <c r="O80" s="2101"/>
      <c r="P80" s="2101"/>
      <c r="Q80" s="2101"/>
      <c r="R80" s="2101"/>
      <c r="S80" s="2101"/>
      <c r="T80" s="2101"/>
      <c r="U80" s="2101"/>
      <c r="V80" s="2101"/>
      <c r="W80" s="2101"/>
      <c r="X80" s="2101"/>
      <c r="Y80" s="2101"/>
      <c r="Z80" s="2101"/>
      <c r="AA80" s="2101"/>
      <c r="AB80" s="2101"/>
      <c r="AC80" s="2101"/>
      <c r="AD80" s="2101"/>
      <c r="AE80" s="2101"/>
      <c r="AF80" s="2101"/>
      <c r="AG80" s="2101"/>
    </row>
    <row r="81" spans="1:33" s="584" customFormat="1">
      <c r="A81" s="597"/>
    </row>
    <row r="82" spans="1:33" s="584" customFormat="1">
      <c r="A82" s="597"/>
      <c r="D82" s="2057" t="s">
        <v>1757</v>
      </c>
      <c r="E82" s="2101"/>
      <c r="F82" s="2101"/>
      <c r="G82" s="2101"/>
      <c r="H82" s="2101"/>
      <c r="I82" s="2101"/>
      <c r="J82" s="2101"/>
      <c r="K82" s="2101"/>
      <c r="L82" s="2101"/>
      <c r="M82" s="2101"/>
      <c r="N82" s="2101"/>
      <c r="O82" s="2101"/>
      <c r="P82" s="2101"/>
      <c r="Q82" s="2101"/>
      <c r="R82" s="2101"/>
      <c r="S82" s="2101"/>
      <c r="T82" s="2101"/>
      <c r="U82" s="2101"/>
      <c r="V82" s="2101"/>
      <c r="W82" s="2101"/>
      <c r="X82" s="2101"/>
      <c r="Y82" s="2101"/>
      <c r="Z82" s="2101"/>
      <c r="AA82" s="2101"/>
      <c r="AB82" s="2101"/>
      <c r="AC82" s="2101"/>
      <c r="AD82" s="2101"/>
      <c r="AE82" s="2101"/>
      <c r="AF82" s="2101"/>
      <c r="AG82" s="2101"/>
    </row>
    <row r="83" spans="1:33" s="584" customFormat="1">
      <c r="A83" s="597"/>
      <c r="D83" s="2101"/>
      <c r="E83" s="2101"/>
      <c r="F83" s="2101"/>
      <c r="G83" s="2101"/>
      <c r="H83" s="2101"/>
      <c r="I83" s="2101"/>
      <c r="J83" s="2101"/>
      <c r="K83" s="2101"/>
      <c r="L83" s="2101"/>
      <c r="M83" s="2101"/>
      <c r="N83" s="2101"/>
      <c r="O83" s="2101"/>
      <c r="P83" s="2101"/>
      <c r="Q83" s="2101"/>
      <c r="R83" s="2101"/>
      <c r="S83" s="2101"/>
      <c r="T83" s="2101"/>
      <c r="U83" s="2101"/>
      <c r="V83" s="2101"/>
      <c r="W83" s="2101"/>
      <c r="X83" s="2101"/>
      <c r="Y83" s="2101"/>
      <c r="Z83" s="2101"/>
      <c r="AA83" s="2101"/>
      <c r="AB83" s="2101"/>
      <c r="AC83" s="2101"/>
      <c r="AD83" s="2101"/>
      <c r="AE83" s="2101"/>
      <c r="AF83" s="2101"/>
      <c r="AG83" s="2101"/>
    </row>
    <row r="84" spans="1:33" s="584" customFormat="1">
      <c r="A84" s="597"/>
    </row>
    <row r="85" spans="1:33" s="584" customFormat="1">
      <c r="A85" s="597"/>
      <c r="D85" s="2057" t="s">
        <v>3039</v>
      </c>
      <c r="E85" s="2101"/>
      <c r="F85" s="2101"/>
      <c r="G85" s="2101"/>
      <c r="H85" s="2101"/>
      <c r="I85" s="2101"/>
      <c r="J85" s="2101"/>
      <c r="K85" s="2101"/>
      <c r="L85" s="2101"/>
      <c r="M85" s="2101"/>
      <c r="N85" s="2101"/>
      <c r="O85" s="2101"/>
      <c r="P85" s="2101"/>
      <c r="Q85" s="2101"/>
      <c r="R85" s="2101"/>
      <c r="S85" s="2101"/>
      <c r="T85" s="2101"/>
      <c r="U85" s="2101"/>
      <c r="V85" s="2101"/>
      <c r="W85" s="2101"/>
      <c r="X85" s="2101"/>
      <c r="Y85" s="2101"/>
      <c r="Z85" s="2101"/>
      <c r="AA85" s="2101"/>
      <c r="AB85" s="2101"/>
      <c r="AC85" s="2101"/>
      <c r="AD85" s="2101"/>
      <c r="AE85" s="2101"/>
      <c r="AF85" s="2101"/>
      <c r="AG85" s="2101"/>
    </row>
    <row r="86" spans="1:33" s="584" customFormat="1" ht="30.6" customHeight="1">
      <c r="A86" s="597"/>
      <c r="D86" s="2101"/>
      <c r="E86" s="2101"/>
      <c r="F86" s="2101"/>
      <c r="G86" s="2101"/>
      <c r="H86" s="2101"/>
      <c r="I86" s="2101"/>
      <c r="J86" s="2101"/>
      <c r="K86" s="2101"/>
      <c r="L86" s="2101"/>
      <c r="M86" s="2101"/>
      <c r="N86" s="2101"/>
      <c r="O86" s="2101"/>
      <c r="P86" s="2101"/>
      <c r="Q86" s="2101"/>
      <c r="R86" s="2101"/>
      <c r="S86" s="2101"/>
      <c r="T86" s="2101"/>
      <c r="U86" s="2101"/>
      <c r="V86" s="2101"/>
      <c r="W86" s="2101"/>
      <c r="X86" s="2101"/>
      <c r="Y86" s="2101"/>
      <c r="Z86" s="2101"/>
      <c r="AA86" s="2101"/>
      <c r="AB86" s="2101"/>
      <c r="AC86" s="2101"/>
      <c r="AD86" s="2101"/>
      <c r="AE86" s="2101"/>
      <c r="AF86" s="2101"/>
      <c r="AG86" s="2101"/>
    </row>
    <row r="87" spans="1:33" s="584" customFormat="1">
      <c r="A87" s="597"/>
    </row>
    <row r="88" spans="1:33" s="584" customFormat="1">
      <c r="A88" s="597"/>
      <c r="D88" s="600" t="s">
        <v>1758</v>
      </c>
    </row>
    <row r="89" spans="1:33" s="584" customFormat="1">
      <c r="A89" s="597"/>
    </row>
    <row r="90" spans="1:33" s="584" customFormat="1">
      <c r="A90" s="597"/>
      <c r="D90" s="1884" t="s">
        <v>2866</v>
      </c>
      <c r="E90" s="1885"/>
      <c r="F90" s="1885"/>
      <c r="G90" s="1885"/>
      <c r="H90" s="1885"/>
      <c r="I90" s="1885"/>
      <c r="J90" s="1885"/>
      <c r="K90" s="1885"/>
      <c r="L90" s="1885"/>
      <c r="M90" s="1885"/>
      <c r="N90" s="1885"/>
      <c r="O90" s="1885"/>
      <c r="P90" s="1885"/>
      <c r="Q90" s="1885"/>
      <c r="R90" s="1885"/>
      <c r="S90" s="1885"/>
      <c r="T90" s="1885"/>
      <c r="U90" s="1885"/>
      <c r="V90" s="1885"/>
      <c r="W90" s="1885"/>
      <c r="X90" s="1885"/>
      <c r="Y90" s="1885"/>
      <c r="Z90" s="1885"/>
      <c r="AA90" s="1885"/>
      <c r="AB90" s="1885"/>
      <c r="AC90" s="1885"/>
      <c r="AD90" s="1885"/>
      <c r="AE90" s="1885"/>
      <c r="AF90" s="1885"/>
      <c r="AG90" s="1885"/>
    </row>
    <row r="91" spans="1:33" s="584" customFormat="1" ht="28.15" customHeight="1">
      <c r="A91" s="597"/>
      <c r="D91" s="1885"/>
      <c r="E91" s="1885"/>
      <c r="F91" s="1885"/>
      <c r="G91" s="1885"/>
      <c r="H91" s="1885"/>
      <c r="I91" s="1885"/>
      <c r="J91" s="1885"/>
      <c r="K91" s="1885"/>
      <c r="L91" s="1885"/>
      <c r="M91" s="1885"/>
      <c r="N91" s="1885"/>
      <c r="O91" s="1885"/>
      <c r="P91" s="1885"/>
      <c r="Q91" s="1885"/>
      <c r="R91" s="1885"/>
      <c r="S91" s="1885"/>
      <c r="T91" s="1885"/>
      <c r="U91" s="1885"/>
      <c r="V91" s="1885"/>
      <c r="W91" s="1885"/>
      <c r="X91" s="1885"/>
      <c r="Y91" s="1885"/>
      <c r="Z91" s="1885"/>
      <c r="AA91" s="1885"/>
      <c r="AB91" s="1885"/>
      <c r="AC91" s="1885"/>
      <c r="AD91" s="1885"/>
      <c r="AE91" s="1885"/>
      <c r="AF91" s="1885"/>
      <c r="AG91" s="1885"/>
    </row>
    <row r="92" spans="1:33" s="584" customFormat="1" ht="6.6" customHeight="1">
      <c r="A92" s="597"/>
      <c r="D92" s="598"/>
    </row>
    <row r="93" spans="1:33" s="584" customFormat="1">
      <c r="A93" s="597"/>
      <c r="D93" s="2057" t="s">
        <v>1763</v>
      </c>
      <c r="E93" s="2101"/>
      <c r="F93" s="2101"/>
      <c r="G93" s="2101"/>
      <c r="H93" s="2101"/>
      <c r="I93" s="2101"/>
      <c r="J93" s="2101"/>
      <c r="K93" s="2101"/>
      <c r="L93" s="2101"/>
      <c r="M93" s="2101"/>
      <c r="N93" s="2101"/>
      <c r="O93" s="2101"/>
      <c r="P93" s="2101"/>
      <c r="Q93" s="2101"/>
      <c r="R93" s="2101"/>
      <c r="S93" s="2101"/>
      <c r="T93" s="2101"/>
      <c r="U93" s="2101"/>
      <c r="V93" s="2101"/>
      <c r="W93" s="2101"/>
      <c r="X93" s="2101"/>
      <c r="Y93" s="2101"/>
      <c r="Z93" s="2101"/>
      <c r="AA93" s="2101"/>
      <c r="AB93" s="2101"/>
      <c r="AC93" s="2101"/>
      <c r="AD93" s="2101"/>
      <c r="AE93" s="2101"/>
      <c r="AF93" s="2101"/>
      <c r="AG93" s="2101"/>
    </row>
    <row r="94" spans="1:33" s="584" customFormat="1">
      <c r="A94" s="597"/>
      <c r="D94" s="2101"/>
      <c r="E94" s="2101"/>
      <c r="F94" s="2101"/>
      <c r="G94" s="2101"/>
      <c r="H94" s="2101"/>
      <c r="I94" s="2101"/>
      <c r="J94" s="2101"/>
      <c r="K94" s="2101"/>
      <c r="L94" s="2101"/>
      <c r="M94" s="2101"/>
      <c r="N94" s="2101"/>
      <c r="O94" s="2101"/>
      <c r="P94" s="2101"/>
      <c r="Q94" s="2101"/>
      <c r="R94" s="2101"/>
      <c r="S94" s="2101"/>
      <c r="T94" s="2101"/>
      <c r="U94" s="2101"/>
      <c r="V94" s="2101"/>
      <c r="W94" s="2101"/>
      <c r="X94" s="2101"/>
      <c r="Y94" s="2101"/>
      <c r="Z94" s="2101"/>
      <c r="AA94" s="2101"/>
      <c r="AB94" s="2101"/>
      <c r="AC94" s="2101"/>
      <c r="AD94" s="2101"/>
      <c r="AE94" s="2101"/>
      <c r="AF94" s="2101"/>
      <c r="AG94" s="2101"/>
    </row>
    <row r="95" spans="1:33" s="584" customFormat="1">
      <c r="A95" s="597"/>
    </row>
    <row r="96" spans="1:33" s="584" customFormat="1">
      <c r="A96" s="597"/>
      <c r="D96" s="582" t="s">
        <v>1764</v>
      </c>
    </row>
    <row r="97" spans="1:33" s="584" customFormat="1">
      <c r="A97" s="597"/>
    </row>
    <row r="98" spans="1:33" s="584" customFormat="1">
      <c r="A98" s="597"/>
      <c r="D98" s="2057" t="s">
        <v>1765</v>
      </c>
      <c r="E98" s="2101"/>
      <c r="F98" s="2101"/>
      <c r="G98" s="2101"/>
      <c r="H98" s="2101"/>
      <c r="I98" s="2101"/>
      <c r="J98" s="2101"/>
      <c r="K98" s="2101"/>
      <c r="L98" s="2101"/>
      <c r="M98" s="2101"/>
      <c r="N98" s="2101"/>
      <c r="O98" s="2101"/>
      <c r="P98" s="2101"/>
      <c r="Q98" s="2101"/>
      <c r="R98" s="2101"/>
      <c r="S98" s="2101"/>
      <c r="T98" s="2101"/>
      <c r="U98" s="2101"/>
      <c r="V98" s="2101"/>
      <c r="W98" s="2101"/>
      <c r="X98" s="2101"/>
      <c r="Y98" s="2101"/>
      <c r="Z98" s="2101"/>
      <c r="AA98" s="2101"/>
      <c r="AB98" s="2101"/>
      <c r="AC98" s="2101"/>
      <c r="AD98" s="2101"/>
      <c r="AE98" s="2101"/>
      <c r="AF98" s="2101"/>
      <c r="AG98" s="2101"/>
    </row>
    <row r="99" spans="1:33" s="584" customFormat="1">
      <c r="A99" s="597"/>
      <c r="D99" s="2101"/>
      <c r="E99" s="2101"/>
      <c r="F99" s="2101"/>
      <c r="G99" s="2101"/>
      <c r="H99" s="2101"/>
      <c r="I99" s="2101"/>
      <c r="J99" s="2101"/>
      <c r="K99" s="2101"/>
      <c r="L99" s="2101"/>
      <c r="M99" s="2101"/>
      <c r="N99" s="2101"/>
      <c r="O99" s="2101"/>
      <c r="P99" s="2101"/>
      <c r="Q99" s="2101"/>
      <c r="R99" s="2101"/>
      <c r="S99" s="2101"/>
      <c r="T99" s="2101"/>
      <c r="U99" s="2101"/>
      <c r="V99" s="2101"/>
      <c r="W99" s="2101"/>
      <c r="X99" s="2101"/>
      <c r="Y99" s="2101"/>
      <c r="Z99" s="2101"/>
      <c r="AA99" s="2101"/>
      <c r="AB99" s="2101"/>
      <c r="AC99" s="2101"/>
      <c r="AD99" s="2101"/>
      <c r="AE99" s="2101"/>
      <c r="AF99" s="2101"/>
      <c r="AG99" s="2101"/>
    </row>
    <row r="100" spans="1:33" s="584" customFormat="1">
      <c r="A100" s="597"/>
    </row>
    <row r="101" spans="1:33" s="584" customFormat="1">
      <c r="A101" s="597"/>
      <c r="D101" s="2057" t="s">
        <v>1766</v>
      </c>
      <c r="E101" s="2101"/>
      <c r="F101" s="2101"/>
      <c r="G101" s="2101"/>
      <c r="H101" s="2101"/>
      <c r="I101" s="2101"/>
      <c r="J101" s="2101"/>
      <c r="K101" s="2101"/>
      <c r="L101" s="2101"/>
      <c r="M101" s="2101"/>
      <c r="N101" s="2101"/>
      <c r="O101" s="2101"/>
      <c r="P101" s="2101"/>
      <c r="Q101" s="2101"/>
      <c r="R101" s="2101"/>
      <c r="S101" s="2101"/>
      <c r="T101" s="2101"/>
      <c r="U101" s="2101"/>
      <c r="V101" s="2101"/>
      <c r="W101" s="2101"/>
      <c r="X101" s="2101"/>
      <c r="Y101" s="2101"/>
      <c r="Z101" s="2101"/>
      <c r="AA101" s="2101"/>
      <c r="AB101" s="2101"/>
      <c r="AC101" s="2101"/>
      <c r="AD101" s="2101"/>
      <c r="AE101" s="2101"/>
      <c r="AF101" s="2101"/>
      <c r="AG101" s="2101"/>
    </row>
    <row r="102" spans="1:33" s="584" customFormat="1">
      <c r="A102" s="597"/>
      <c r="D102" s="2101"/>
      <c r="E102" s="2101"/>
      <c r="F102" s="2101"/>
      <c r="G102" s="2101"/>
      <c r="H102" s="2101"/>
      <c r="I102" s="2101"/>
      <c r="J102" s="2101"/>
      <c r="K102" s="2101"/>
      <c r="L102" s="2101"/>
      <c r="M102" s="2101"/>
      <c r="N102" s="2101"/>
      <c r="O102" s="2101"/>
      <c r="P102" s="2101"/>
      <c r="Q102" s="2101"/>
      <c r="R102" s="2101"/>
      <c r="S102" s="2101"/>
      <c r="T102" s="2101"/>
      <c r="U102" s="2101"/>
      <c r="V102" s="2101"/>
      <c r="W102" s="2101"/>
      <c r="X102" s="2101"/>
      <c r="Y102" s="2101"/>
      <c r="Z102" s="2101"/>
      <c r="AA102" s="2101"/>
      <c r="AB102" s="2101"/>
      <c r="AC102" s="2101"/>
      <c r="AD102" s="2101"/>
      <c r="AE102" s="2101"/>
      <c r="AF102" s="2101"/>
      <c r="AG102" s="2101"/>
    </row>
    <row r="103" spans="1:33" s="584" customFormat="1">
      <c r="A103" s="597"/>
    </row>
    <row r="104" spans="1:33" s="584" customFormat="1">
      <c r="A104" s="597"/>
      <c r="D104" s="2057" t="s">
        <v>1767</v>
      </c>
      <c r="E104" s="2101"/>
      <c r="F104" s="2101"/>
      <c r="G104" s="2101"/>
      <c r="H104" s="2101"/>
      <c r="I104" s="2101"/>
      <c r="J104" s="2101"/>
      <c r="K104" s="2101"/>
      <c r="L104" s="2101"/>
      <c r="M104" s="2101"/>
      <c r="N104" s="2101"/>
      <c r="O104" s="2101"/>
      <c r="P104" s="2101"/>
      <c r="Q104" s="2101"/>
      <c r="R104" s="2101"/>
      <c r="S104" s="2101"/>
      <c r="T104" s="2101"/>
      <c r="U104" s="2101"/>
      <c r="V104" s="2101"/>
      <c r="W104" s="2101"/>
      <c r="X104" s="2101"/>
      <c r="Y104" s="2101"/>
      <c r="Z104" s="2101"/>
      <c r="AA104" s="2101"/>
      <c r="AB104" s="2101"/>
      <c r="AC104" s="2101"/>
      <c r="AD104" s="2101"/>
      <c r="AE104" s="2101"/>
      <c r="AF104" s="2101"/>
      <c r="AG104" s="2101"/>
    </row>
    <row r="105" spans="1:33" s="584" customFormat="1">
      <c r="A105" s="597"/>
      <c r="D105" s="2101"/>
      <c r="E105" s="2101"/>
      <c r="F105" s="2101"/>
      <c r="G105" s="2101"/>
      <c r="H105" s="2101"/>
      <c r="I105" s="2101"/>
      <c r="J105" s="2101"/>
      <c r="K105" s="2101"/>
      <c r="L105" s="2101"/>
      <c r="M105" s="2101"/>
      <c r="N105" s="2101"/>
      <c r="O105" s="2101"/>
      <c r="P105" s="2101"/>
      <c r="Q105" s="2101"/>
      <c r="R105" s="2101"/>
      <c r="S105" s="2101"/>
      <c r="T105" s="2101"/>
      <c r="U105" s="2101"/>
      <c r="V105" s="2101"/>
      <c r="W105" s="2101"/>
      <c r="X105" s="2101"/>
      <c r="Y105" s="2101"/>
      <c r="Z105" s="2101"/>
      <c r="AA105" s="2101"/>
      <c r="AB105" s="2101"/>
      <c r="AC105" s="2101"/>
      <c r="AD105" s="2101"/>
      <c r="AE105" s="2101"/>
      <c r="AF105" s="2101"/>
      <c r="AG105" s="2101"/>
    </row>
    <row r="106" spans="1:33" s="584" customFormat="1">
      <c r="A106" s="597"/>
    </row>
    <row r="107" spans="1:33" s="584" customFormat="1">
      <c r="A107" s="597"/>
      <c r="D107" s="600" t="s">
        <v>1758</v>
      </c>
    </row>
    <row r="108" spans="1:33" s="584" customFormat="1">
      <c r="A108" s="597"/>
    </row>
    <row r="109" spans="1:33" s="584" customFormat="1">
      <c r="A109" s="597"/>
      <c r="D109" s="2057" t="s">
        <v>1768</v>
      </c>
      <c r="E109" s="2101"/>
      <c r="F109" s="2101"/>
      <c r="G109" s="2101"/>
      <c r="H109" s="2101"/>
      <c r="I109" s="2101"/>
      <c r="J109" s="2101"/>
      <c r="K109" s="2101"/>
      <c r="L109" s="2101"/>
      <c r="M109" s="2101"/>
      <c r="N109" s="2101"/>
      <c r="O109" s="2101"/>
      <c r="P109" s="2101"/>
      <c r="Q109" s="2101"/>
      <c r="R109" s="2101"/>
      <c r="S109" s="2101"/>
      <c r="T109" s="2101"/>
      <c r="U109" s="2101"/>
      <c r="V109" s="2101"/>
      <c r="W109" s="2101"/>
      <c r="X109" s="2101"/>
      <c r="Y109" s="2101"/>
      <c r="Z109" s="2101"/>
      <c r="AA109" s="2101"/>
      <c r="AB109" s="2101"/>
      <c r="AC109" s="2101"/>
      <c r="AD109" s="2101"/>
      <c r="AE109" s="2101"/>
      <c r="AF109" s="2101"/>
      <c r="AG109" s="2101"/>
    </row>
    <row r="110" spans="1:33" s="584" customFormat="1">
      <c r="A110" s="597"/>
      <c r="D110" s="2101"/>
      <c r="E110" s="2101"/>
      <c r="F110" s="2101"/>
      <c r="G110" s="2101"/>
      <c r="H110" s="2101"/>
      <c r="I110" s="2101"/>
      <c r="J110" s="2101"/>
      <c r="K110" s="2101"/>
      <c r="L110" s="2101"/>
      <c r="M110" s="2101"/>
      <c r="N110" s="2101"/>
      <c r="O110" s="2101"/>
      <c r="P110" s="2101"/>
      <c r="Q110" s="2101"/>
      <c r="R110" s="2101"/>
      <c r="S110" s="2101"/>
      <c r="T110" s="2101"/>
      <c r="U110" s="2101"/>
      <c r="V110" s="2101"/>
      <c r="W110" s="2101"/>
      <c r="X110" s="2101"/>
      <c r="Y110" s="2101"/>
      <c r="Z110" s="2101"/>
      <c r="AA110" s="2101"/>
      <c r="AB110" s="2101"/>
      <c r="AC110" s="2101"/>
      <c r="AD110" s="2101"/>
      <c r="AE110" s="2101"/>
      <c r="AF110" s="2101"/>
      <c r="AG110" s="2101"/>
    </row>
    <row r="111" spans="1:33" s="584" customFormat="1">
      <c r="A111" s="597"/>
      <c r="D111" s="2101"/>
      <c r="E111" s="2101"/>
      <c r="F111" s="2101"/>
      <c r="G111" s="2101"/>
      <c r="H111" s="2101"/>
      <c r="I111" s="2101"/>
      <c r="J111" s="2101"/>
      <c r="K111" s="2101"/>
      <c r="L111" s="2101"/>
      <c r="M111" s="2101"/>
      <c r="N111" s="2101"/>
      <c r="O111" s="2101"/>
      <c r="P111" s="2101"/>
      <c r="Q111" s="2101"/>
      <c r="R111" s="2101"/>
      <c r="S111" s="2101"/>
      <c r="T111" s="2101"/>
      <c r="U111" s="2101"/>
      <c r="V111" s="2101"/>
      <c r="W111" s="2101"/>
      <c r="X111" s="2101"/>
      <c r="Y111" s="2101"/>
      <c r="Z111" s="2101"/>
      <c r="AA111" s="2101"/>
      <c r="AB111" s="2101"/>
      <c r="AC111" s="2101"/>
      <c r="AD111" s="2101"/>
      <c r="AE111" s="2101"/>
      <c r="AF111" s="2101"/>
      <c r="AG111" s="2101"/>
    </row>
    <row r="112" spans="1:33" s="584" customFormat="1">
      <c r="A112" s="597"/>
      <c r="D112" s="599"/>
      <c r="E112" s="599"/>
      <c r="F112" s="599"/>
      <c r="G112" s="599"/>
      <c r="H112" s="599"/>
      <c r="I112" s="599"/>
      <c r="J112" s="599"/>
      <c r="K112" s="599"/>
      <c r="L112" s="599"/>
      <c r="M112" s="599"/>
      <c r="N112" s="599"/>
      <c r="O112" s="599"/>
      <c r="P112" s="599"/>
      <c r="Q112" s="599"/>
      <c r="R112" s="599"/>
      <c r="S112" s="599"/>
      <c r="T112" s="599"/>
      <c r="U112" s="599"/>
      <c r="V112" s="599"/>
      <c r="W112" s="599"/>
      <c r="X112" s="599"/>
      <c r="Y112" s="599"/>
      <c r="Z112" s="599"/>
      <c r="AA112" s="599"/>
      <c r="AB112" s="599"/>
      <c r="AC112" s="599"/>
      <c r="AD112" s="599"/>
      <c r="AE112" s="599"/>
      <c r="AF112" s="599"/>
      <c r="AG112" s="599"/>
    </row>
    <row r="113" spans="1:33" s="584" customFormat="1" ht="29.25" customHeight="1" thickBot="1">
      <c r="A113" s="597"/>
      <c r="D113" s="602"/>
      <c r="E113" s="602"/>
      <c r="F113" s="602"/>
      <c r="G113" s="602"/>
      <c r="H113" s="602"/>
      <c r="I113" s="602"/>
      <c r="J113" s="602"/>
      <c r="K113" s="602"/>
      <c r="L113" s="602"/>
      <c r="M113" s="602"/>
      <c r="N113" s="602"/>
      <c r="O113" s="2113" t="s">
        <v>1759</v>
      </c>
      <c r="P113" s="2113"/>
      <c r="Q113" s="2113"/>
      <c r="R113" s="2113"/>
      <c r="S113" s="2113"/>
      <c r="T113" s="2113" t="s">
        <v>2953</v>
      </c>
      <c r="U113" s="2113"/>
      <c r="V113" s="2113"/>
      <c r="W113" s="2113"/>
      <c r="X113" s="2113"/>
      <c r="Y113" s="2113" t="s">
        <v>1760</v>
      </c>
      <c r="Z113" s="2113"/>
      <c r="AA113" s="2113"/>
      <c r="AB113" s="2113"/>
      <c r="AC113" s="2113"/>
    </row>
    <row r="114" spans="1:33" s="584" customFormat="1">
      <c r="A114" s="597"/>
      <c r="D114" s="2623" t="s">
        <v>1769</v>
      </c>
      <c r="E114" s="2107"/>
      <c r="F114" s="2107"/>
      <c r="G114" s="2107"/>
      <c r="H114" s="2107"/>
      <c r="I114" s="2107"/>
      <c r="J114" s="2107"/>
      <c r="K114" s="2107"/>
      <c r="L114" s="2107"/>
      <c r="M114" s="2107"/>
      <c r="N114" s="2107"/>
      <c r="O114" s="2109" t="str">
        <f>'Notes- SK Template'!O110</f>
        <v>10 rokov</v>
      </c>
      <c r="P114" s="2109"/>
      <c r="Q114" s="2109"/>
      <c r="R114" s="2109"/>
      <c r="S114" s="2109"/>
      <c r="T114" s="2109">
        <f>'Notes- SK Template'!T110</f>
        <v>10</v>
      </c>
      <c r="U114" s="2109"/>
      <c r="V114" s="2109"/>
      <c r="W114" s="2109"/>
      <c r="X114" s="2109"/>
      <c r="Y114" s="2109" t="s">
        <v>2814</v>
      </c>
      <c r="Z114" s="2109"/>
      <c r="AA114" s="2109"/>
      <c r="AB114" s="2109"/>
      <c r="AC114" s="2109"/>
    </row>
    <row r="115" spans="1:33" s="584" customFormat="1">
      <c r="A115" s="597"/>
      <c r="D115" s="2623" t="s">
        <v>1770</v>
      </c>
      <c r="E115" s="2107"/>
      <c r="F115" s="2107"/>
      <c r="G115" s="2107"/>
      <c r="H115" s="2107"/>
      <c r="I115" s="2107"/>
      <c r="J115" s="2107"/>
      <c r="K115" s="2107"/>
      <c r="L115" s="2107"/>
      <c r="M115" s="2107"/>
      <c r="N115" s="2107"/>
      <c r="O115" s="2109" t="s">
        <v>2954</v>
      </c>
      <c r="P115" s="2109"/>
      <c r="Q115" s="2109"/>
      <c r="R115" s="2109"/>
      <c r="S115" s="2109"/>
      <c r="T115" s="2109" t="str">
        <f>'Notes- SK Template'!T111</f>
        <v>8 - 25</v>
      </c>
      <c r="U115" s="2109"/>
      <c r="V115" s="2109"/>
      <c r="W115" s="2109"/>
      <c r="X115" s="2109"/>
      <c r="Y115" s="2109" t="s">
        <v>2814</v>
      </c>
      <c r="Z115" s="2109"/>
      <c r="AA115" s="2109"/>
      <c r="AB115" s="2109"/>
      <c r="AC115" s="2109"/>
    </row>
    <row r="116" spans="1:33" s="584" customFormat="1">
      <c r="A116" s="597"/>
      <c r="D116" s="2623" t="s">
        <v>1771</v>
      </c>
      <c r="E116" s="2107"/>
      <c r="F116" s="2107"/>
      <c r="G116" s="2107"/>
      <c r="H116" s="2107"/>
      <c r="I116" s="2107"/>
      <c r="J116" s="2107"/>
      <c r="K116" s="2107"/>
      <c r="L116" s="2107"/>
      <c r="M116" s="2107"/>
      <c r="N116" s="2107"/>
      <c r="O116" s="2137" t="str">
        <f>'Notes- SK Template'!O112</f>
        <v>-</v>
      </c>
      <c r="P116" s="2137"/>
      <c r="Q116" s="2137"/>
      <c r="R116" s="2137"/>
      <c r="S116" s="2137"/>
      <c r="T116" s="2137" t="str">
        <f>'Notes- SK Template'!T112</f>
        <v>-</v>
      </c>
      <c r="U116" s="2137"/>
      <c r="V116" s="2137"/>
      <c r="W116" s="2137"/>
      <c r="X116" s="2137"/>
      <c r="Y116" s="2137" t="str">
        <f>'Notes- SK Template'!Y112</f>
        <v>-</v>
      </c>
      <c r="Z116" s="2137"/>
      <c r="AA116" s="2137"/>
      <c r="AB116" s="2137"/>
      <c r="AC116" s="2137"/>
    </row>
    <row r="117" spans="1:33" s="584" customFormat="1">
      <c r="A117" s="597"/>
      <c r="D117" s="2621" t="s">
        <v>2023</v>
      </c>
      <c r="E117" s="2107"/>
      <c r="F117" s="2107"/>
      <c r="G117" s="2107"/>
      <c r="H117" s="2107"/>
      <c r="I117" s="2107"/>
      <c r="J117" s="2107"/>
      <c r="K117" s="2107"/>
      <c r="L117" s="2107"/>
      <c r="M117" s="2107"/>
      <c r="N117" s="2107"/>
      <c r="O117" s="2137" t="str">
        <f>'Notes- SK Template'!O113</f>
        <v>-</v>
      </c>
      <c r="P117" s="2137"/>
      <c r="Q117" s="2137"/>
      <c r="R117" s="2137"/>
      <c r="S117" s="2137"/>
      <c r="T117" s="2137" t="str">
        <f>'Notes- SK Template'!T113</f>
        <v>-</v>
      </c>
      <c r="U117" s="2137"/>
      <c r="V117" s="2137"/>
      <c r="W117" s="2137"/>
      <c r="X117" s="2137"/>
      <c r="Y117" s="2137" t="str">
        <f>'Notes- SK Template'!Y113</f>
        <v>-</v>
      </c>
      <c r="Z117" s="2137"/>
      <c r="AA117" s="2137"/>
      <c r="AB117" s="2137"/>
      <c r="AC117" s="2137"/>
    </row>
    <row r="118" spans="1:33" s="584" customFormat="1">
      <c r="A118" s="597"/>
      <c r="D118" s="2622" t="s">
        <v>1772</v>
      </c>
      <c r="E118" s="2138"/>
      <c r="F118" s="2138"/>
      <c r="G118" s="2138"/>
      <c r="H118" s="2138"/>
      <c r="I118" s="2138"/>
      <c r="J118" s="2138"/>
      <c r="K118" s="2138"/>
      <c r="L118" s="2138"/>
      <c r="M118" s="2138"/>
      <c r="N118" s="2138"/>
      <c r="O118" s="2139" t="str">
        <f>'Notes- SK Template'!O114</f>
        <v>-</v>
      </c>
      <c r="P118" s="2139"/>
      <c r="Q118" s="2139"/>
      <c r="R118" s="2139"/>
      <c r="S118" s="2139"/>
      <c r="T118" s="2139" t="str">
        <f>'Notes- SK Template'!T114</f>
        <v>-</v>
      </c>
      <c r="U118" s="2139"/>
      <c r="V118" s="2139"/>
      <c r="W118" s="2139"/>
      <c r="X118" s="2139"/>
      <c r="Y118" s="2139" t="str">
        <f>'Notes- SK Template'!Y114</f>
        <v>-</v>
      </c>
      <c r="Z118" s="2139"/>
      <c r="AA118" s="2139"/>
      <c r="AB118" s="2139"/>
      <c r="AC118" s="2139"/>
    </row>
    <row r="119" spans="1:33" s="584" customFormat="1">
      <c r="A119" s="597"/>
    </row>
    <row r="120" spans="1:33" s="584" customFormat="1">
      <c r="A120" s="597"/>
      <c r="D120" s="2057" t="s">
        <v>1763</v>
      </c>
      <c r="E120" s="2101"/>
      <c r="F120" s="2101"/>
      <c r="G120" s="2101"/>
      <c r="H120" s="2101"/>
      <c r="I120" s="2101"/>
      <c r="J120" s="2101"/>
      <c r="K120" s="2101"/>
      <c r="L120" s="2101"/>
      <c r="M120" s="2101"/>
      <c r="N120" s="2101"/>
      <c r="O120" s="2101"/>
      <c r="P120" s="2101"/>
      <c r="Q120" s="2101"/>
      <c r="R120" s="2101"/>
      <c r="S120" s="2101"/>
      <c r="T120" s="2101"/>
      <c r="U120" s="2101"/>
      <c r="V120" s="2101"/>
      <c r="W120" s="2101"/>
      <c r="X120" s="2101"/>
      <c r="Y120" s="2101"/>
      <c r="Z120" s="2101"/>
      <c r="AA120" s="2101"/>
      <c r="AB120" s="2101"/>
      <c r="AC120" s="2101"/>
      <c r="AD120" s="2101"/>
      <c r="AE120" s="2101"/>
      <c r="AF120" s="2101"/>
      <c r="AG120" s="2101"/>
    </row>
    <row r="121" spans="1:33" s="584" customFormat="1">
      <c r="A121" s="597"/>
      <c r="D121" s="2101"/>
      <c r="E121" s="2101"/>
      <c r="F121" s="2101"/>
      <c r="G121" s="2101"/>
      <c r="H121" s="2101"/>
      <c r="I121" s="2101"/>
      <c r="J121" s="2101"/>
      <c r="K121" s="2101"/>
      <c r="L121" s="2101"/>
      <c r="M121" s="2101"/>
      <c r="N121" s="2101"/>
      <c r="O121" s="2101"/>
      <c r="P121" s="2101"/>
      <c r="Q121" s="2101"/>
      <c r="R121" s="2101"/>
      <c r="S121" s="2101"/>
      <c r="T121" s="2101"/>
      <c r="U121" s="2101"/>
      <c r="V121" s="2101"/>
      <c r="W121" s="2101"/>
      <c r="X121" s="2101"/>
      <c r="Y121" s="2101"/>
      <c r="Z121" s="2101"/>
      <c r="AA121" s="2101"/>
      <c r="AB121" s="2101"/>
      <c r="AC121" s="2101"/>
      <c r="AD121" s="2101"/>
      <c r="AE121" s="2101"/>
      <c r="AF121" s="2101"/>
      <c r="AG121" s="2101"/>
    </row>
    <row r="122" spans="1:33" s="584" customFormat="1">
      <c r="A122" s="597"/>
    </row>
    <row r="123" spans="1:33" s="584" customFormat="1">
      <c r="A123" s="597"/>
    </row>
    <row r="124" spans="1:33" s="584" customFormat="1">
      <c r="A124" s="597"/>
      <c r="D124" s="582" t="s">
        <v>1773</v>
      </c>
    </row>
    <row r="125" spans="1:33" s="584" customFormat="1">
      <c r="A125" s="597"/>
    </row>
    <row r="126" spans="1:33" s="584" customFormat="1">
      <c r="A126" s="597"/>
      <c r="D126" s="2057" t="s">
        <v>2815</v>
      </c>
      <c r="E126" s="2101"/>
      <c r="F126" s="2101"/>
      <c r="G126" s="2101"/>
      <c r="H126" s="2101"/>
      <c r="I126" s="2101"/>
      <c r="J126" s="2101"/>
      <c r="K126" s="2101"/>
      <c r="L126" s="2101"/>
      <c r="M126" s="2101"/>
      <c r="N126" s="2101"/>
      <c r="O126" s="2101"/>
      <c r="P126" s="2101"/>
      <c r="Q126" s="2101"/>
      <c r="R126" s="2101"/>
      <c r="S126" s="2101"/>
      <c r="T126" s="2101"/>
      <c r="U126" s="2101"/>
      <c r="V126" s="2101"/>
      <c r="W126" s="2101"/>
      <c r="X126" s="2101"/>
      <c r="Y126" s="2101"/>
      <c r="Z126" s="2101"/>
      <c r="AA126" s="2101"/>
      <c r="AB126" s="2101"/>
      <c r="AC126" s="2101"/>
      <c r="AD126" s="2101"/>
      <c r="AE126" s="2101"/>
      <c r="AF126" s="2101"/>
      <c r="AG126" s="2101"/>
    </row>
    <row r="127" spans="1:33" s="584" customFormat="1">
      <c r="A127" s="597"/>
      <c r="D127" s="2101"/>
      <c r="E127" s="2101"/>
      <c r="F127" s="2101"/>
      <c r="G127" s="2101"/>
      <c r="H127" s="2101"/>
      <c r="I127" s="2101"/>
      <c r="J127" s="2101"/>
      <c r="K127" s="2101"/>
      <c r="L127" s="2101"/>
      <c r="M127" s="2101"/>
      <c r="N127" s="2101"/>
      <c r="O127" s="2101"/>
      <c r="P127" s="2101"/>
      <c r="Q127" s="2101"/>
      <c r="R127" s="2101"/>
      <c r="S127" s="2101"/>
      <c r="T127" s="2101"/>
      <c r="U127" s="2101"/>
      <c r="V127" s="2101"/>
      <c r="W127" s="2101"/>
      <c r="X127" s="2101"/>
      <c r="Y127" s="2101"/>
      <c r="Z127" s="2101"/>
      <c r="AA127" s="2101"/>
      <c r="AB127" s="2101"/>
      <c r="AC127" s="2101"/>
      <c r="AD127" s="2101"/>
      <c r="AE127" s="2101"/>
      <c r="AF127" s="2101"/>
      <c r="AG127" s="2101"/>
    </row>
    <row r="128" spans="1:33" s="584" customFormat="1">
      <c r="A128" s="597"/>
    </row>
    <row r="129" spans="1:33" s="584" customFormat="1">
      <c r="A129" s="597"/>
      <c r="D129" s="582" t="s">
        <v>1774</v>
      </c>
    </row>
    <row r="130" spans="1:33" s="584" customFormat="1">
      <c r="A130" s="597"/>
    </row>
    <row r="131" spans="1:33" s="584" customFormat="1">
      <c r="A131" s="597"/>
      <c r="D131" s="2057" t="s">
        <v>3040</v>
      </c>
      <c r="E131" s="2101"/>
      <c r="F131" s="2101"/>
      <c r="G131" s="2101"/>
      <c r="H131" s="2101"/>
      <c r="I131" s="2101"/>
      <c r="J131" s="2101"/>
      <c r="K131" s="2101"/>
      <c r="L131" s="2101"/>
      <c r="M131" s="2101"/>
      <c r="N131" s="2101"/>
      <c r="O131" s="2101"/>
      <c r="P131" s="2101"/>
      <c r="Q131" s="2101"/>
      <c r="R131" s="2101"/>
      <c r="S131" s="2101"/>
      <c r="T131" s="2101"/>
      <c r="U131" s="2101"/>
      <c r="V131" s="2101"/>
      <c r="W131" s="2101"/>
      <c r="X131" s="2101"/>
      <c r="Y131" s="2101"/>
      <c r="Z131" s="2101"/>
      <c r="AA131" s="2101"/>
      <c r="AB131" s="2101"/>
      <c r="AC131" s="2101"/>
      <c r="AD131" s="2101"/>
      <c r="AE131" s="2101"/>
      <c r="AF131" s="2101"/>
      <c r="AG131" s="2101"/>
    </row>
    <row r="132" spans="1:33" s="584" customFormat="1">
      <c r="A132" s="597"/>
      <c r="D132" s="2101"/>
      <c r="E132" s="2101"/>
      <c r="F132" s="2101"/>
      <c r="G132" s="2101"/>
      <c r="H132" s="2101"/>
      <c r="I132" s="2101"/>
      <c r="J132" s="2101"/>
      <c r="K132" s="2101"/>
      <c r="L132" s="2101"/>
      <c r="M132" s="2101"/>
      <c r="N132" s="2101"/>
      <c r="O132" s="2101"/>
      <c r="P132" s="2101"/>
      <c r="Q132" s="2101"/>
      <c r="R132" s="2101"/>
      <c r="S132" s="2101"/>
      <c r="T132" s="2101"/>
      <c r="U132" s="2101"/>
      <c r="V132" s="2101"/>
      <c r="W132" s="2101"/>
      <c r="X132" s="2101"/>
      <c r="Y132" s="2101"/>
      <c r="Z132" s="2101"/>
      <c r="AA132" s="2101"/>
      <c r="AB132" s="2101"/>
      <c r="AC132" s="2101"/>
      <c r="AD132" s="2101"/>
      <c r="AE132" s="2101"/>
      <c r="AF132" s="2101"/>
      <c r="AG132" s="2101"/>
    </row>
    <row r="133" spans="1:33" s="584" customFormat="1">
      <c r="A133" s="597"/>
      <c r="D133" s="2101"/>
      <c r="E133" s="2101"/>
      <c r="F133" s="2101"/>
      <c r="G133" s="2101"/>
      <c r="H133" s="2101"/>
      <c r="I133" s="2101"/>
      <c r="J133" s="2101"/>
      <c r="K133" s="2101"/>
      <c r="L133" s="2101"/>
      <c r="M133" s="2101"/>
      <c r="N133" s="2101"/>
      <c r="O133" s="2101"/>
      <c r="P133" s="2101"/>
      <c r="Q133" s="2101"/>
      <c r="R133" s="2101"/>
      <c r="S133" s="2101"/>
      <c r="T133" s="2101"/>
      <c r="U133" s="2101"/>
      <c r="V133" s="2101"/>
      <c r="W133" s="2101"/>
      <c r="X133" s="2101"/>
      <c r="Y133" s="2101"/>
      <c r="Z133" s="2101"/>
      <c r="AA133" s="2101"/>
      <c r="AB133" s="2101"/>
      <c r="AC133" s="2101"/>
      <c r="AD133" s="2101"/>
      <c r="AE133" s="2101"/>
      <c r="AF133" s="2101"/>
      <c r="AG133" s="2101"/>
    </row>
    <row r="134" spans="1:33" s="584" customFormat="1" ht="28.15" customHeight="1">
      <c r="A134" s="597"/>
      <c r="D134" s="2101"/>
      <c r="E134" s="2101"/>
      <c r="F134" s="2101"/>
      <c r="G134" s="2101"/>
      <c r="H134" s="2101"/>
      <c r="I134" s="2101"/>
      <c r="J134" s="2101"/>
      <c r="K134" s="2101"/>
      <c r="L134" s="2101"/>
      <c r="M134" s="2101"/>
      <c r="N134" s="2101"/>
      <c r="O134" s="2101"/>
      <c r="P134" s="2101"/>
      <c r="Q134" s="2101"/>
      <c r="R134" s="2101"/>
      <c r="S134" s="2101"/>
      <c r="T134" s="2101"/>
      <c r="U134" s="2101"/>
      <c r="V134" s="2101"/>
      <c r="W134" s="2101"/>
      <c r="X134" s="2101"/>
      <c r="Y134" s="2101"/>
      <c r="Z134" s="2101"/>
      <c r="AA134" s="2101"/>
      <c r="AB134" s="2101"/>
      <c r="AC134" s="2101"/>
      <c r="AD134" s="2101"/>
      <c r="AE134" s="2101"/>
      <c r="AF134" s="2101"/>
      <c r="AG134" s="2101"/>
    </row>
    <row r="135" spans="1:33" s="584" customFormat="1">
      <c r="A135" s="597"/>
      <c r="D135" s="2057" t="s">
        <v>2816</v>
      </c>
      <c r="E135" s="2101"/>
      <c r="F135" s="2101"/>
      <c r="G135" s="2101"/>
      <c r="H135" s="2101"/>
      <c r="I135" s="2101"/>
      <c r="J135" s="2101"/>
      <c r="K135" s="2101"/>
      <c r="L135" s="2101"/>
      <c r="M135" s="2101"/>
      <c r="N135" s="2101"/>
      <c r="O135" s="2101"/>
      <c r="P135" s="2101"/>
      <c r="Q135" s="2101"/>
      <c r="R135" s="2101"/>
      <c r="S135" s="2101"/>
      <c r="T135" s="2101"/>
      <c r="U135" s="2101"/>
      <c r="V135" s="2101"/>
      <c r="W135" s="2101"/>
      <c r="X135" s="2101"/>
      <c r="Y135" s="2101"/>
      <c r="Z135" s="2101"/>
      <c r="AA135" s="2101"/>
      <c r="AB135" s="2101"/>
      <c r="AC135" s="2101"/>
      <c r="AD135" s="2101"/>
      <c r="AE135" s="2101"/>
      <c r="AF135" s="2101"/>
      <c r="AG135" s="2101"/>
    </row>
    <row r="136" spans="1:33" s="584" customFormat="1">
      <c r="A136" s="597"/>
      <c r="D136" s="2101"/>
      <c r="E136" s="2101"/>
      <c r="F136" s="2101"/>
      <c r="G136" s="2101"/>
      <c r="H136" s="2101"/>
      <c r="I136" s="2101"/>
      <c r="J136" s="2101"/>
      <c r="K136" s="2101"/>
      <c r="L136" s="2101"/>
      <c r="M136" s="2101"/>
      <c r="N136" s="2101"/>
      <c r="O136" s="2101"/>
      <c r="P136" s="2101"/>
      <c r="Q136" s="2101"/>
      <c r="R136" s="2101"/>
      <c r="S136" s="2101"/>
      <c r="T136" s="2101"/>
      <c r="U136" s="2101"/>
      <c r="V136" s="2101"/>
      <c r="W136" s="2101"/>
      <c r="X136" s="2101"/>
      <c r="Y136" s="2101"/>
      <c r="Z136" s="2101"/>
      <c r="AA136" s="2101"/>
      <c r="AB136" s="2101"/>
      <c r="AC136" s="2101"/>
      <c r="AD136" s="2101"/>
      <c r="AE136" s="2101"/>
      <c r="AF136" s="2101"/>
      <c r="AG136" s="2101"/>
    </row>
    <row r="137" spans="1:33" s="584" customFormat="1" ht="9" customHeight="1">
      <c r="A137" s="597"/>
    </row>
    <row r="138" spans="1:33" s="584" customFormat="1" ht="41.25" customHeight="1">
      <c r="A138" s="597"/>
      <c r="D138" s="2057" t="s">
        <v>3041</v>
      </c>
      <c r="E138" s="2620"/>
      <c r="F138" s="2620"/>
      <c r="G138" s="2620"/>
      <c r="H138" s="2620"/>
      <c r="I138" s="2620"/>
      <c r="J138" s="2620"/>
      <c r="K138" s="2620"/>
      <c r="L138" s="2620"/>
      <c r="M138" s="2620"/>
      <c r="N138" s="2620"/>
      <c r="O138" s="2620"/>
      <c r="P138" s="2620"/>
      <c r="Q138" s="2620"/>
      <c r="R138" s="2620"/>
      <c r="S138" s="2620"/>
      <c r="T138" s="2620"/>
      <c r="U138" s="2620"/>
      <c r="V138" s="2620"/>
      <c r="W138" s="2620"/>
      <c r="X138" s="2620"/>
      <c r="Y138" s="2620"/>
      <c r="Z138" s="2620"/>
      <c r="AA138" s="2620"/>
      <c r="AB138" s="2620"/>
      <c r="AC138" s="2620"/>
      <c r="AD138" s="2620"/>
      <c r="AE138" s="2620"/>
      <c r="AF138" s="2620"/>
      <c r="AG138" s="2620"/>
    </row>
    <row r="139" spans="1:33" s="584" customFormat="1">
      <c r="A139" s="597"/>
    </row>
    <row r="140" spans="1:33" s="584" customFormat="1">
      <c r="A140" s="597"/>
      <c r="D140" s="582" t="s">
        <v>2817</v>
      </c>
    </row>
    <row r="141" spans="1:33" s="584" customFormat="1">
      <c r="A141" s="597"/>
    </row>
    <row r="142" spans="1:33" s="584" customFormat="1">
      <c r="A142" s="597"/>
      <c r="D142" s="2057" t="s">
        <v>1775</v>
      </c>
      <c r="E142" s="2101"/>
      <c r="F142" s="2101"/>
      <c r="G142" s="2101"/>
      <c r="H142" s="2101"/>
      <c r="I142" s="2101"/>
      <c r="J142" s="2101"/>
      <c r="K142" s="2101"/>
      <c r="L142" s="2101"/>
      <c r="M142" s="2101"/>
      <c r="N142" s="2101"/>
      <c r="O142" s="2101"/>
      <c r="P142" s="2101"/>
      <c r="Q142" s="2101"/>
      <c r="R142" s="2101"/>
      <c r="S142" s="2101"/>
      <c r="T142" s="2101"/>
      <c r="U142" s="2101"/>
      <c r="V142" s="2101"/>
      <c r="W142" s="2101"/>
      <c r="X142" s="2101"/>
      <c r="Y142" s="2101"/>
      <c r="Z142" s="2101"/>
      <c r="AA142" s="2101"/>
      <c r="AB142" s="2101"/>
      <c r="AC142" s="2101"/>
      <c r="AD142" s="2101"/>
      <c r="AE142" s="2101"/>
      <c r="AF142" s="2101"/>
      <c r="AG142" s="2101"/>
    </row>
    <row r="143" spans="1:33" s="584" customFormat="1">
      <c r="A143" s="597"/>
      <c r="D143" s="2101"/>
      <c r="E143" s="2101"/>
      <c r="F143" s="2101"/>
      <c r="G143" s="2101"/>
      <c r="H143" s="2101"/>
      <c r="I143" s="2101"/>
      <c r="J143" s="2101"/>
      <c r="K143" s="2101"/>
      <c r="L143" s="2101"/>
      <c r="M143" s="2101"/>
      <c r="N143" s="2101"/>
      <c r="O143" s="2101"/>
      <c r="P143" s="2101"/>
      <c r="Q143" s="2101"/>
      <c r="R143" s="2101"/>
      <c r="S143" s="2101"/>
      <c r="T143" s="2101"/>
      <c r="U143" s="2101"/>
      <c r="V143" s="2101"/>
      <c r="W143" s="2101"/>
      <c r="X143" s="2101"/>
      <c r="Y143" s="2101"/>
      <c r="Z143" s="2101"/>
      <c r="AA143" s="2101"/>
      <c r="AB143" s="2101"/>
      <c r="AC143" s="2101"/>
      <c r="AD143" s="2101"/>
      <c r="AE143" s="2101"/>
      <c r="AF143" s="2101"/>
      <c r="AG143" s="2101"/>
    </row>
    <row r="144" spans="1:33" s="584" customFormat="1">
      <c r="A144" s="597"/>
      <c r="D144" s="2101"/>
      <c r="E144" s="2101"/>
      <c r="F144" s="2101"/>
      <c r="G144" s="2101"/>
      <c r="H144" s="2101"/>
      <c r="I144" s="2101"/>
      <c r="J144" s="2101"/>
      <c r="K144" s="2101"/>
      <c r="L144" s="2101"/>
      <c r="M144" s="2101"/>
      <c r="N144" s="2101"/>
      <c r="O144" s="2101"/>
      <c r="P144" s="2101"/>
      <c r="Q144" s="2101"/>
      <c r="R144" s="2101"/>
      <c r="S144" s="2101"/>
      <c r="T144" s="2101"/>
      <c r="U144" s="2101"/>
      <c r="V144" s="2101"/>
      <c r="W144" s="2101"/>
      <c r="X144" s="2101"/>
      <c r="Y144" s="2101"/>
      <c r="Z144" s="2101"/>
      <c r="AA144" s="2101"/>
      <c r="AB144" s="2101"/>
      <c r="AC144" s="2101"/>
      <c r="AD144" s="2101"/>
      <c r="AE144" s="2101"/>
      <c r="AF144" s="2101"/>
      <c r="AG144" s="2101"/>
    </row>
    <row r="145" spans="1:33" s="584" customFormat="1" ht="2.25" customHeight="1">
      <c r="A145" s="597"/>
    </row>
    <row r="146" spans="1:33" s="584" customFormat="1">
      <c r="A146" s="597"/>
    </row>
    <row r="147" spans="1:33" s="584" customFormat="1">
      <c r="A147" s="597"/>
      <c r="D147" s="582" t="s">
        <v>2818</v>
      </c>
    </row>
    <row r="148" spans="1:33" s="584" customFormat="1">
      <c r="A148" s="597"/>
    </row>
    <row r="149" spans="1:33" s="584" customFormat="1">
      <c r="A149" s="597"/>
      <c r="D149" s="2057" t="s">
        <v>1776</v>
      </c>
      <c r="E149" s="2101"/>
      <c r="F149" s="2101"/>
      <c r="G149" s="2101"/>
      <c r="H149" s="2101"/>
      <c r="I149" s="2101"/>
      <c r="J149" s="2101"/>
      <c r="K149" s="2101"/>
      <c r="L149" s="2101"/>
      <c r="M149" s="2101"/>
      <c r="N149" s="2101"/>
      <c r="O149" s="2101"/>
      <c r="P149" s="2101"/>
      <c r="Q149" s="2101"/>
      <c r="R149" s="2101"/>
      <c r="S149" s="2101"/>
      <c r="T149" s="2101"/>
      <c r="U149" s="2101"/>
      <c r="V149" s="2101"/>
      <c r="W149" s="2101"/>
      <c r="X149" s="2101"/>
      <c r="Y149" s="2101"/>
      <c r="Z149" s="2101"/>
      <c r="AA149" s="2101"/>
      <c r="AB149" s="2101"/>
      <c r="AC149" s="2101"/>
      <c r="AD149" s="2101"/>
      <c r="AE149" s="2101"/>
      <c r="AF149" s="2101"/>
      <c r="AG149" s="2101"/>
    </row>
    <row r="150" spans="1:33" s="584" customFormat="1">
      <c r="A150" s="597"/>
      <c r="D150" s="2101"/>
      <c r="E150" s="2101"/>
      <c r="F150" s="2101"/>
      <c r="G150" s="2101"/>
      <c r="H150" s="2101"/>
      <c r="I150" s="2101"/>
      <c r="J150" s="2101"/>
      <c r="K150" s="2101"/>
      <c r="L150" s="2101"/>
      <c r="M150" s="2101"/>
      <c r="N150" s="2101"/>
      <c r="O150" s="2101"/>
      <c r="P150" s="2101"/>
      <c r="Q150" s="2101"/>
      <c r="R150" s="2101"/>
      <c r="S150" s="2101"/>
      <c r="T150" s="2101"/>
      <c r="U150" s="2101"/>
      <c r="V150" s="2101"/>
      <c r="W150" s="2101"/>
      <c r="X150" s="2101"/>
      <c r="Y150" s="2101"/>
      <c r="Z150" s="2101"/>
      <c r="AA150" s="2101"/>
      <c r="AB150" s="2101"/>
      <c r="AC150" s="2101"/>
      <c r="AD150" s="2101"/>
      <c r="AE150" s="2101"/>
      <c r="AF150" s="2101"/>
      <c r="AG150" s="2101"/>
    </row>
    <row r="151" spans="1:33" s="584" customFormat="1">
      <c r="A151" s="597"/>
      <c r="D151" s="582" t="s">
        <v>2819</v>
      </c>
    </row>
    <row r="152" spans="1:33" s="584" customFormat="1">
      <c r="A152" s="597"/>
    </row>
    <row r="153" spans="1:33" s="584" customFormat="1">
      <c r="A153" s="597"/>
      <c r="D153" s="2057" t="s">
        <v>1777</v>
      </c>
      <c r="E153" s="2101"/>
      <c r="F153" s="2101"/>
      <c r="G153" s="2101"/>
      <c r="H153" s="2101"/>
      <c r="I153" s="2101"/>
      <c r="J153" s="2101"/>
      <c r="K153" s="2101"/>
      <c r="L153" s="2101"/>
      <c r="M153" s="2101"/>
      <c r="N153" s="2101"/>
      <c r="O153" s="2101"/>
      <c r="P153" s="2101"/>
      <c r="Q153" s="2101"/>
      <c r="R153" s="2101"/>
      <c r="S153" s="2101"/>
      <c r="T153" s="2101"/>
      <c r="U153" s="2101"/>
      <c r="V153" s="2101"/>
      <c r="W153" s="2101"/>
      <c r="X153" s="2101"/>
      <c r="Y153" s="2101"/>
      <c r="Z153" s="2101"/>
      <c r="AA153" s="2101"/>
      <c r="AB153" s="2101"/>
      <c r="AC153" s="2101"/>
      <c r="AD153" s="2101"/>
      <c r="AE153" s="2101"/>
      <c r="AF153" s="2101"/>
      <c r="AG153" s="2101"/>
    </row>
    <row r="154" spans="1:33" s="584" customFormat="1">
      <c r="A154" s="597"/>
      <c r="D154" s="2101"/>
      <c r="E154" s="2101"/>
      <c r="F154" s="2101"/>
      <c r="G154" s="2101"/>
      <c r="H154" s="2101"/>
      <c r="I154" s="2101"/>
      <c r="J154" s="2101"/>
      <c r="K154" s="2101"/>
      <c r="L154" s="2101"/>
      <c r="M154" s="2101"/>
      <c r="N154" s="2101"/>
      <c r="O154" s="2101"/>
      <c r="P154" s="2101"/>
      <c r="Q154" s="2101"/>
      <c r="R154" s="2101"/>
      <c r="S154" s="2101"/>
      <c r="T154" s="2101"/>
      <c r="U154" s="2101"/>
      <c r="V154" s="2101"/>
      <c r="W154" s="2101"/>
      <c r="X154" s="2101"/>
      <c r="Y154" s="2101"/>
      <c r="Z154" s="2101"/>
      <c r="AA154" s="2101"/>
      <c r="AB154" s="2101"/>
      <c r="AC154" s="2101"/>
      <c r="AD154" s="2101"/>
      <c r="AE154" s="2101"/>
      <c r="AF154" s="2101"/>
      <c r="AG154" s="2101"/>
    </row>
    <row r="155" spans="1:33" s="584" customFormat="1">
      <c r="A155" s="597"/>
    </row>
    <row r="156" spans="1:33" s="584" customFormat="1">
      <c r="A156" s="597"/>
      <c r="D156" s="2057" t="s">
        <v>1778</v>
      </c>
      <c r="E156" s="2101"/>
      <c r="F156" s="2101"/>
      <c r="G156" s="2101"/>
      <c r="H156" s="2101"/>
      <c r="I156" s="2101"/>
      <c r="J156" s="2101"/>
      <c r="K156" s="2101"/>
      <c r="L156" s="2101"/>
      <c r="M156" s="2101"/>
      <c r="N156" s="2101"/>
      <c r="O156" s="2101"/>
      <c r="P156" s="2101"/>
      <c r="Q156" s="2101"/>
      <c r="R156" s="2101"/>
      <c r="S156" s="2101"/>
      <c r="T156" s="2101"/>
      <c r="U156" s="2101"/>
      <c r="V156" s="2101"/>
      <c r="W156" s="2101"/>
      <c r="X156" s="2101"/>
      <c r="Y156" s="2101"/>
      <c r="Z156" s="2101"/>
      <c r="AA156" s="2101"/>
      <c r="AB156" s="2101"/>
      <c r="AC156" s="2101"/>
      <c r="AD156" s="2101"/>
      <c r="AE156" s="2101"/>
      <c r="AF156" s="2101"/>
      <c r="AG156" s="2101"/>
    </row>
    <row r="157" spans="1:33" s="584" customFormat="1">
      <c r="A157" s="597"/>
      <c r="D157" s="2101"/>
      <c r="E157" s="2101"/>
      <c r="F157" s="2101"/>
      <c r="G157" s="2101"/>
      <c r="H157" s="2101"/>
      <c r="I157" s="2101"/>
      <c r="J157" s="2101"/>
      <c r="K157" s="2101"/>
      <c r="L157" s="2101"/>
      <c r="M157" s="2101"/>
      <c r="N157" s="2101"/>
      <c r="O157" s="2101"/>
      <c r="P157" s="2101"/>
      <c r="Q157" s="2101"/>
      <c r="R157" s="2101"/>
      <c r="S157" s="2101"/>
      <c r="T157" s="2101"/>
      <c r="U157" s="2101"/>
      <c r="V157" s="2101"/>
      <c r="W157" s="2101"/>
      <c r="X157" s="2101"/>
      <c r="Y157" s="2101"/>
      <c r="Z157" s="2101"/>
      <c r="AA157" s="2101"/>
      <c r="AB157" s="2101"/>
      <c r="AC157" s="2101"/>
      <c r="AD157" s="2101"/>
      <c r="AE157" s="2101"/>
      <c r="AF157" s="2101"/>
      <c r="AG157" s="2101"/>
    </row>
    <row r="158" spans="1:33" s="584" customFormat="1">
      <c r="A158" s="597"/>
    </row>
    <row r="159" spans="1:33" s="584" customFormat="1">
      <c r="A159" s="597"/>
      <c r="D159" s="582" t="s">
        <v>2820</v>
      </c>
    </row>
    <row r="160" spans="1:33" s="584" customFormat="1">
      <c r="A160" s="597"/>
    </row>
    <row r="161" spans="1:33" s="584" customFormat="1">
      <c r="A161" s="597"/>
      <c r="D161" s="2057" t="s">
        <v>3042</v>
      </c>
      <c r="E161" s="2101"/>
      <c r="F161" s="2101"/>
      <c r="G161" s="2101"/>
      <c r="H161" s="2101"/>
      <c r="I161" s="2101"/>
      <c r="J161" s="2101"/>
      <c r="K161" s="2101"/>
      <c r="L161" s="2101"/>
      <c r="M161" s="2101"/>
      <c r="N161" s="2101"/>
      <c r="O161" s="2101"/>
      <c r="P161" s="2101"/>
      <c r="Q161" s="2101"/>
      <c r="R161" s="2101"/>
      <c r="S161" s="2101"/>
      <c r="T161" s="2101"/>
      <c r="U161" s="2101"/>
      <c r="V161" s="2101"/>
      <c r="W161" s="2101"/>
      <c r="X161" s="2101"/>
      <c r="Y161" s="2101"/>
      <c r="Z161" s="2101"/>
      <c r="AA161" s="2101"/>
      <c r="AB161" s="2101"/>
      <c r="AC161" s="2101"/>
      <c r="AD161" s="2101"/>
      <c r="AE161" s="2101"/>
      <c r="AF161" s="2101"/>
      <c r="AG161" s="2101"/>
    </row>
    <row r="162" spans="1:33" s="584" customFormat="1" ht="66.599999999999994" customHeight="1">
      <c r="A162" s="597"/>
      <c r="D162" s="2101"/>
      <c r="E162" s="2101"/>
      <c r="F162" s="2101"/>
      <c r="G162" s="2101"/>
      <c r="H162" s="2101"/>
      <c r="I162" s="2101"/>
      <c r="J162" s="2101"/>
      <c r="K162" s="2101"/>
      <c r="L162" s="2101"/>
      <c r="M162" s="2101"/>
      <c r="N162" s="2101"/>
      <c r="O162" s="2101"/>
      <c r="P162" s="2101"/>
      <c r="Q162" s="2101"/>
      <c r="R162" s="2101"/>
      <c r="S162" s="2101"/>
      <c r="T162" s="2101"/>
      <c r="U162" s="2101"/>
      <c r="V162" s="2101"/>
      <c r="W162" s="2101"/>
      <c r="X162" s="2101"/>
      <c r="Y162" s="2101"/>
      <c r="Z162" s="2101"/>
      <c r="AA162" s="2101"/>
      <c r="AB162" s="2101"/>
      <c r="AC162" s="2101"/>
      <c r="AD162" s="2101"/>
      <c r="AE162" s="2101"/>
      <c r="AF162" s="2101"/>
      <c r="AG162" s="2101"/>
    </row>
    <row r="163" spans="1:33" s="584" customFormat="1">
      <c r="A163" s="597"/>
    </row>
    <row r="164" spans="1:33" s="584" customFormat="1">
      <c r="A164" s="597"/>
      <c r="D164" s="582" t="s">
        <v>2821</v>
      </c>
    </row>
    <row r="165" spans="1:33" s="584" customFormat="1">
      <c r="A165" s="597"/>
    </row>
    <row r="166" spans="1:33" s="584" customFormat="1">
      <c r="A166" s="597"/>
      <c r="D166" s="2057" t="s">
        <v>1779</v>
      </c>
      <c r="E166" s="2101"/>
      <c r="F166" s="2101"/>
      <c r="G166" s="2101"/>
      <c r="H166" s="2101"/>
      <c r="I166" s="2101"/>
      <c r="J166" s="2101"/>
      <c r="K166" s="2101"/>
      <c r="L166" s="2101"/>
      <c r="M166" s="2101"/>
      <c r="N166" s="2101"/>
      <c r="O166" s="2101"/>
      <c r="P166" s="2101"/>
      <c r="Q166" s="2101"/>
      <c r="R166" s="2101"/>
      <c r="S166" s="2101"/>
      <c r="T166" s="2101"/>
      <c r="U166" s="2101"/>
      <c r="V166" s="2101"/>
      <c r="W166" s="2101"/>
      <c r="X166" s="2101"/>
      <c r="Y166" s="2101"/>
      <c r="Z166" s="2101"/>
      <c r="AA166" s="2101"/>
      <c r="AB166" s="2101"/>
      <c r="AC166" s="2101"/>
      <c r="AD166" s="2101"/>
      <c r="AE166" s="2101"/>
      <c r="AF166" s="2101"/>
      <c r="AG166" s="2101"/>
    </row>
    <row r="167" spans="1:33" s="584" customFormat="1">
      <c r="A167" s="597"/>
      <c r="D167" s="2101"/>
      <c r="E167" s="2101"/>
      <c r="F167" s="2101"/>
      <c r="G167" s="2101"/>
      <c r="H167" s="2101"/>
      <c r="I167" s="2101"/>
      <c r="J167" s="2101"/>
      <c r="K167" s="2101"/>
      <c r="L167" s="2101"/>
      <c r="M167" s="2101"/>
      <c r="N167" s="2101"/>
      <c r="O167" s="2101"/>
      <c r="P167" s="2101"/>
      <c r="Q167" s="2101"/>
      <c r="R167" s="2101"/>
      <c r="S167" s="2101"/>
      <c r="T167" s="2101"/>
      <c r="U167" s="2101"/>
      <c r="V167" s="2101"/>
      <c r="W167" s="2101"/>
      <c r="X167" s="2101"/>
      <c r="Y167" s="2101"/>
      <c r="Z167" s="2101"/>
      <c r="AA167" s="2101"/>
      <c r="AB167" s="2101"/>
      <c r="AC167" s="2101"/>
      <c r="AD167" s="2101"/>
      <c r="AE167" s="2101"/>
      <c r="AF167" s="2101"/>
      <c r="AG167" s="2101"/>
    </row>
    <row r="168" spans="1:33" s="584" customFormat="1">
      <c r="A168" s="597"/>
      <c r="D168" s="582" t="s">
        <v>2822</v>
      </c>
    </row>
    <row r="169" spans="1:33" s="584" customFormat="1">
      <c r="A169" s="597"/>
    </row>
    <row r="170" spans="1:33" s="584" customFormat="1">
      <c r="A170" s="597"/>
      <c r="D170" s="2057" t="s">
        <v>1780</v>
      </c>
      <c r="E170" s="2101"/>
      <c r="F170" s="2101"/>
      <c r="G170" s="2101"/>
      <c r="H170" s="2101"/>
      <c r="I170" s="2101"/>
      <c r="J170" s="2101"/>
      <c r="K170" s="2101"/>
      <c r="L170" s="2101"/>
      <c r="M170" s="2101"/>
      <c r="N170" s="2101"/>
      <c r="O170" s="2101"/>
      <c r="P170" s="2101"/>
      <c r="Q170" s="2101"/>
      <c r="R170" s="2101"/>
      <c r="S170" s="2101"/>
      <c r="T170" s="2101"/>
      <c r="U170" s="2101"/>
      <c r="V170" s="2101"/>
      <c r="W170" s="2101"/>
      <c r="X170" s="2101"/>
      <c r="Y170" s="2101"/>
      <c r="Z170" s="2101"/>
      <c r="AA170" s="2101"/>
      <c r="AB170" s="2101"/>
      <c r="AC170" s="2101"/>
      <c r="AD170" s="2101"/>
      <c r="AE170" s="2101"/>
      <c r="AF170" s="2101"/>
      <c r="AG170" s="2101"/>
    </row>
    <row r="171" spans="1:33" s="584" customFormat="1">
      <c r="A171" s="597"/>
      <c r="D171" s="2101"/>
      <c r="E171" s="2101"/>
      <c r="F171" s="2101"/>
      <c r="G171" s="2101"/>
      <c r="H171" s="2101"/>
      <c r="I171" s="2101"/>
      <c r="J171" s="2101"/>
      <c r="K171" s="2101"/>
      <c r="L171" s="2101"/>
      <c r="M171" s="2101"/>
      <c r="N171" s="2101"/>
      <c r="O171" s="2101"/>
      <c r="P171" s="2101"/>
      <c r="Q171" s="2101"/>
      <c r="R171" s="2101"/>
      <c r="S171" s="2101"/>
      <c r="T171" s="2101"/>
      <c r="U171" s="2101"/>
      <c r="V171" s="2101"/>
      <c r="W171" s="2101"/>
      <c r="X171" s="2101"/>
      <c r="Y171" s="2101"/>
      <c r="Z171" s="2101"/>
      <c r="AA171" s="2101"/>
      <c r="AB171" s="2101"/>
      <c r="AC171" s="2101"/>
      <c r="AD171" s="2101"/>
      <c r="AE171" s="2101"/>
      <c r="AF171" s="2101"/>
      <c r="AG171" s="2101"/>
    </row>
    <row r="172" spans="1:33" s="584" customFormat="1">
      <c r="A172" s="597"/>
    </row>
    <row r="173" spans="1:33" s="584" customFormat="1">
      <c r="A173" s="597"/>
      <c r="D173" s="2057" t="s">
        <v>2823</v>
      </c>
      <c r="E173" s="2101"/>
      <c r="F173" s="2101"/>
      <c r="G173" s="2101"/>
      <c r="H173" s="2101"/>
      <c r="I173" s="2101"/>
      <c r="J173" s="2101"/>
      <c r="K173" s="2101"/>
      <c r="L173" s="2101"/>
      <c r="M173" s="2101"/>
      <c r="N173" s="2101"/>
      <c r="O173" s="2101"/>
      <c r="P173" s="2101"/>
      <c r="Q173" s="2101"/>
      <c r="R173" s="2101"/>
      <c r="S173" s="2101"/>
      <c r="T173" s="2101"/>
      <c r="U173" s="2101"/>
      <c r="V173" s="2101"/>
      <c r="W173" s="2101"/>
      <c r="X173" s="2101"/>
      <c r="Y173" s="2101"/>
      <c r="Z173" s="2101"/>
      <c r="AA173" s="2101"/>
      <c r="AB173" s="2101"/>
      <c r="AC173" s="2101"/>
      <c r="AD173" s="2101"/>
      <c r="AE173" s="2101"/>
      <c r="AF173" s="2101"/>
      <c r="AG173" s="2101"/>
    </row>
    <row r="174" spans="1:33" s="584" customFormat="1">
      <c r="A174" s="597"/>
      <c r="D174" s="2101"/>
      <c r="E174" s="2101"/>
      <c r="F174" s="2101"/>
      <c r="G174" s="2101"/>
      <c r="H174" s="2101"/>
      <c r="I174" s="2101"/>
      <c r="J174" s="2101"/>
      <c r="K174" s="2101"/>
      <c r="L174" s="2101"/>
      <c r="M174" s="2101"/>
      <c r="N174" s="2101"/>
      <c r="O174" s="2101"/>
      <c r="P174" s="2101"/>
      <c r="Q174" s="2101"/>
      <c r="R174" s="2101"/>
      <c r="S174" s="2101"/>
      <c r="T174" s="2101"/>
      <c r="U174" s="2101"/>
      <c r="V174" s="2101"/>
      <c r="W174" s="2101"/>
      <c r="X174" s="2101"/>
      <c r="Y174" s="2101"/>
      <c r="Z174" s="2101"/>
      <c r="AA174" s="2101"/>
      <c r="AB174" s="2101"/>
      <c r="AC174" s="2101"/>
      <c r="AD174" s="2101"/>
      <c r="AE174" s="2101"/>
      <c r="AF174" s="2101"/>
      <c r="AG174" s="2101"/>
    </row>
    <row r="175" spans="1:33" s="584" customFormat="1">
      <c r="A175" s="597"/>
      <c r="D175" s="2101"/>
      <c r="E175" s="2101"/>
      <c r="F175" s="2101"/>
      <c r="G175" s="2101"/>
      <c r="H175" s="2101"/>
      <c r="I175" s="2101"/>
      <c r="J175" s="2101"/>
      <c r="K175" s="2101"/>
      <c r="L175" s="2101"/>
      <c r="M175" s="2101"/>
      <c r="N175" s="2101"/>
      <c r="O175" s="2101"/>
      <c r="P175" s="2101"/>
      <c r="Q175" s="2101"/>
      <c r="R175" s="2101"/>
      <c r="S175" s="2101"/>
      <c r="T175" s="2101"/>
      <c r="U175" s="2101"/>
      <c r="V175" s="2101"/>
      <c r="W175" s="2101"/>
      <c r="X175" s="2101"/>
      <c r="Y175" s="2101"/>
      <c r="Z175" s="2101"/>
      <c r="AA175" s="2101"/>
      <c r="AB175" s="2101"/>
      <c r="AC175" s="2101"/>
      <c r="AD175" s="2101"/>
      <c r="AE175" s="2101"/>
      <c r="AF175" s="2101"/>
      <c r="AG175" s="2101"/>
    </row>
    <row r="176" spans="1:33" s="584" customFormat="1">
      <c r="A176" s="597"/>
      <c r="D176" s="2101"/>
      <c r="E176" s="2101"/>
      <c r="F176" s="2101"/>
      <c r="G176" s="2101"/>
      <c r="H176" s="2101"/>
      <c r="I176" s="2101"/>
      <c r="J176" s="2101"/>
      <c r="K176" s="2101"/>
      <c r="L176" s="2101"/>
      <c r="M176" s="2101"/>
      <c r="N176" s="2101"/>
      <c r="O176" s="2101"/>
      <c r="P176" s="2101"/>
      <c r="Q176" s="2101"/>
      <c r="R176" s="2101"/>
      <c r="S176" s="2101"/>
      <c r="T176" s="2101"/>
      <c r="U176" s="2101"/>
      <c r="V176" s="2101"/>
      <c r="W176" s="2101"/>
      <c r="X176" s="2101"/>
      <c r="Y176" s="2101"/>
      <c r="Z176" s="2101"/>
      <c r="AA176" s="2101"/>
      <c r="AB176" s="2101"/>
      <c r="AC176" s="2101"/>
      <c r="AD176" s="2101"/>
      <c r="AE176" s="2101"/>
      <c r="AF176" s="2101"/>
      <c r="AG176" s="2101"/>
    </row>
    <row r="177" spans="1:33" s="584" customFormat="1">
      <c r="A177" s="597"/>
      <c r="D177" s="2090" t="s">
        <v>3043</v>
      </c>
      <c r="E177" s="2620"/>
      <c r="F177" s="2620"/>
      <c r="G177" s="2620"/>
      <c r="H177" s="2620"/>
      <c r="I177" s="2620"/>
      <c r="J177" s="2620"/>
      <c r="K177" s="2620"/>
      <c r="L177" s="2620"/>
      <c r="M177" s="2620"/>
      <c r="N177" s="2620"/>
      <c r="O177" s="2620"/>
      <c r="P177" s="2620"/>
      <c r="Q177" s="2620"/>
      <c r="R177" s="2620"/>
      <c r="S177" s="2620"/>
      <c r="T177" s="2620"/>
      <c r="U177" s="2620"/>
      <c r="V177" s="2620"/>
      <c r="W177" s="2620"/>
      <c r="X177" s="2620"/>
      <c r="Y177" s="2620"/>
      <c r="Z177" s="2620"/>
      <c r="AA177" s="2620"/>
      <c r="AB177" s="2620"/>
      <c r="AC177" s="2620"/>
      <c r="AD177" s="2620"/>
      <c r="AE177" s="2620"/>
      <c r="AF177" s="2620"/>
      <c r="AG177" s="2620"/>
    </row>
    <row r="178" spans="1:33" s="584" customFormat="1">
      <c r="A178" s="597"/>
      <c r="K178" s="767"/>
    </row>
    <row r="179" spans="1:33" s="584" customFormat="1">
      <c r="A179" s="597"/>
      <c r="D179" s="582" t="s">
        <v>2824</v>
      </c>
    </row>
    <row r="180" spans="1:33" s="584" customFormat="1" ht="6.6" customHeight="1">
      <c r="A180" s="597"/>
    </row>
    <row r="181" spans="1:33" s="584" customFormat="1">
      <c r="A181" s="597"/>
      <c r="D181" s="2057" t="s">
        <v>1781</v>
      </c>
      <c r="E181" s="2101"/>
      <c r="F181" s="2101"/>
      <c r="G181" s="2101"/>
      <c r="H181" s="2101"/>
      <c r="I181" s="2101"/>
      <c r="J181" s="2101"/>
      <c r="K181" s="2101"/>
      <c r="L181" s="2101"/>
      <c r="M181" s="2101"/>
      <c r="N181" s="2101"/>
      <c r="O181" s="2101"/>
      <c r="P181" s="2101"/>
      <c r="Q181" s="2101"/>
      <c r="R181" s="2101"/>
      <c r="S181" s="2101"/>
      <c r="T181" s="2101"/>
      <c r="U181" s="2101"/>
      <c r="V181" s="2101"/>
      <c r="W181" s="2101"/>
      <c r="X181" s="2101"/>
      <c r="Y181" s="2101"/>
      <c r="Z181" s="2101"/>
      <c r="AA181" s="2101"/>
      <c r="AB181" s="2101"/>
      <c r="AC181" s="2101"/>
      <c r="AD181" s="2101"/>
      <c r="AE181" s="2101"/>
      <c r="AF181" s="2101"/>
      <c r="AG181" s="2101"/>
    </row>
    <row r="182" spans="1:33" s="584" customFormat="1">
      <c r="A182" s="597"/>
      <c r="D182" s="2101"/>
      <c r="E182" s="2101"/>
      <c r="F182" s="2101"/>
      <c r="G182" s="2101"/>
      <c r="H182" s="2101"/>
      <c r="I182" s="2101"/>
      <c r="J182" s="2101"/>
      <c r="K182" s="2101"/>
      <c r="L182" s="2101"/>
      <c r="M182" s="2101"/>
      <c r="N182" s="2101"/>
      <c r="O182" s="2101"/>
      <c r="P182" s="2101"/>
      <c r="Q182" s="2101"/>
      <c r="R182" s="2101"/>
      <c r="S182" s="2101"/>
      <c r="T182" s="2101"/>
      <c r="U182" s="2101"/>
      <c r="V182" s="2101"/>
      <c r="W182" s="2101"/>
      <c r="X182" s="2101"/>
      <c r="Y182" s="2101"/>
      <c r="Z182" s="2101"/>
      <c r="AA182" s="2101"/>
      <c r="AB182" s="2101"/>
      <c r="AC182" s="2101"/>
      <c r="AD182" s="2101"/>
      <c r="AE182" s="2101"/>
      <c r="AF182" s="2101"/>
      <c r="AG182" s="2101"/>
    </row>
    <row r="183" spans="1:33" s="584" customFormat="1">
      <c r="A183" s="597"/>
    </row>
    <row r="184" spans="1:33" s="584" customFormat="1">
      <c r="A184" s="597"/>
      <c r="D184" s="2057" t="s">
        <v>1782</v>
      </c>
      <c r="E184" s="2101"/>
      <c r="F184" s="2101"/>
      <c r="G184" s="2101"/>
      <c r="H184" s="2101"/>
      <c r="I184" s="2101"/>
      <c r="J184" s="2101"/>
      <c r="K184" s="2101"/>
      <c r="L184" s="2101"/>
      <c r="M184" s="2101"/>
      <c r="N184" s="2101"/>
      <c r="O184" s="2101"/>
      <c r="P184" s="2101"/>
      <c r="Q184" s="2101"/>
      <c r="R184" s="2101"/>
      <c r="S184" s="2101"/>
      <c r="T184" s="2101"/>
      <c r="U184" s="2101"/>
      <c r="V184" s="2101"/>
      <c r="W184" s="2101"/>
      <c r="X184" s="2101"/>
      <c r="Y184" s="2101"/>
      <c r="Z184" s="2101"/>
      <c r="AA184" s="2101"/>
      <c r="AB184" s="2101"/>
      <c r="AC184" s="2101"/>
      <c r="AD184" s="2101"/>
      <c r="AE184" s="2101"/>
      <c r="AF184" s="2101"/>
      <c r="AG184" s="2101"/>
    </row>
    <row r="185" spans="1:33" s="584" customFormat="1">
      <c r="A185" s="597"/>
      <c r="D185" s="2101"/>
      <c r="E185" s="2101"/>
      <c r="F185" s="2101"/>
      <c r="G185" s="2101"/>
      <c r="H185" s="2101"/>
      <c r="I185" s="2101"/>
      <c r="J185" s="2101"/>
      <c r="K185" s="2101"/>
      <c r="L185" s="2101"/>
      <c r="M185" s="2101"/>
      <c r="N185" s="2101"/>
      <c r="O185" s="2101"/>
      <c r="P185" s="2101"/>
      <c r="Q185" s="2101"/>
      <c r="R185" s="2101"/>
      <c r="S185" s="2101"/>
      <c r="T185" s="2101"/>
      <c r="U185" s="2101"/>
      <c r="V185" s="2101"/>
      <c r="W185" s="2101"/>
      <c r="X185" s="2101"/>
      <c r="Y185" s="2101"/>
      <c r="Z185" s="2101"/>
      <c r="AA185" s="2101"/>
      <c r="AB185" s="2101"/>
      <c r="AC185" s="2101"/>
      <c r="AD185" s="2101"/>
      <c r="AE185" s="2101"/>
      <c r="AF185" s="2101"/>
      <c r="AG185" s="2101"/>
    </row>
    <row r="186" spans="1:33" s="584" customFormat="1" ht="9.6" customHeight="1">
      <c r="A186" s="597"/>
    </row>
    <row r="187" spans="1:33" s="584" customFormat="1" ht="27.75" customHeight="1">
      <c r="A187" s="597"/>
      <c r="D187" s="2057" t="s">
        <v>1783</v>
      </c>
      <c r="E187" s="2101"/>
      <c r="F187" s="2101"/>
      <c r="G187" s="2101"/>
      <c r="H187" s="2101"/>
      <c r="I187" s="2101"/>
      <c r="J187" s="2101"/>
      <c r="K187" s="2101"/>
      <c r="L187" s="2101"/>
      <c r="M187" s="2101"/>
      <c r="N187" s="2101"/>
      <c r="O187" s="2101"/>
      <c r="P187" s="2101"/>
      <c r="Q187" s="2101"/>
      <c r="R187" s="2101"/>
      <c r="S187" s="2101"/>
      <c r="T187" s="2101"/>
      <c r="U187" s="2101"/>
      <c r="V187" s="2101"/>
      <c r="W187" s="2101"/>
      <c r="X187" s="2101"/>
      <c r="Y187" s="2101"/>
      <c r="Z187" s="2101"/>
      <c r="AA187" s="2101"/>
      <c r="AB187" s="2101"/>
      <c r="AC187" s="2101"/>
      <c r="AD187" s="2101"/>
      <c r="AE187" s="2101"/>
      <c r="AF187" s="2101"/>
      <c r="AG187" s="2101"/>
    </row>
    <row r="188" spans="1:33" s="584" customFormat="1" ht="6.6" customHeight="1">
      <c r="A188" s="597"/>
    </row>
    <row r="189" spans="1:33" s="584" customFormat="1">
      <c r="A189" s="597"/>
      <c r="D189" s="582" t="s">
        <v>2825</v>
      </c>
    </row>
    <row r="190" spans="1:33" s="584" customFormat="1" ht="6.6" customHeight="1">
      <c r="A190" s="597"/>
    </row>
    <row r="191" spans="1:33" s="584" customFormat="1">
      <c r="A191" s="597"/>
      <c r="D191" s="2057" t="s">
        <v>3044</v>
      </c>
      <c r="E191" s="2101"/>
      <c r="F191" s="2101"/>
      <c r="G191" s="2101"/>
      <c r="H191" s="2101"/>
      <c r="I191" s="2101"/>
      <c r="J191" s="2101"/>
      <c r="K191" s="2101"/>
      <c r="L191" s="2101"/>
      <c r="M191" s="2101"/>
      <c r="N191" s="2101"/>
      <c r="O191" s="2101"/>
      <c r="P191" s="2101"/>
      <c r="Q191" s="2101"/>
      <c r="R191" s="2101"/>
      <c r="S191" s="2101"/>
      <c r="T191" s="2101"/>
      <c r="U191" s="2101"/>
      <c r="V191" s="2101"/>
      <c r="W191" s="2101"/>
      <c r="X191" s="2101"/>
      <c r="Y191" s="2101"/>
      <c r="Z191" s="2101"/>
      <c r="AA191" s="2101"/>
      <c r="AB191" s="2101"/>
      <c r="AC191" s="2101"/>
      <c r="AD191" s="2101"/>
      <c r="AE191" s="2101"/>
      <c r="AF191" s="2101"/>
      <c r="AG191" s="2101"/>
    </row>
    <row r="192" spans="1:33" s="584" customFormat="1" ht="40.9" customHeight="1">
      <c r="A192" s="597"/>
      <c r="D192" s="2101"/>
      <c r="E192" s="2101"/>
      <c r="F192" s="2101"/>
      <c r="G192" s="2101"/>
      <c r="H192" s="2101"/>
      <c r="I192" s="2101"/>
      <c r="J192" s="2101"/>
      <c r="K192" s="2101"/>
      <c r="L192" s="2101"/>
      <c r="M192" s="2101"/>
      <c r="N192" s="2101"/>
      <c r="O192" s="2101"/>
      <c r="P192" s="2101"/>
      <c r="Q192" s="2101"/>
      <c r="R192" s="2101"/>
      <c r="S192" s="2101"/>
      <c r="T192" s="2101"/>
      <c r="U192" s="2101"/>
      <c r="V192" s="2101"/>
      <c r="W192" s="2101"/>
      <c r="X192" s="2101"/>
      <c r="Y192" s="2101"/>
      <c r="Z192" s="2101"/>
      <c r="AA192" s="2101"/>
      <c r="AB192" s="2101"/>
      <c r="AC192" s="2101"/>
      <c r="AD192" s="2101"/>
      <c r="AE192" s="2101"/>
      <c r="AF192" s="2101"/>
      <c r="AG192" s="2101"/>
    </row>
    <row r="193" spans="1:33" s="584" customFormat="1" ht="9.6" customHeight="1">
      <c r="A193" s="597"/>
    </row>
    <row r="194" spans="1:33" s="584" customFormat="1">
      <c r="A194" s="597"/>
      <c r="D194" s="582" t="s">
        <v>2826</v>
      </c>
    </row>
    <row r="195" spans="1:33" s="584" customFormat="1" ht="9.6" customHeight="1">
      <c r="A195" s="597"/>
    </row>
    <row r="196" spans="1:33" s="584" customFormat="1">
      <c r="A196" s="597"/>
      <c r="D196" s="2057" t="s">
        <v>1784</v>
      </c>
      <c r="E196" s="2101"/>
      <c r="F196" s="2101"/>
      <c r="G196" s="2101"/>
      <c r="H196" s="2101"/>
      <c r="I196" s="2101"/>
      <c r="J196" s="2101"/>
      <c r="K196" s="2101"/>
      <c r="L196" s="2101"/>
      <c r="M196" s="2101"/>
      <c r="N196" s="2101"/>
      <c r="O196" s="2101"/>
      <c r="P196" s="2101"/>
      <c r="Q196" s="2101"/>
      <c r="R196" s="2101"/>
      <c r="S196" s="2101"/>
      <c r="T196" s="2101"/>
      <c r="U196" s="2101"/>
      <c r="V196" s="2101"/>
      <c r="W196" s="2101"/>
      <c r="X196" s="2101"/>
      <c r="Y196" s="2101"/>
      <c r="Z196" s="2101"/>
      <c r="AA196" s="2101"/>
      <c r="AB196" s="2101"/>
      <c r="AC196" s="2101"/>
      <c r="AD196" s="2101"/>
      <c r="AE196" s="2101"/>
      <c r="AF196" s="2101"/>
      <c r="AG196" s="2101"/>
    </row>
    <row r="197" spans="1:33" s="584" customFormat="1">
      <c r="A197" s="597"/>
      <c r="D197" s="2101"/>
      <c r="E197" s="2101"/>
      <c r="F197" s="2101"/>
      <c r="G197" s="2101"/>
      <c r="H197" s="2101"/>
      <c r="I197" s="2101"/>
      <c r="J197" s="2101"/>
      <c r="K197" s="2101"/>
      <c r="L197" s="2101"/>
      <c r="M197" s="2101"/>
      <c r="N197" s="2101"/>
      <c r="O197" s="2101"/>
      <c r="P197" s="2101"/>
      <c r="Q197" s="2101"/>
      <c r="R197" s="2101"/>
      <c r="S197" s="2101"/>
      <c r="T197" s="2101"/>
      <c r="U197" s="2101"/>
      <c r="V197" s="2101"/>
      <c r="W197" s="2101"/>
      <c r="X197" s="2101"/>
      <c r="Y197" s="2101"/>
      <c r="Z197" s="2101"/>
      <c r="AA197" s="2101"/>
      <c r="AB197" s="2101"/>
      <c r="AC197" s="2101"/>
      <c r="AD197" s="2101"/>
      <c r="AE197" s="2101"/>
      <c r="AF197" s="2101"/>
      <c r="AG197" s="2101"/>
    </row>
    <row r="198" spans="1:33" s="584" customFormat="1">
      <c r="A198" s="597"/>
    </row>
    <row r="199" spans="1:33" s="584" customFormat="1">
      <c r="A199" s="597"/>
      <c r="D199" s="584" t="s">
        <v>1339</v>
      </c>
      <c r="E199" s="2057" t="s">
        <v>1785</v>
      </c>
      <c r="F199" s="2101"/>
      <c r="G199" s="2101"/>
      <c r="H199" s="2101"/>
      <c r="I199" s="2101"/>
      <c r="J199" s="2101"/>
      <c r="K199" s="2101"/>
      <c r="L199" s="2101"/>
      <c r="M199" s="2101"/>
      <c r="N199" s="2101"/>
      <c r="O199" s="2101"/>
      <c r="P199" s="2101"/>
      <c r="Q199" s="2101"/>
      <c r="R199" s="2101"/>
      <c r="S199" s="2101"/>
      <c r="T199" s="2101"/>
      <c r="U199" s="2101"/>
      <c r="V199" s="2101"/>
      <c r="W199" s="2101"/>
      <c r="X199" s="2101"/>
      <c r="Y199" s="2101"/>
      <c r="Z199" s="2101"/>
      <c r="AA199" s="2101"/>
      <c r="AB199" s="2101"/>
      <c r="AC199" s="2101"/>
      <c r="AD199" s="2101"/>
      <c r="AE199" s="2101"/>
      <c r="AF199" s="2101"/>
      <c r="AG199" s="2101"/>
    </row>
    <row r="200" spans="1:33" s="584" customFormat="1">
      <c r="A200" s="597"/>
      <c r="E200" s="2101"/>
      <c r="F200" s="2101"/>
      <c r="G200" s="2101"/>
      <c r="H200" s="2101"/>
      <c r="I200" s="2101"/>
      <c r="J200" s="2101"/>
      <c r="K200" s="2101"/>
      <c r="L200" s="2101"/>
      <c r="M200" s="2101"/>
      <c r="N200" s="2101"/>
      <c r="O200" s="2101"/>
      <c r="P200" s="2101"/>
      <c r="Q200" s="2101"/>
      <c r="R200" s="2101"/>
      <c r="S200" s="2101"/>
      <c r="T200" s="2101"/>
      <c r="U200" s="2101"/>
      <c r="V200" s="2101"/>
      <c r="W200" s="2101"/>
      <c r="X200" s="2101"/>
      <c r="Y200" s="2101"/>
      <c r="Z200" s="2101"/>
      <c r="AA200" s="2101"/>
      <c r="AB200" s="2101"/>
      <c r="AC200" s="2101"/>
      <c r="AD200" s="2101"/>
      <c r="AE200" s="2101"/>
      <c r="AF200" s="2101"/>
      <c r="AG200" s="2101"/>
    </row>
    <row r="201" spans="1:33" s="584" customFormat="1">
      <c r="A201" s="597"/>
      <c r="E201" s="603"/>
      <c r="F201" s="603"/>
      <c r="G201" s="603"/>
      <c r="H201" s="603"/>
      <c r="I201" s="603"/>
      <c r="J201" s="603"/>
      <c r="K201" s="603"/>
      <c r="L201" s="603"/>
      <c r="M201" s="603"/>
      <c r="N201" s="603"/>
      <c r="O201" s="603"/>
      <c r="P201" s="603"/>
      <c r="Q201" s="603"/>
      <c r="R201" s="603"/>
      <c r="S201" s="603"/>
      <c r="T201" s="603"/>
      <c r="U201" s="603"/>
      <c r="V201" s="603"/>
      <c r="W201" s="603"/>
      <c r="X201" s="603"/>
      <c r="Y201" s="603"/>
      <c r="Z201" s="603"/>
      <c r="AA201" s="603"/>
      <c r="AB201" s="603"/>
      <c r="AC201" s="603"/>
      <c r="AD201" s="603"/>
      <c r="AE201" s="603"/>
      <c r="AF201" s="603"/>
      <c r="AG201" s="603"/>
    </row>
    <row r="202" spans="1:33" s="584" customFormat="1">
      <c r="A202" s="597"/>
      <c r="D202" s="584" t="s">
        <v>1339</v>
      </c>
      <c r="E202" s="2057" t="s">
        <v>1786</v>
      </c>
      <c r="F202" s="2101"/>
      <c r="G202" s="2101"/>
      <c r="H202" s="2101"/>
      <c r="I202" s="2101"/>
      <c r="J202" s="2101"/>
      <c r="K202" s="2101"/>
      <c r="L202" s="2101"/>
      <c r="M202" s="2101"/>
      <c r="N202" s="2101"/>
      <c r="O202" s="2101"/>
      <c r="P202" s="2101"/>
      <c r="Q202" s="2101"/>
      <c r="R202" s="2101"/>
      <c r="S202" s="2101"/>
      <c r="T202" s="2101"/>
      <c r="U202" s="2101"/>
      <c r="V202" s="2101"/>
      <c r="W202" s="2101"/>
      <c r="X202" s="2101"/>
      <c r="Y202" s="2101"/>
      <c r="Z202" s="2101"/>
      <c r="AA202" s="2101"/>
      <c r="AB202" s="2101"/>
      <c r="AC202" s="2101"/>
      <c r="AD202" s="2101"/>
      <c r="AE202" s="2101"/>
      <c r="AF202" s="2101"/>
      <c r="AG202" s="2101"/>
    </row>
    <row r="203" spans="1:33" s="584" customFormat="1">
      <c r="A203" s="597"/>
      <c r="E203" s="2101"/>
      <c r="F203" s="2101"/>
      <c r="G203" s="2101"/>
      <c r="H203" s="2101"/>
      <c r="I203" s="2101"/>
      <c r="J203" s="2101"/>
      <c r="K203" s="2101"/>
      <c r="L203" s="2101"/>
      <c r="M203" s="2101"/>
      <c r="N203" s="2101"/>
      <c r="O203" s="2101"/>
      <c r="P203" s="2101"/>
      <c r="Q203" s="2101"/>
      <c r="R203" s="2101"/>
      <c r="S203" s="2101"/>
      <c r="T203" s="2101"/>
      <c r="U203" s="2101"/>
      <c r="V203" s="2101"/>
      <c r="W203" s="2101"/>
      <c r="X203" s="2101"/>
      <c r="Y203" s="2101"/>
      <c r="Z203" s="2101"/>
      <c r="AA203" s="2101"/>
      <c r="AB203" s="2101"/>
      <c r="AC203" s="2101"/>
      <c r="AD203" s="2101"/>
      <c r="AE203" s="2101"/>
      <c r="AF203" s="2101"/>
      <c r="AG203" s="2101"/>
    </row>
    <row r="204" spans="1:33" s="584" customFormat="1">
      <c r="A204" s="597"/>
      <c r="D204" s="584" t="s">
        <v>1339</v>
      </c>
      <c r="E204" s="2057" t="s">
        <v>2712</v>
      </c>
      <c r="F204" s="2101"/>
      <c r="G204" s="2101"/>
      <c r="H204" s="2101"/>
      <c r="I204" s="2101"/>
      <c r="J204" s="2101"/>
      <c r="K204" s="2101"/>
      <c r="L204" s="2101"/>
      <c r="M204" s="2101"/>
      <c r="N204" s="2101"/>
      <c r="O204" s="2101"/>
      <c r="P204" s="2101"/>
      <c r="Q204" s="2101"/>
      <c r="R204" s="2101"/>
      <c r="S204" s="2101"/>
      <c r="T204" s="2101"/>
      <c r="U204" s="2101"/>
      <c r="V204" s="2101"/>
      <c r="W204" s="2101"/>
      <c r="X204" s="2101"/>
      <c r="Y204" s="2101"/>
      <c r="Z204" s="2101"/>
      <c r="AA204" s="2101"/>
      <c r="AB204" s="2101"/>
      <c r="AC204" s="2101"/>
      <c r="AD204" s="2101"/>
      <c r="AE204" s="2101"/>
      <c r="AF204" s="2101"/>
      <c r="AG204" s="2101"/>
    </row>
    <row r="205" spans="1:33" s="584" customFormat="1">
      <c r="A205" s="597"/>
    </row>
    <row r="206" spans="1:33" s="584" customFormat="1" ht="30" customHeight="1">
      <c r="A206" s="597"/>
      <c r="D206" s="2057" t="s">
        <v>2955</v>
      </c>
      <c r="E206" s="2101"/>
      <c r="F206" s="2101"/>
      <c r="G206" s="2101"/>
      <c r="H206" s="2101"/>
      <c r="I206" s="2101"/>
      <c r="J206" s="2101"/>
      <c r="K206" s="2101"/>
      <c r="L206" s="2101"/>
      <c r="M206" s="2101"/>
      <c r="N206" s="2101"/>
      <c r="O206" s="2101"/>
      <c r="P206" s="2101"/>
      <c r="Q206" s="2101"/>
      <c r="R206" s="2101"/>
      <c r="S206" s="2101"/>
      <c r="T206" s="2101"/>
      <c r="U206" s="2101"/>
      <c r="V206" s="2101"/>
      <c r="W206" s="2101"/>
      <c r="X206" s="2101"/>
      <c r="Y206" s="2101"/>
      <c r="Z206" s="2101"/>
      <c r="AA206" s="2101"/>
      <c r="AB206" s="2101"/>
      <c r="AC206" s="2101"/>
      <c r="AD206" s="2101"/>
      <c r="AE206" s="2101"/>
      <c r="AF206" s="2101"/>
      <c r="AG206" s="2101"/>
    </row>
    <row r="207" spans="1:33" s="584" customFormat="1">
      <c r="A207" s="597"/>
      <c r="D207" s="1497"/>
      <c r="E207" s="1498"/>
      <c r="F207" s="1498"/>
      <c r="G207" s="1498"/>
      <c r="H207" s="1498"/>
      <c r="I207" s="1498"/>
      <c r="J207" s="1498"/>
      <c r="K207" s="1498"/>
      <c r="L207" s="1498"/>
      <c r="M207" s="1498"/>
      <c r="N207" s="1498"/>
      <c r="O207" s="1498"/>
      <c r="P207" s="1498"/>
      <c r="Q207" s="1498"/>
      <c r="R207" s="1498"/>
      <c r="S207" s="1498"/>
      <c r="T207" s="1498"/>
      <c r="U207" s="1498"/>
      <c r="V207" s="1498"/>
      <c r="W207" s="1498"/>
      <c r="X207" s="1498"/>
      <c r="Y207" s="1498"/>
      <c r="Z207" s="1498"/>
      <c r="AA207" s="1498"/>
      <c r="AB207" s="1498"/>
      <c r="AC207" s="1498"/>
      <c r="AD207" s="1498"/>
      <c r="AE207" s="1498"/>
      <c r="AF207" s="1498"/>
      <c r="AG207" s="1498"/>
    </row>
    <row r="208" spans="1:33" s="584" customFormat="1">
      <c r="A208" s="597"/>
      <c r="D208" s="2274" t="s">
        <v>2827</v>
      </c>
      <c r="E208" s="2274"/>
      <c r="F208" s="2274"/>
      <c r="G208" s="2274"/>
      <c r="H208" s="2274"/>
      <c r="I208" s="2274"/>
      <c r="J208" s="2274"/>
      <c r="K208" s="2274"/>
      <c r="L208" s="2274"/>
      <c r="M208" s="2274"/>
      <c r="N208" s="2274"/>
      <c r="O208" s="2274"/>
      <c r="P208" s="2274"/>
      <c r="Q208" s="2274"/>
      <c r="R208" s="2274"/>
      <c r="S208" s="2274"/>
      <c r="T208" s="2274"/>
      <c r="U208" s="2274"/>
      <c r="V208" s="2274"/>
      <c r="W208" s="2274"/>
      <c r="X208" s="2274"/>
      <c r="Y208" s="2274"/>
      <c r="Z208" s="2274"/>
      <c r="AA208" s="2274"/>
      <c r="AB208" s="2274"/>
      <c r="AC208" s="2274"/>
      <c r="AD208" s="2274"/>
      <c r="AE208" s="2274"/>
      <c r="AF208" s="2274"/>
      <c r="AG208" s="2274"/>
    </row>
    <row r="209" spans="1:34" s="584" customFormat="1">
      <c r="A209" s="597"/>
      <c r="D209" s="2274"/>
      <c r="E209" s="2274"/>
      <c r="F209" s="2274"/>
      <c r="G209" s="2274"/>
      <c r="H209" s="2274"/>
      <c r="I209" s="2274"/>
      <c r="J209" s="2274"/>
      <c r="K209" s="2274"/>
      <c r="L209" s="2274"/>
      <c r="M209" s="2274"/>
      <c r="N209" s="2274"/>
      <c r="O209" s="2274"/>
      <c r="P209" s="2274"/>
      <c r="Q209" s="2274"/>
      <c r="R209" s="2274"/>
      <c r="S209" s="2274"/>
      <c r="T209" s="2274"/>
      <c r="U209" s="2274"/>
      <c r="V209" s="2274"/>
      <c r="W209" s="2274"/>
      <c r="X209" s="2274"/>
      <c r="Y209" s="2274"/>
      <c r="Z209" s="2274"/>
      <c r="AA209" s="2274"/>
      <c r="AB209" s="2274"/>
      <c r="AC209" s="2274"/>
      <c r="AD209" s="2274"/>
      <c r="AE209" s="2274"/>
      <c r="AF209" s="2274"/>
      <c r="AG209" s="2274"/>
    </row>
    <row r="210" spans="1:34" s="584" customFormat="1">
      <c r="A210" s="597"/>
      <c r="D210" s="2619" t="s">
        <v>2828</v>
      </c>
      <c r="E210" s="2619"/>
      <c r="F210" s="2619"/>
      <c r="G210" s="2619"/>
      <c r="H210" s="2619"/>
      <c r="I210" s="2619"/>
      <c r="J210" s="2619"/>
      <c r="K210" s="2619"/>
      <c r="L210" s="2619"/>
      <c r="M210" s="2619"/>
      <c r="N210" s="2619"/>
      <c r="O210" s="2619"/>
      <c r="P210" s="2619"/>
      <c r="Q210" s="2619"/>
      <c r="R210" s="2619"/>
      <c r="S210" s="2619"/>
      <c r="T210" s="2619"/>
      <c r="U210" s="2619"/>
      <c r="V210" s="2619"/>
      <c r="W210" s="2619"/>
      <c r="X210" s="2619"/>
      <c r="Y210" s="2619"/>
      <c r="Z210" s="2619"/>
      <c r="AA210" s="2619"/>
      <c r="AB210" s="2619"/>
      <c r="AC210" s="2619"/>
      <c r="AD210" s="2619"/>
      <c r="AE210" s="2619"/>
      <c r="AF210" s="2619"/>
      <c r="AG210" s="2619"/>
    </row>
    <row r="211" spans="1:34" s="584" customFormat="1" ht="9" customHeight="1">
      <c r="A211" s="597"/>
    </row>
    <row r="212" spans="1:34" s="584" customFormat="1">
      <c r="A212" s="597"/>
      <c r="D212" s="582" t="s">
        <v>3045</v>
      </c>
    </row>
    <row r="213" spans="1:34" s="584" customFormat="1">
      <c r="A213" s="597"/>
    </row>
    <row r="214" spans="1:34" s="584" customFormat="1">
      <c r="A214" s="597"/>
      <c r="D214" s="582" t="s">
        <v>1787</v>
      </c>
      <c r="E214" s="774"/>
      <c r="F214" s="774"/>
    </row>
    <row r="215" spans="1:34" s="584" customFormat="1" ht="7.9" customHeight="1">
      <c r="A215" s="597"/>
    </row>
    <row r="216" spans="1:34" s="584" customFormat="1">
      <c r="A216" s="597"/>
      <c r="D216" s="908" t="s">
        <v>2829</v>
      </c>
    </row>
    <row r="217" spans="1:34" s="584" customFormat="1" ht="15" thickBot="1">
      <c r="A217" s="597"/>
    </row>
    <row r="218" spans="1:34" s="584" customFormat="1" ht="15" customHeight="1" thickBot="1">
      <c r="A218" s="597" t="s">
        <v>1399</v>
      </c>
      <c r="D218" s="1799" t="s">
        <v>1788</v>
      </c>
      <c r="E218" s="1800"/>
      <c r="F218" s="1800"/>
      <c r="G218" s="1800"/>
      <c r="H218" s="1800"/>
      <c r="I218" s="1803"/>
      <c r="J218" s="1859" t="s">
        <v>1741</v>
      </c>
      <c r="K218" s="1859"/>
      <c r="L218" s="1859"/>
      <c r="M218" s="1859"/>
      <c r="N218" s="1859"/>
      <c r="O218" s="1859"/>
      <c r="P218" s="1859"/>
      <c r="Q218" s="1859"/>
      <c r="R218" s="1859"/>
      <c r="S218" s="1859"/>
      <c r="T218" s="1859"/>
      <c r="U218" s="1859"/>
      <c r="V218" s="1859"/>
      <c r="W218" s="1859"/>
      <c r="X218" s="1859"/>
      <c r="Y218" s="1859"/>
      <c r="Z218" s="1859"/>
      <c r="AA218" s="1859"/>
      <c r="AB218" s="1859"/>
      <c r="AC218" s="1859"/>
      <c r="AD218" s="1859"/>
      <c r="AE218" s="1859"/>
      <c r="AF218" s="1859"/>
      <c r="AG218" s="1859"/>
    </row>
    <row r="219" spans="1:34" s="584" customFormat="1" ht="46.5" customHeight="1" thickBot="1">
      <c r="A219" s="597"/>
      <c r="D219" s="1801"/>
      <c r="E219" s="1802"/>
      <c r="F219" s="1802"/>
      <c r="G219" s="1802"/>
      <c r="H219" s="1802"/>
      <c r="I219" s="1804"/>
      <c r="J219" s="1995" t="s">
        <v>1789</v>
      </c>
      <c r="K219" s="1996"/>
      <c r="L219" s="1997"/>
      <c r="M219" s="1995" t="s">
        <v>1761</v>
      </c>
      <c r="N219" s="1996"/>
      <c r="O219" s="1997"/>
      <c r="P219" s="1838" t="s">
        <v>1762</v>
      </c>
      <c r="Q219" s="1838"/>
      <c r="R219" s="1838"/>
      <c r="S219" s="1838" t="s">
        <v>22</v>
      </c>
      <c r="T219" s="1838"/>
      <c r="U219" s="1838"/>
      <c r="V219" s="1838" t="s">
        <v>1790</v>
      </c>
      <c r="W219" s="1838"/>
      <c r="X219" s="1838"/>
      <c r="Y219" s="1838" t="s">
        <v>1791</v>
      </c>
      <c r="Z219" s="1838"/>
      <c r="AA219" s="1838"/>
      <c r="AB219" s="1838" t="s">
        <v>1792</v>
      </c>
      <c r="AC219" s="1838"/>
      <c r="AD219" s="1838"/>
      <c r="AE219" s="1838" t="s">
        <v>1752</v>
      </c>
      <c r="AF219" s="1838"/>
      <c r="AG219" s="1838"/>
    </row>
    <row r="220" spans="1:34" s="584" customFormat="1" ht="15" thickBot="1">
      <c r="A220" s="597"/>
      <c r="D220" s="2618" t="s">
        <v>1793</v>
      </c>
      <c r="E220" s="1911"/>
      <c r="F220" s="1911"/>
      <c r="G220" s="1911"/>
      <c r="H220" s="1911"/>
      <c r="I220" s="1911"/>
      <c r="J220" s="1911"/>
      <c r="K220" s="1911"/>
      <c r="L220" s="1911"/>
      <c r="M220" s="1911"/>
      <c r="N220" s="1911"/>
      <c r="O220" s="1911"/>
      <c r="P220" s="1911"/>
      <c r="Q220" s="1911"/>
      <c r="R220" s="1911"/>
      <c r="S220" s="1911"/>
      <c r="T220" s="1911"/>
      <c r="U220" s="1911"/>
      <c r="V220" s="1911"/>
      <c r="W220" s="1911"/>
      <c r="X220" s="1911"/>
      <c r="Y220" s="1911"/>
      <c r="Z220" s="1911"/>
      <c r="AA220" s="1911"/>
      <c r="AB220" s="1911"/>
      <c r="AC220" s="1911"/>
      <c r="AD220" s="1911"/>
      <c r="AE220" s="1911"/>
      <c r="AF220" s="1911"/>
      <c r="AG220" s="1911"/>
      <c r="AH220" s="605"/>
    </row>
    <row r="221" spans="1:34" s="584" customFormat="1" ht="21.75" customHeight="1">
      <c r="A221" s="597"/>
      <c r="D221" s="1868" t="s">
        <v>1794</v>
      </c>
      <c r="E221" s="1868"/>
      <c r="F221" s="1868"/>
      <c r="G221" s="1868"/>
      <c r="H221" s="1868"/>
      <c r="I221" s="1868"/>
      <c r="J221" s="1775">
        <f>'Notes- SK Template'!J227</f>
        <v>39396</v>
      </c>
      <c r="K221" s="1775"/>
      <c r="L221" s="1775"/>
      <c r="M221" s="1775">
        <f>'Notes- SK Template'!M227</f>
        <v>0</v>
      </c>
      <c r="N221" s="1775"/>
      <c r="O221" s="1775"/>
      <c r="P221" s="1775">
        <f>'Notes- SK Template'!P227</f>
        <v>0</v>
      </c>
      <c r="Q221" s="1775"/>
      <c r="R221" s="1775"/>
      <c r="S221" s="1775">
        <f>'Notes- SK Template'!S227</f>
        <v>2211884</v>
      </c>
      <c r="T221" s="1775"/>
      <c r="U221" s="1775"/>
      <c r="V221" s="1775">
        <f>'Notes- SK Template'!V227</f>
        <v>0</v>
      </c>
      <c r="W221" s="1775"/>
      <c r="X221" s="1775"/>
      <c r="Y221" s="1775">
        <f>'Notes- SK Template'!Y227</f>
        <v>0</v>
      </c>
      <c r="Z221" s="1775"/>
      <c r="AA221" s="1775"/>
      <c r="AB221" s="1775">
        <f>'Notes- SK Template'!AB227</f>
        <v>0</v>
      </c>
      <c r="AC221" s="1775"/>
      <c r="AD221" s="1775"/>
      <c r="AE221" s="1867">
        <f>'Notes- SK Template'!AE227</f>
        <v>2251280</v>
      </c>
      <c r="AF221" s="1867"/>
      <c r="AG221" s="1867"/>
    </row>
    <row r="222" spans="1:34" s="584" customFormat="1">
      <c r="A222" s="597"/>
      <c r="D222" s="2524" t="s">
        <v>1795</v>
      </c>
      <c r="E222" s="1771"/>
      <c r="F222" s="1771"/>
      <c r="G222" s="1771"/>
      <c r="H222" s="1771"/>
      <c r="I222" s="1771"/>
      <c r="J222" s="1860">
        <f>'Notes- SK Template'!J228</f>
        <v>0</v>
      </c>
      <c r="K222" s="1860"/>
      <c r="L222" s="1860"/>
      <c r="M222" s="1860">
        <f>'Notes- SK Template'!M228</f>
        <v>0</v>
      </c>
      <c r="N222" s="1860"/>
      <c r="O222" s="1860"/>
      <c r="P222" s="1860">
        <f>'Notes- SK Template'!P228</f>
        <v>0</v>
      </c>
      <c r="Q222" s="1860"/>
      <c r="R222" s="1860"/>
      <c r="S222" s="1860">
        <f>'Notes- SK Template'!S228</f>
        <v>0</v>
      </c>
      <c r="T222" s="1860"/>
      <c r="U222" s="1860"/>
      <c r="V222" s="1860">
        <f>'Notes- SK Template'!V228</f>
        <v>0</v>
      </c>
      <c r="W222" s="1860"/>
      <c r="X222" s="1860"/>
      <c r="Y222" s="1860">
        <f>'Notes- SK Template'!Y228</f>
        <v>0</v>
      </c>
      <c r="Z222" s="1860"/>
      <c r="AA222" s="1860"/>
      <c r="AB222" s="1860">
        <f>'Notes- SK Template'!AB228</f>
        <v>0</v>
      </c>
      <c r="AC222" s="1860"/>
      <c r="AD222" s="1860"/>
      <c r="AE222" s="1825">
        <f>'Notes- SK Template'!AE228</f>
        <v>0</v>
      </c>
      <c r="AF222" s="1825"/>
      <c r="AG222" s="1825"/>
    </row>
    <row r="223" spans="1:34" s="584" customFormat="1">
      <c r="A223" s="597"/>
      <c r="D223" s="2524" t="s">
        <v>1796</v>
      </c>
      <c r="E223" s="1771"/>
      <c r="F223" s="1771"/>
      <c r="G223" s="1771"/>
      <c r="H223" s="1771"/>
      <c r="I223" s="1771"/>
      <c r="J223" s="1860">
        <f>'Notes- SK Template'!J229</f>
        <v>0</v>
      </c>
      <c r="K223" s="1860"/>
      <c r="L223" s="1860"/>
      <c r="M223" s="1860">
        <f>'Notes- SK Template'!M229</f>
        <v>0</v>
      </c>
      <c r="N223" s="1860"/>
      <c r="O223" s="1860"/>
      <c r="P223" s="1860">
        <f>'Notes- SK Template'!P229</f>
        <v>0</v>
      </c>
      <c r="Q223" s="1860"/>
      <c r="R223" s="1860"/>
      <c r="S223" s="1860">
        <f>'Notes- SK Template'!S229</f>
        <v>0</v>
      </c>
      <c r="T223" s="1860"/>
      <c r="U223" s="1860"/>
      <c r="V223" s="1860">
        <f>'Notes- SK Template'!V229</f>
        <v>0</v>
      </c>
      <c r="W223" s="1860"/>
      <c r="X223" s="1860"/>
      <c r="Y223" s="1860">
        <f>'Notes- SK Template'!Y229</f>
        <v>0</v>
      </c>
      <c r="Z223" s="1860"/>
      <c r="AA223" s="1860"/>
      <c r="AB223" s="1860">
        <f>'Notes- SK Template'!AB229</f>
        <v>0</v>
      </c>
      <c r="AC223" s="1860"/>
      <c r="AD223" s="1860"/>
      <c r="AE223" s="1825">
        <f>'Notes- SK Template'!AE229</f>
        <v>0</v>
      </c>
      <c r="AF223" s="1825"/>
      <c r="AG223" s="1825"/>
    </row>
    <row r="224" spans="1:34" s="584" customFormat="1">
      <c r="A224" s="597"/>
      <c r="D224" s="2524" t="s">
        <v>1797</v>
      </c>
      <c r="E224" s="1771"/>
      <c r="F224" s="1771"/>
      <c r="G224" s="1771"/>
      <c r="H224" s="1771"/>
      <c r="I224" s="1771"/>
      <c r="J224" s="1860">
        <f>'Notes- SK Template'!J230</f>
        <v>0</v>
      </c>
      <c r="K224" s="1860"/>
      <c r="L224" s="1860"/>
      <c r="M224" s="1860">
        <f>'Notes- SK Template'!M230</f>
        <v>0</v>
      </c>
      <c r="N224" s="1860"/>
      <c r="O224" s="1860"/>
      <c r="P224" s="1860">
        <f>'Notes- SK Template'!P230</f>
        <v>0</v>
      </c>
      <c r="Q224" s="1860"/>
      <c r="R224" s="1860"/>
      <c r="S224" s="1860">
        <f>'Notes- SK Template'!S230</f>
        <v>0</v>
      </c>
      <c r="T224" s="1860"/>
      <c r="U224" s="1860"/>
      <c r="V224" s="1860">
        <f>'Notes- SK Template'!V230</f>
        <v>0</v>
      </c>
      <c r="W224" s="1860"/>
      <c r="X224" s="1860"/>
      <c r="Y224" s="1860">
        <f>'Notes- SK Template'!Y230</f>
        <v>0</v>
      </c>
      <c r="Z224" s="1860"/>
      <c r="AA224" s="1860"/>
      <c r="AB224" s="1860">
        <f>'Notes- SK Template'!AB230</f>
        <v>0</v>
      </c>
      <c r="AC224" s="1860"/>
      <c r="AD224" s="1860"/>
      <c r="AE224" s="1825">
        <f>'Notes- SK Template'!AE230</f>
        <v>0</v>
      </c>
      <c r="AF224" s="1825"/>
      <c r="AG224" s="1825"/>
    </row>
    <row r="225" spans="1:34" s="584" customFormat="1" ht="21.75" customHeight="1" thickBot="1">
      <c r="A225" s="597"/>
      <c r="D225" s="1821" t="s">
        <v>1798</v>
      </c>
      <c r="E225" s="1821"/>
      <c r="F225" s="1821"/>
      <c r="G225" s="1821"/>
      <c r="H225" s="1821"/>
      <c r="I225" s="1821"/>
      <c r="J225" s="1909">
        <f>'Notes- SK Template'!J231</f>
        <v>39396</v>
      </c>
      <c r="K225" s="1909"/>
      <c r="L225" s="1909"/>
      <c r="M225" s="1909">
        <f>'Notes- SK Template'!M231</f>
        <v>0</v>
      </c>
      <c r="N225" s="1909"/>
      <c r="O225" s="1909"/>
      <c r="P225" s="1909">
        <f>'Notes- SK Template'!P231</f>
        <v>0</v>
      </c>
      <c r="Q225" s="1909"/>
      <c r="R225" s="1909"/>
      <c r="S225" s="1909">
        <f>'Notes- SK Template'!S231</f>
        <v>2211884</v>
      </c>
      <c r="T225" s="1909"/>
      <c r="U225" s="1909"/>
      <c r="V225" s="1909">
        <f>'Notes- SK Template'!V231</f>
        <v>0</v>
      </c>
      <c r="W225" s="1909"/>
      <c r="X225" s="1909"/>
      <c r="Y225" s="1909">
        <f>'Notes- SK Template'!Y231</f>
        <v>0</v>
      </c>
      <c r="Z225" s="1909"/>
      <c r="AA225" s="1909"/>
      <c r="AB225" s="1909">
        <f>'Notes- SK Template'!AB231</f>
        <v>0</v>
      </c>
      <c r="AC225" s="1909"/>
      <c r="AD225" s="1909"/>
      <c r="AE225" s="1909">
        <f>'Notes- SK Template'!AE231</f>
        <v>2251280</v>
      </c>
      <c r="AF225" s="1909"/>
      <c r="AG225" s="1909"/>
    </row>
    <row r="226" spans="1:34" s="584" customFormat="1" ht="15" thickBot="1">
      <c r="A226" s="597"/>
      <c r="D226" s="2618" t="s">
        <v>1799</v>
      </c>
      <c r="E226" s="1911"/>
      <c r="F226" s="1911"/>
      <c r="G226" s="1911"/>
      <c r="H226" s="1911"/>
      <c r="I226" s="1911"/>
      <c r="J226" s="1911"/>
      <c r="K226" s="1911"/>
      <c r="L226" s="1911"/>
      <c r="M226" s="1911"/>
      <c r="N226" s="1911"/>
      <c r="O226" s="1911"/>
      <c r="P226" s="1911"/>
      <c r="Q226" s="1911"/>
      <c r="R226" s="1911"/>
      <c r="S226" s="1911"/>
      <c r="T226" s="1911"/>
      <c r="U226" s="1911"/>
      <c r="V226" s="1911"/>
      <c r="W226" s="1911"/>
      <c r="X226" s="1911"/>
      <c r="Y226" s="1911"/>
      <c r="Z226" s="1911"/>
      <c r="AA226" s="1911"/>
      <c r="AB226" s="1911"/>
      <c r="AC226" s="1911"/>
      <c r="AD226" s="1911"/>
      <c r="AE226" s="1911"/>
      <c r="AF226" s="1911"/>
      <c r="AG226" s="1911"/>
      <c r="AH226" s="605"/>
    </row>
    <row r="227" spans="1:34" s="584" customFormat="1" ht="21.75" customHeight="1">
      <c r="A227" s="597"/>
      <c r="D227" s="1868" t="s">
        <v>1794</v>
      </c>
      <c r="E227" s="1868"/>
      <c r="F227" s="1868"/>
      <c r="G227" s="1868"/>
      <c r="H227" s="1868"/>
      <c r="I227" s="1868"/>
      <c r="J227" s="1775">
        <f>'Notes- SK Template'!J233</f>
        <v>7884</v>
      </c>
      <c r="K227" s="1775"/>
      <c r="L227" s="1775"/>
      <c r="M227" s="1775">
        <f>'Notes- SK Template'!M233</f>
        <v>0</v>
      </c>
      <c r="N227" s="1775"/>
      <c r="O227" s="1775"/>
      <c r="P227" s="1775">
        <f>'Notes- SK Template'!P233</f>
        <v>0</v>
      </c>
      <c r="Q227" s="1775"/>
      <c r="R227" s="1775"/>
      <c r="S227" s="1775">
        <f>'Notes- SK Template'!S233</f>
        <v>395080</v>
      </c>
      <c r="T227" s="1775"/>
      <c r="U227" s="1775"/>
      <c r="V227" s="1775">
        <f>'Notes- SK Template'!V233</f>
        <v>0</v>
      </c>
      <c r="W227" s="1775"/>
      <c r="X227" s="1775"/>
      <c r="Y227" s="1775">
        <f>'Notes- SK Template'!Y233</f>
        <v>0</v>
      </c>
      <c r="Z227" s="1775"/>
      <c r="AA227" s="1775"/>
      <c r="AB227" s="1775">
        <f>'Notes- SK Template'!AB233</f>
        <v>0</v>
      </c>
      <c r="AC227" s="1775"/>
      <c r="AD227" s="1775"/>
      <c r="AE227" s="1867">
        <f>'Notes- SK Template'!AE233</f>
        <v>402964</v>
      </c>
      <c r="AF227" s="1867"/>
      <c r="AG227" s="1867"/>
    </row>
    <row r="228" spans="1:34" s="584" customFormat="1">
      <c r="A228" s="597"/>
      <c r="D228" s="2524" t="s">
        <v>1795</v>
      </c>
      <c r="E228" s="1771"/>
      <c r="F228" s="1771"/>
      <c r="G228" s="1771"/>
      <c r="H228" s="1771"/>
      <c r="I228" s="1771"/>
      <c r="J228" s="1860">
        <f>'Notes- SK Template'!J234</f>
        <v>7884</v>
      </c>
      <c r="K228" s="1860"/>
      <c r="L228" s="1860"/>
      <c r="M228" s="1860">
        <f>'Notes- SK Template'!M234</f>
        <v>0</v>
      </c>
      <c r="N228" s="1860"/>
      <c r="O228" s="1860"/>
      <c r="P228" s="1860">
        <f>'Notes- SK Template'!P234</f>
        <v>0</v>
      </c>
      <c r="Q228" s="1860"/>
      <c r="R228" s="1860"/>
      <c r="S228" s="1860">
        <f>'Notes- SK Template'!S234</f>
        <v>316080</v>
      </c>
      <c r="T228" s="1860"/>
      <c r="U228" s="1860"/>
      <c r="V228" s="1860">
        <f>'Notes- SK Template'!V234</f>
        <v>0</v>
      </c>
      <c r="W228" s="1860"/>
      <c r="X228" s="1860"/>
      <c r="Y228" s="1860">
        <f>'Notes- SK Template'!Y234</f>
        <v>0</v>
      </c>
      <c r="Z228" s="1860"/>
      <c r="AA228" s="1860"/>
      <c r="AB228" s="1860">
        <f>'Notes- SK Template'!AB234</f>
        <v>0</v>
      </c>
      <c r="AC228" s="1860"/>
      <c r="AD228" s="1860"/>
      <c r="AE228" s="1825">
        <f>'Notes- SK Template'!AE234</f>
        <v>323964</v>
      </c>
      <c r="AF228" s="1825"/>
      <c r="AG228" s="1825"/>
    </row>
    <row r="229" spans="1:34" s="584" customFormat="1">
      <c r="A229" s="597"/>
      <c r="D229" s="2524" t="s">
        <v>1796</v>
      </c>
      <c r="E229" s="1771"/>
      <c r="F229" s="1771"/>
      <c r="G229" s="1771"/>
      <c r="H229" s="1771"/>
      <c r="I229" s="1771"/>
      <c r="J229" s="1860">
        <f>'Notes- SK Template'!J235</f>
        <v>0</v>
      </c>
      <c r="K229" s="1860"/>
      <c r="L229" s="1860"/>
      <c r="M229" s="1860">
        <f>'Notes- SK Template'!M235</f>
        <v>0</v>
      </c>
      <c r="N229" s="1860"/>
      <c r="O229" s="1860"/>
      <c r="P229" s="1860">
        <f>'Notes- SK Template'!P235</f>
        <v>0</v>
      </c>
      <c r="Q229" s="1860"/>
      <c r="R229" s="1860"/>
      <c r="S229" s="1860">
        <f>'Notes- SK Template'!S235</f>
        <v>0</v>
      </c>
      <c r="T229" s="1860"/>
      <c r="U229" s="1860"/>
      <c r="V229" s="1860">
        <f>'Notes- SK Template'!V235</f>
        <v>0</v>
      </c>
      <c r="W229" s="1860"/>
      <c r="X229" s="1860"/>
      <c r="Y229" s="1860">
        <f>'Notes- SK Template'!Y235</f>
        <v>0</v>
      </c>
      <c r="Z229" s="1860"/>
      <c r="AA229" s="1860"/>
      <c r="AB229" s="1860">
        <f>'Notes- SK Template'!AB235</f>
        <v>0</v>
      </c>
      <c r="AC229" s="1860"/>
      <c r="AD229" s="1860"/>
      <c r="AE229" s="1825">
        <f>'Notes- SK Template'!AE235</f>
        <v>0</v>
      </c>
      <c r="AF229" s="1825"/>
      <c r="AG229" s="1825"/>
    </row>
    <row r="230" spans="1:34" s="584" customFormat="1">
      <c r="A230" s="597"/>
      <c r="D230" s="2524" t="s">
        <v>1797</v>
      </c>
      <c r="E230" s="1771"/>
      <c r="F230" s="1771"/>
      <c r="G230" s="1771"/>
      <c r="H230" s="1771"/>
      <c r="I230" s="1771"/>
      <c r="J230" s="1860">
        <f>'Notes- SK Template'!J236</f>
        <v>0</v>
      </c>
      <c r="K230" s="1860"/>
      <c r="L230" s="1860"/>
      <c r="M230" s="1860">
        <f>'Notes- SK Template'!M236</f>
        <v>0</v>
      </c>
      <c r="N230" s="1860"/>
      <c r="O230" s="1860"/>
      <c r="P230" s="1860">
        <f>'Notes- SK Template'!P236</f>
        <v>0</v>
      </c>
      <c r="Q230" s="1860"/>
      <c r="R230" s="1860"/>
      <c r="S230" s="1860">
        <f>'Notes- SK Template'!S236</f>
        <v>0</v>
      </c>
      <c r="T230" s="1860"/>
      <c r="U230" s="1860"/>
      <c r="V230" s="1860">
        <f>'Notes- SK Template'!V236</f>
        <v>0</v>
      </c>
      <c r="W230" s="1860"/>
      <c r="X230" s="1860"/>
      <c r="Y230" s="1860">
        <f>'Notes- SK Template'!Y236</f>
        <v>0</v>
      </c>
      <c r="Z230" s="1860"/>
      <c r="AA230" s="1860"/>
      <c r="AB230" s="1860">
        <f>'Notes- SK Template'!AB236</f>
        <v>0</v>
      </c>
      <c r="AC230" s="1860"/>
      <c r="AD230" s="1860"/>
      <c r="AE230" s="1825">
        <f>'Notes- SK Template'!AE236</f>
        <v>0</v>
      </c>
      <c r="AF230" s="1825"/>
      <c r="AG230" s="1825"/>
    </row>
    <row r="231" spans="1:34" s="584" customFormat="1" ht="21.75" customHeight="1" thickBot="1">
      <c r="A231" s="597"/>
      <c r="D231" s="1821" t="s">
        <v>1798</v>
      </c>
      <c r="E231" s="1821"/>
      <c r="F231" s="1821"/>
      <c r="G231" s="1821"/>
      <c r="H231" s="1821"/>
      <c r="I231" s="1821"/>
      <c r="J231" s="1909">
        <f>'Notes- SK Template'!J237</f>
        <v>15768</v>
      </c>
      <c r="K231" s="1909"/>
      <c r="L231" s="1909"/>
      <c r="M231" s="1909">
        <f>'Notes- SK Template'!M237</f>
        <v>0</v>
      </c>
      <c r="N231" s="1909"/>
      <c r="O231" s="1909"/>
      <c r="P231" s="1909">
        <f>'Notes- SK Template'!P237</f>
        <v>0</v>
      </c>
      <c r="Q231" s="1909"/>
      <c r="R231" s="1909"/>
      <c r="S231" s="1909">
        <f>'Notes- SK Template'!S237</f>
        <v>711160</v>
      </c>
      <c r="T231" s="1909"/>
      <c r="U231" s="1909"/>
      <c r="V231" s="1909">
        <f>'Notes- SK Template'!V237</f>
        <v>0</v>
      </c>
      <c r="W231" s="1909"/>
      <c r="X231" s="1909"/>
      <c r="Y231" s="1909">
        <f>'Notes- SK Template'!Y237</f>
        <v>0</v>
      </c>
      <c r="Z231" s="1909"/>
      <c r="AA231" s="1909"/>
      <c r="AB231" s="1909">
        <f>'Notes- SK Template'!AB237</f>
        <v>0</v>
      </c>
      <c r="AC231" s="1909"/>
      <c r="AD231" s="1909"/>
      <c r="AE231" s="1909">
        <f>'Notes- SK Template'!AE237</f>
        <v>726928</v>
      </c>
      <c r="AF231" s="1909"/>
      <c r="AG231" s="1909"/>
    </row>
    <row r="232" spans="1:34" s="584" customFormat="1" ht="15" thickBot="1">
      <c r="A232" s="597"/>
      <c r="D232" s="2618" t="s">
        <v>1800</v>
      </c>
      <c r="E232" s="1911"/>
      <c r="F232" s="1911"/>
      <c r="G232" s="1911"/>
      <c r="H232" s="1911"/>
      <c r="I232" s="1911"/>
      <c r="J232" s="1911"/>
      <c r="K232" s="1911"/>
      <c r="L232" s="1911"/>
      <c r="M232" s="1911"/>
      <c r="N232" s="1911"/>
      <c r="O232" s="1911"/>
      <c r="P232" s="1911"/>
      <c r="Q232" s="1911"/>
      <c r="R232" s="1911"/>
      <c r="S232" s="1911"/>
      <c r="T232" s="1911"/>
      <c r="U232" s="1911"/>
      <c r="V232" s="1911"/>
      <c r="W232" s="1911"/>
      <c r="X232" s="1911"/>
      <c r="Y232" s="1911"/>
      <c r="Z232" s="1911"/>
      <c r="AA232" s="1911"/>
      <c r="AB232" s="1911"/>
      <c r="AC232" s="1911"/>
      <c r="AD232" s="1911"/>
      <c r="AE232" s="1911"/>
      <c r="AF232" s="1911"/>
      <c r="AG232" s="1911"/>
      <c r="AH232" s="605"/>
    </row>
    <row r="233" spans="1:34" s="584" customFormat="1" ht="21.75" customHeight="1">
      <c r="A233" s="597"/>
      <c r="D233" s="1868" t="s">
        <v>1794</v>
      </c>
      <c r="E233" s="1868"/>
      <c r="F233" s="1868"/>
      <c r="G233" s="1868"/>
      <c r="H233" s="1868"/>
      <c r="I233" s="1868"/>
      <c r="J233" s="1775">
        <f>'Notes- SK Template'!J239</f>
        <v>0</v>
      </c>
      <c r="K233" s="1775"/>
      <c r="L233" s="1775"/>
      <c r="M233" s="1775">
        <f>'Notes- SK Template'!M239</f>
        <v>0</v>
      </c>
      <c r="N233" s="1775"/>
      <c r="O233" s="1775"/>
      <c r="P233" s="1775">
        <f>'Notes- SK Template'!P239</f>
        <v>0</v>
      </c>
      <c r="Q233" s="1775"/>
      <c r="R233" s="1775"/>
      <c r="S233" s="1775">
        <f>'Notes- SK Template'!S239</f>
        <v>0</v>
      </c>
      <c r="T233" s="1775"/>
      <c r="U233" s="1775"/>
      <c r="V233" s="1775">
        <f>'Notes- SK Template'!V239</f>
        <v>0</v>
      </c>
      <c r="W233" s="1775"/>
      <c r="X233" s="1775"/>
      <c r="Y233" s="1775">
        <f>'Notes- SK Template'!Y239</f>
        <v>0</v>
      </c>
      <c r="Z233" s="1775"/>
      <c r="AA233" s="1775"/>
      <c r="AB233" s="1775">
        <f>'Notes- SK Template'!AB239</f>
        <v>0</v>
      </c>
      <c r="AC233" s="1775"/>
      <c r="AD233" s="1775"/>
      <c r="AE233" s="1867">
        <f>'Notes- SK Template'!AE239</f>
        <v>0</v>
      </c>
      <c r="AF233" s="1867"/>
      <c r="AG233" s="1867"/>
    </row>
    <row r="234" spans="1:34" s="584" customFormat="1">
      <c r="A234" s="597"/>
      <c r="D234" s="2524" t="s">
        <v>1795</v>
      </c>
      <c r="E234" s="1771"/>
      <c r="F234" s="1771"/>
      <c r="G234" s="1771"/>
      <c r="H234" s="1771"/>
      <c r="I234" s="1771"/>
      <c r="J234" s="1860">
        <f>'Notes- SK Template'!J240</f>
        <v>0</v>
      </c>
      <c r="K234" s="1860"/>
      <c r="L234" s="1860"/>
      <c r="M234" s="1860">
        <f>'Notes- SK Template'!M240</f>
        <v>0</v>
      </c>
      <c r="N234" s="1860"/>
      <c r="O234" s="1860"/>
      <c r="P234" s="1860">
        <f>'Notes- SK Template'!P240</f>
        <v>0</v>
      </c>
      <c r="Q234" s="1860"/>
      <c r="R234" s="1860"/>
      <c r="S234" s="1860">
        <f>'Notes- SK Template'!S240</f>
        <v>0</v>
      </c>
      <c r="T234" s="1860"/>
      <c r="U234" s="1860"/>
      <c r="V234" s="1860">
        <f>'Notes- SK Template'!V240</f>
        <v>0</v>
      </c>
      <c r="W234" s="1860"/>
      <c r="X234" s="1860"/>
      <c r="Y234" s="1860">
        <f>'Notes- SK Template'!Y240</f>
        <v>0</v>
      </c>
      <c r="Z234" s="1860"/>
      <c r="AA234" s="1860"/>
      <c r="AB234" s="1860">
        <f>'Notes- SK Template'!AB240</f>
        <v>0</v>
      </c>
      <c r="AC234" s="1860"/>
      <c r="AD234" s="1860"/>
      <c r="AE234" s="1825">
        <f>'Notes- SK Template'!AE240</f>
        <v>0</v>
      </c>
      <c r="AF234" s="1825"/>
      <c r="AG234" s="1825"/>
    </row>
    <row r="235" spans="1:34" s="584" customFormat="1">
      <c r="A235" s="597"/>
      <c r="D235" s="2524" t="s">
        <v>1796</v>
      </c>
      <c r="E235" s="1771"/>
      <c r="F235" s="1771"/>
      <c r="G235" s="1771"/>
      <c r="H235" s="1771"/>
      <c r="I235" s="1771"/>
      <c r="J235" s="1860">
        <f>'Notes- SK Template'!J241</f>
        <v>0</v>
      </c>
      <c r="K235" s="1860"/>
      <c r="L235" s="1860"/>
      <c r="M235" s="1860">
        <f>'Notes- SK Template'!M241</f>
        <v>0</v>
      </c>
      <c r="N235" s="1860"/>
      <c r="O235" s="1860"/>
      <c r="P235" s="1860">
        <f>'Notes- SK Template'!P241</f>
        <v>0</v>
      </c>
      <c r="Q235" s="1860"/>
      <c r="R235" s="1860"/>
      <c r="S235" s="1860">
        <f>'Notes- SK Template'!S241</f>
        <v>0</v>
      </c>
      <c r="T235" s="1860"/>
      <c r="U235" s="1860"/>
      <c r="V235" s="1860">
        <f>'Notes- SK Template'!V241</f>
        <v>0</v>
      </c>
      <c r="W235" s="1860"/>
      <c r="X235" s="1860"/>
      <c r="Y235" s="1860">
        <f>'Notes- SK Template'!Y241</f>
        <v>0</v>
      </c>
      <c r="Z235" s="1860"/>
      <c r="AA235" s="1860"/>
      <c r="AB235" s="1860">
        <f>'Notes- SK Template'!AB241</f>
        <v>0</v>
      </c>
      <c r="AC235" s="1860"/>
      <c r="AD235" s="1860"/>
      <c r="AE235" s="1825">
        <f>'Notes- SK Template'!AE241</f>
        <v>0</v>
      </c>
      <c r="AF235" s="1825"/>
      <c r="AG235" s="1825"/>
    </row>
    <row r="236" spans="1:34" s="584" customFormat="1">
      <c r="A236" s="597"/>
      <c r="D236" s="2524" t="s">
        <v>1797</v>
      </c>
      <c r="E236" s="1771"/>
      <c r="F236" s="1771"/>
      <c r="G236" s="1771"/>
      <c r="H236" s="1771"/>
      <c r="I236" s="1771"/>
      <c r="J236" s="1860">
        <f>'Notes- SK Template'!J242</f>
        <v>0</v>
      </c>
      <c r="K236" s="1860"/>
      <c r="L236" s="1860"/>
      <c r="M236" s="1860">
        <f>'Notes- SK Template'!M242</f>
        <v>0</v>
      </c>
      <c r="N236" s="1860"/>
      <c r="O236" s="1860"/>
      <c r="P236" s="1860">
        <f>'Notes- SK Template'!P242</f>
        <v>0</v>
      </c>
      <c r="Q236" s="1860"/>
      <c r="R236" s="1860"/>
      <c r="S236" s="1860">
        <f>'Notes- SK Template'!S242</f>
        <v>0</v>
      </c>
      <c r="T236" s="1860"/>
      <c r="U236" s="1860"/>
      <c r="V236" s="1860">
        <f>'Notes- SK Template'!V242</f>
        <v>0</v>
      </c>
      <c r="W236" s="1860"/>
      <c r="X236" s="1860"/>
      <c r="Y236" s="1860">
        <f>'Notes- SK Template'!Y242</f>
        <v>0</v>
      </c>
      <c r="Z236" s="1860"/>
      <c r="AA236" s="1860"/>
      <c r="AB236" s="1860">
        <f>'Notes- SK Template'!AB242</f>
        <v>0</v>
      </c>
      <c r="AC236" s="1860"/>
      <c r="AD236" s="1860"/>
      <c r="AE236" s="1825">
        <f>'Notes- SK Template'!AE242</f>
        <v>0</v>
      </c>
      <c r="AF236" s="1825"/>
      <c r="AG236" s="1825"/>
    </row>
    <row r="237" spans="1:34" s="584" customFormat="1" ht="21.75" customHeight="1" thickBot="1">
      <c r="A237" s="597"/>
      <c r="D237" s="1821" t="s">
        <v>1798</v>
      </c>
      <c r="E237" s="1821"/>
      <c r="F237" s="1821"/>
      <c r="G237" s="1821"/>
      <c r="H237" s="1821"/>
      <c r="I237" s="1821"/>
      <c r="J237" s="1909">
        <f>'Notes- SK Template'!J243</f>
        <v>0</v>
      </c>
      <c r="K237" s="1909"/>
      <c r="L237" s="1909"/>
      <c r="M237" s="1909">
        <f>'Notes- SK Template'!M243</f>
        <v>0</v>
      </c>
      <c r="N237" s="1909"/>
      <c r="O237" s="1909"/>
      <c r="P237" s="1909">
        <f>'Notes- SK Template'!P243</f>
        <v>0</v>
      </c>
      <c r="Q237" s="1909"/>
      <c r="R237" s="1909"/>
      <c r="S237" s="1909">
        <f>'Notes- SK Template'!S243</f>
        <v>0</v>
      </c>
      <c r="T237" s="1909"/>
      <c r="U237" s="1909"/>
      <c r="V237" s="1909">
        <f>'Notes- SK Template'!V243</f>
        <v>0</v>
      </c>
      <c r="W237" s="1909"/>
      <c r="X237" s="1909"/>
      <c r="Y237" s="1909">
        <f>'Notes- SK Template'!Y243</f>
        <v>0</v>
      </c>
      <c r="Z237" s="1909"/>
      <c r="AA237" s="1909"/>
      <c r="AB237" s="1909">
        <f>'Notes- SK Template'!AB243</f>
        <v>0</v>
      </c>
      <c r="AC237" s="1909"/>
      <c r="AD237" s="1909"/>
      <c r="AE237" s="1909">
        <f>'Notes- SK Template'!AE243</f>
        <v>0</v>
      </c>
      <c r="AF237" s="1909"/>
      <c r="AG237" s="1909"/>
    </row>
    <row r="238" spans="1:34" s="584" customFormat="1" ht="15" thickBot="1">
      <c r="A238" s="597"/>
      <c r="D238" s="2618" t="s">
        <v>1801</v>
      </c>
      <c r="E238" s="1911"/>
      <c r="F238" s="1911"/>
      <c r="G238" s="1911"/>
      <c r="H238" s="1911"/>
      <c r="I238" s="1911"/>
      <c r="J238" s="1911"/>
      <c r="K238" s="1911"/>
      <c r="L238" s="1911"/>
      <c r="M238" s="1911"/>
      <c r="N238" s="1911"/>
      <c r="O238" s="1911"/>
      <c r="P238" s="1911"/>
      <c r="Q238" s="1911"/>
      <c r="R238" s="1911"/>
      <c r="S238" s="1911"/>
      <c r="T238" s="1911"/>
      <c r="U238" s="1911"/>
      <c r="V238" s="1911"/>
      <c r="W238" s="1911"/>
      <c r="X238" s="1911"/>
      <c r="Y238" s="1911"/>
      <c r="Z238" s="1911"/>
      <c r="AA238" s="1911"/>
      <c r="AB238" s="1911"/>
      <c r="AC238" s="1911"/>
      <c r="AD238" s="1911"/>
      <c r="AE238" s="1911"/>
      <c r="AF238" s="1911"/>
      <c r="AG238" s="1911"/>
      <c r="AH238" s="605"/>
    </row>
    <row r="239" spans="1:34" s="584" customFormat="1" ht="21.75" customHeight="1">
      <c r="A239" s="597"/>
      <c r="D239" s="1903" t="s">
        <v>1794</v>
      </c>
      <c r="E239" s="1904"/>
      <c r="F239" s="1904"/>
      <c r="G239" s="1904"/>
      <c r="H239" s="1904"/>
      <c r="I239" s="1905"/>
      <c r="J239" s="1910">
        <f>'Notes- SK Template'!J245</f>
        <v>31512</v>
      </c>
      <c r="K239" s="1910"/>
      <c r="L239" s="1910"/>
      <c r="M239" s="1910">
        <f>'Notes- SK Template'!M245</f>
        <v>0</v>
      </c>
      <c r="N239" s="1910"/>
      <c r="O239" s="1910"/>
      <c r="P239" s="1910">
        <f>'Notes- SK Template'!P245</f>
        <v>0</v>
      </c>
      <c r="Q239" s="1910"/>
      <c r="R239" s="1910"/>
      <c r="S239" s="1910">
        <f>'Notes- SK Template'!S245</f>
        <v>1816804</v>
      </c>
      <c r="T239" s="1910"/>
      <c r="U239" s="1910"/>
      <c r="V239" s="1910">
        <f>'Notes- SK Template'!V245</f>
        <v>0</v>
      </c>
      <c r="W239" s="1910"/>
      <c r="X239" s="1910"/>
      <c r="Y239" s="1910">
        <f>'Notes- SK Template'!Y245</f>
        <v>0</v>
      </c>
      <c r="Z239" s="1910"/>
      <c r="AA239" s="1910"/>
      <c r="AB239" s="1910">
        <f>'Notes- SK Template'!AB245</f>
        <v>0</v>
      </c>
      <c r="AC239" s="1910"/>
      <c r="AD239" s="1910"/>
      <c r="AE239" s="1910">
        <f>'Notes- SK Template'!AE245</f>
        <v>1848316</v>
      </c>
      <c r="AF239" s="1910"/>
      <c r="AG239" s="1910"/>
    </row>
    <row r="240" spans="1:34" s="584" customFormat="1" ht="21.75" customHeight="1" thickBot="1">
      <c r="A240" s="597"/>
      <c r="D240" s="1821" t="s">
        <v>1798</v>
      </c>
      <c r="E240" s="1821"/>
      <c r="F240" s="1821"/>
      <c r="G240" s="1821"/>
      <c r="H240" s="1821"/>
      <c r="I240" s="1821"/>
      <c r="J240" s="1909">
        <f>'Notes- SK Template'!J246</f>
        <v>23628</v>
      </c>
      <c r="K240" s="1909"/>
      <c r="L240" s="1909"/>
      <c r="M240" s="1909">
        <f>'Notes- SK Template'!M246</f>
        <v>0</v>
      </c>
      <c r="N240" s="1909"/>
      <c r="O240" s="1909"/>
      <c r="P240" s="1909">
        <f>'Notes- SK Template'!P246</f>
        <v>0</v>
      </c>
      <c r="Q240" s="1909"/>
      <c r="R240" s="1909"/>
      <c r="S240" s="1909">
        <f>'Notes- SK Template'!S246</f>
        <v>1500724</v>
      </c>
      <c r="T240" s="1909"/>
      <c r="U240" s="1909"/>
      <c r="V240" s="1909">
        <f>'Notes- SK Template'!V246</f>
        <v>0</v>
      </c>
      <c r="W240" s="1909"/>
      <c r="X240" s="1909"/>
      <c r="Y240" s="1909">
        <f>'Notes- SK Template'!Y246</f>
        <v>0</v>
      </c>
      <c r="Z240" s="1909"/>
      <c r="AA240" s="1909"/>
      <c r="AB240" s="1909">
        <f>'Notes- SK Template'!AB246</f>
        <v>0</v>
      </c>
      <c r="AC240" s="1909"/>
      <c r="AD240" s="1909"/>
      <c r="AE240" s="1909">
        <f>'Notes- SK Template'!AE246</f>
        <v>1524352</v>
      </c>
      <c r="AF240" s="1909"/>
      <c r="AG240" s="1909"/>
    </row>
    <row r="241" spans="1:34" s="584" customFormat="1">
      <c r="A241" s="597"/>
      <c r="D241" s="773"/>
      <c r="E241" s="773"/>
      <c r="F241" s="773"/>
      <c r="G241" s="773"/>
    </row>
    <row r="242" spans="1:34" s="584" customFormat="1" ht="15" thickBot="1">
      <c r="A242" s="597"/>
      <c r="D242" s="773"/>
      <c r="E242" s="773"/>
      <c r="F242" s="773"/>
      <c r="G242" s="773"/>
    </row>
    <row r="243" spans="1:34" s="584" customFormat="1" ht="15" customHeight="1" thickBot="1">
      <c r="A243" s="597" t="s">
        <v>1403</v>
      </c>
      <c r="D243" s="1799" t="s">
        <v>1788</v>
      </c>
      <c r="E243" s="1800"/>
      <c r="F243" s="1800"/>
      <c r="G243" s="1800"/>
      <c r="H243" s="1800"/>
      <c r="I243" s="1803"/>
      <c r="J243" s="1859" t="s">
        <v>1802</v>
      </c>
      <c r="K243" s="1859"/>
      <c r="L243" s="1859"/>
      <c r="M243" s="1859"/>
      <c r="N243" s="1859"/>
      <c r="O243" s="1859"/>
      <c r="P243" s="1859"/>
      <c r="Q243" s="1859"/>
      <c r="R243" s="1859"/>
      <c r="S243" s="1859"/>
      <c r="T243" s="1859"/>
      <c r="U243" s="1859"/>
      <c r="V243" s="1859"/>
      <c r="W243" s="1859"/>
      <c r="X243" s="1859"/>
      <c r="Y243" s="1859"/>
      <c r="Z243" s="1859"/>
      <c r="AA243" s="1859"/>
      <c r="AB243" s="1859"/>
      <c r="AC243" s="1859"/>
      <c r="AD243" s="1859"/>
      <c r="AE243" s="1859"/>
      <c r="AF243" s="1859"/>
      <c r="AG243" s="1859"/>
    </row>
    <row r="244" spans="1:34" s="584" customFormat="1" ht="46.5" customHeight="1" thickBot="1">
      <c r="A244" s="597"/>
      <c r="D244" s="1801"/>
      <c r="E244" s="1802"/>
      <c r="F244" s="1802"/>
      <c r="G244" s="1802"/>
      <c r="H244" s="1802"/>
      <c r="I244" s="1804"/>
      <c r="J244" s="1995" t="s">
        <v>1789</v>
      </c>
      <c r="K244" s="1996"/>
      <c r="L244" s="1997"/>
      <c r="M244" s="1995" t="s">
        <v>1761</v>
      </c>
      <c r="N244" s="1996"/>
      <c r="O244" s="1997"/>
      <c r="P244" s="1838" t="s">
        <v>1762</v>
      </c>
      <c r="Q244" s="1838"/>
      <c r="R244" s="1838"/>
      <c r="S244" s="1838" t="s">
        <v>22</v>
      </c>
      <c r="T244" s="1838"/>
      <c r="U244" s="1838"/>
      <c r="V244" s="1838" t="s">
        <v>1790</v>
      </c>
      <c r="W244" s="1838"/>
      <c r="X244" s="1838"/>
      <c r="Y244" s="1838" t="s">
        <v>1791</v>
      </c>
      <c r="Z244" s="1838"/>
      <c r="AA244" s="1838"/>
      <c r="AB244" s="1838" t="s">
        <v>1792</v>
      </c>
      <c r="AC244" s="1838"/>
      <c r="AD244" s="1838"/>
      <c r="AE244" s="1838" t="s">
        <v>1752</v>
      </c>
      <c r="AF244" s="1838"/>
      <c r="AG244" s="1838"/>
    </row>
    <row r="245" spans="1:34" s="584" customFormat="1" ht="15" thickBot="1">
      <c r="A245" s="597"/>
      <c r="D245" s="2618" t="s">
        <v>1793</v>
      </c>
      <c r="E245" s="1911"/>
      <c r="F245" s="1911"/>
      <c r="G245" s="1911"/>
      <c r="H245" s="1911"/>
      <c r="I245" s="1911"/>
      <c r="J245" s="1911"/>
      <c r="K245" s="1911"/>
      <c r="L245" s="1911"/>
      <c r="M245" s="1911"/>
      <c r="N245" s="1911"/>
      <c r="O245" s="1911"/>
      <c r="P245" s="1911"/>
      <c r="Q245" s="1911"/>
      <c r="R245" s="1911"/>
      <c r="S245" s="1911"/>
      <c r="T245" s="1911"/>
      <c r="U245" s="1911"/>
      <c r="V245" s="1911"/>
      <c r="W245" s="1911"/>
      <c r="X245" s="1911"/>
      <c r="Y245" s="1911"/>
      <c r="Z245" s="1911"/>
      <c r="AA245" s="1911"/>
      <c r="AB245" s="1911"/>
      <c r="AC245" s="1911"/>
      <c r="AD245" s="1911"/>
      <c r="AE245" s="1911"/>
      <c r="AF245" s="1911"/>
      <c r="AG245" s="1911"/>
      <c r="AH245" s="605"/>
    </row>
    <row r="246" spans="1:34" s="584" customFormat="1" ht="21.75" customHeight="1">
      <c r="A246" s="597"/>
      <c r="D246" s="1868" t="s">
        <v>1794</v>
      </c>
      <c r="E246" s="1868"/>
      <c r="F246" s="1868"/>
      <c r="G246" s="1868"/>
      <c r="H246" s="1868"/>
      <c r="I246" s="1868"/>
      <c r="J246" s="1775">
        <f>'Notes- SK Template'!J252</f>
        <v>39396</v>
      </c>
      <c r="K246" s="1775"/>
      <c r="L246" s="1775"/>
      <c r="M246" s="1775">
        <f>'Notes- SK Template'!M252</f>
        <v>0</v>
      </c>
      <c r="N246" s="1775"/>
      <c r="O246" s="1775"/>
      <c r="P246" s="1775">
        <f>'Notes- SK Template'!P252</f>
        <v>0</v>
      </c>
      <c r="Q246" s="1775"/>
      <c r="R246" s="1775"/>
      <c r="S246" s="1775">
        <f>'Notes- SK Template'!S252</f>
        <v>2211884</v>
      </c>
      <c r="T246" s="1775"/>
      <c r="U246" s="1775"/>
      <c r="V246" s="1775">
        <f>'Notes- SK Template'!V252</f>
        <v>0</v>
      </c>
      <c r="W246" s="1775"/>
      <c r="X246" s="1775"/>
      <c r="Y246" s="1775">
        <f>'Notes- SK Template'!Y252</f>
        <v>0</v>
      </c>
      <c r="Z246" s="1775"/>
      <c r="AA246" s="1775"/>
      <c r="AB246" s="1775">
        <f>'Notes- SK Template'!AB252</f>
        <v>0</v>
      </c>
      <c r="AC246" s="1775"/>
      <c r="AD246" s="1775"/>
      <c r="AE246" s="1867">
        <f>'Notes- SK Template'!AE252</f>
        <v>2251280</v>
      </c>
      <c r="AF246" s="1867"/>
      <c r="AG246" s="1867"/>
    </row>
    <row r="247" spans="1:34" s="584" customFormat="1">
      <c r="A247" s="597"/>
      <c r="D247" s="2524" t="s">
        <v>1795</v>
      </c>
      <c r="E247" s="1771"/>
      <c r="F247" s="1771"/>
      <c r="G247" s="1771"/>
      <c r="H247" s="1771"/>
      <c r="I247" s="1771"/>
      <c r="J247" s="1860">
        <f>'Notes- SK Template'!J253</f>
        <v>0</v>
      </c>
      <c r="K247" s="1860"/>
      <c r="L247" s="1860"/>
      <c r="M247" s="1860">
        <f>'Notes- SK Template'!M253</f>
        <v>0</v>
      </c>
      <c r="N247" s="1860"/>
      <c r="O247" s="1860"/>
      <c r="P247" s="1860">
        <f>'Notes- SK Template'!P253</f>
        <v>0</v>
      </c>
      <c r="Q247" s="1860"/>
      <c r="R247" s="1860"/>
      <c r="S247" s="1860">
        <f>'Notes- SK Template'!S253</f>
        <v>0</v>
      </c>
      <c r="T247" s="1860"/>
      <c r="U247" s="1860"/>
      <c r="V247" s="1860">
        <f>'Notes- SK Template'!V253</f>
        <v>0</v>
      </c>
      <c r="W247" s="1860"/>
      <c r="X247" s="1860"/>
      <c r="Y247" s="1860">
        <f>'Notes- SK Template'!Y253</f>
        <v>0</v>
      </c>
      <c r="Z247" s="1860"/>
      <c r="AA247" s="1860"/>
      <c r="AB247" s="1860">
        <f>'Notes- SK Template'!AB253</f>
        <v>0</v>
      </c>
      <c r="AC247" s="1860"/>
      <c r="AD247" s="1860"/>
      <c r="AE247" s="1825">
        <f>'Notes- SK Template'!AE253</f>
        <v>0</v>
      </c>
      <c r="AF247" s="1825"/>
      <c r="AG247" s="1825"/>
    </row>
    <row r="248" spans="1:34" s="584" customFormat="1">
      <c r="A248" s="597"/>
      <c r="D248" s="2524" t="s">
        <v>1796</v>
      </c>
      <c r="E248" s="1771"/>
      <c r="F248" s="1771"/>
      <c r="G248" s="1771"/>
      <c r="H248" s="1771"/>
      <c r="I248" s="1771"/>
      <c r="J248" s="1860">
        <f>'Notes- SK Template'!J254</f>
        <v>0</v>
      </c>
      <c r="K248" s="1860"/>
      <c r="L248" s="1860"/>
      <c r="M248" s="1860">
        <f>'Notes- SK Template'!M254</f>
        <v>0</v>
      </c>
      <c r="N248" s="1860"/>
      <c r="O248" s="1860"/>
      <c r="P248" s="1860">
        <f>'Notes- SK Template'!P254</f>
        <v>0</v>
      </c>
      <c r="Q248" s="1860"/>
      <c r="R248" s="1860"/>
      <c r="S248" s="1860">
        <f>'Notes- SK Template'!S254</f>
        <v>0</v>
      </c>
      <c r="T248" s="1860"/>
      <c r="U248" s="1860"/>
      <c r="V248" s="1860">
        <f>'Notes- SK Template'!V254</f>
        <v>0</v>
      </c>
      <c r="W248" s="1860"/>
      <c r="X248" s="1860"/>
      <c r="Y248" s="1860">
        <f>'Notes- SK Template'!Y254</f>
        <v>0</v>
      </c>
      <c r="Z248" s="1860"/>
      <c r="AA248" s="1860"/>
      <c r="AB248" s="1860">
        <f>'Notes- SK Template'!AB254</f>
        <v>0</v>
      </c>
      <c r="AC248" s="1860"/>
      <c r="AD248" s="1860"/>
      <c r="AE248" s="1825">
        <f>'Notes- SK Template'!AE254</f>
        <v>0</v>
      </c>
      <c r="AF248" s="1825"/>
      <c r="AG248" s="1825"/>
    </row>
    <row r="249" spans="1:34" s="584" customFormat="1">
      <c r="A249" s="597"/>
      <c r="D249" s="2524" t="s">
        <v>1797</v>
      </c>
      <c r="E249" s="1771"/>
      <c r="F249" s="1771"/>
      <c r="G249" s="1771"/>
      <c r="H249" s="1771"/>
      <c r="I249" s="1771"/>
      <c r="J249" s="1860">
        <f>'Notes- SK Template'!J255</f>
        <v>0</v>
      </c>
      <c r="K249" s="1860"/>
      <c r="L249" s="1860"/>
      <c r="M249" s="1860">
        <f>'Notes- SK Template'!M255</f>
        <v>0</v>
      </c>
      <c r="N249" s="1860"/>
      <c r="O249" s="1860"/>
      <c r="P249" s="1860">
        <f>'Notes- SK Template'!P255</f>
        <v>0</v>
      </c>
      <c r="Q249" s="1860"/>
      <c r="R249" s="1860"/>
      <c r="S249" s="1860">
        <f>'Notes- SK Template'!S255</f>
        <v>0</v>
      </c>
      <c r="T249" s="1860"/>
      <c r="U249" s="1860"/>
      <c r="V249" s="1860">
        <f>'Notes- SK Template'!V255</f>
        <v>0</v>
      </c>
      <c r="W249" s="1860"/>
      <c r="X249" s="1860"/>
      <c r="Y249" s="1860">
        <f>'Notes- SK Template'!Y255</f>
        <v>0</v>
      </c>
      <c r="Z249" s="1860"/>
      <c r="AA249" s="1860"/>
      <c r="AB249" s="1860">
        <f>'Notes- SK Template'!AB255</f>
        <v>0</v>
      </c>
      <c r="AC249" s="1860"/>
      <c r="AD249" s="1860"/>
      <c r="AE249" s="1825">
        <f>'Notes- SK Template'!AE255</f>
        <v>0</v>
      </c>
      <c r="AF249" s="1825"/>
      <c r="AG249" s="1825"/>
    </row>
    <row r="250" spans="1:34" s="584" customFormat="1" ht="21.75" customHeight="1" thickBot="1">
      <c r="A250" s="597"/>
      <c r="D250" s="1821" t="s">
        <v>1798</v>
      </c>
      <c r="E250" s="1821"/>
      <c r="F250" s="1821"/>
      <c r="G250" s="1821"/>
      <c r="H250" s="1821"/>
      <c r="I250" s="1821"/>
      <c r="J250" s="1909">
        <f>'Notes- SK Template'!J256</f>
        <v>39396</v>
      </c>
      <c r="K250" s="1909"/>
      <c r="L250" s="1909"/>
      <c r="M250" s="1909">
        <f>'Notes- SK Template'!M256</f>
        <v>0</v>
      </c>
      <c r="N250" s="1909"/>
      <c r="O250" s="1909"/>
      <c r="P250" s="1909">
        <f>'Notes- SK Template'!P256</f>
        <v>0</v>
      </c>
      <c r="Q250" s="1909"/>
      <c r="R250" s="1909"/>
      <c r="S250" s="1909">
        <f>'Notes- SK Template'!S256</f>
        <v>2211884</v>
      </c>
      <c r="T250" s="1909"/>
      <c r="U250" s="1909"/>
      <c r="V250" s="1909">
        <f>'Notes- SK Template'!V256</f>
        <v>0</v>
      </c>
      <c r="W250" s="1909"/>
      <c r="X250" s="1909"/>
      <c r="Y250" s="1909">
        <f>'Notes- SK Template'!Y256</f>
        <v>0</v>
      </c>
      <c r="Z250" s="1909"/>
      <c r="AA250" s="1909"/>
      <c r="AB250" s="1909">
        <f>'Notes- SK Template'!AB256</f>
        <v>0</v>
      </c>
      <c r="AC250" s="1909"/>
      <c r="AD250" s="1909"/>
      <c r="AE250" s="1909">
        <f>'Notes- SK Template'!AE256</f>
        <v>2251280</v>
      </c>
      <c r="AF250" s="1909"/>
      <c r="AG250" s="1909"/>
    </row>
    <row r="251" spans="1:34" s="584" customFormat="1" ht="15" thickBot="1">
      <c r="A251" s="597"/>
      <c r="D251" s="2618" t="s">
        <v>1799</v>
      </c>
      <c r="E251" s="1911"/>
      <c r="F251" s="1911"/>
      <c r="G251" s="1911"/>
      <c r="H251" s="1911"/>
      <c r="I251" s="1911"/>
      <c r="J251" s="1911"/>
      <c r="K251" s="1911"/>
      <c r="L251" s="1911"/>
      <c r="M251" s="1911"/>
      <c r="N251" s="1911"/>
      <c r="O251" s="1911"/>
      <c r="P251" s="1911"/>
      <c r="Q251" s="1911"/>
      <c r="R251" s="1911"/>
      <c r="S251" s="1911"/>
      <c r="T251" s="1911"/>
      <c r="U251" s="1911"/>
      <c r="V251" s="1911"/>
      <c r="W251" s="1911"/>
      <c r="X251" s="1911"/>
      <c r="Y251" s="1911"/>
      <c r="Z251" s="1911"/>
      <c r="AA251" s="1911"/>
      <c r="AB251" s="1911"/>
      <c r="AC251" s="1911"/>
      <c r="AD251" s="1911"/>
      <c r="AE251" s="1911"/>
      <c r="AF251" s="1911"/>
      <c r="AG251" s="1911"/>
      <c r="AH251" s="605"/>
    </row>
    <row r="252" spans="1:34" s="584" customFormat="1" ht="21.75" customHeight="1">
      <c r="A252" s="597"/>
      <c r="D252" s="1868" t="s">
        <v>1794</v>
      </c>
      <c r="E252" s="1868"/>
      <c r="F252" s="1868"/>
      <c r="G252" s="1868"/>
      <c r="H252" s="1868"/>
      <c r="I252" s="1868"/>
      <c r="J252" s="1775">
        <f>'Notes- SK Template'!J258</f>
        <v>0</v>
      </c>
      <c r="K252" s="1775"/>
      <c r="L252" s="1775"/>
      <c r="M252" s="1775">
        <f>'Notes- SK Template'!M258</f>
        <v>0</v>
      </c>
      <c r="N252" s="1775"/>
      <c r="O252" s="1775"/>
      <c r="P252" s="1775">
        <f>'Notes- SK Template'!P258</f>
        <v>0</v>
      </c>
      <c r="Q252" s="1775"/>
      <c r="R252" s="1775"/>
      <c r="S252" s="1775">
        <f>'Notes- SK Template'!S258</f>
        <v>79000</v>
      </c>
      <c r="T252" s="1775"/>
      <c r="U252" s="1775"/>
      <c r="V252" s="1775">
        <f>'Notes- SK Template'!V258</f>
        <v>0</v>
      </c>
      <c r="W252" s="1775"/>
      <c r="X252" s="1775"/>
      <c r="Y252" s="1775">
        <f>'Notes- SK Template'!Y258</f>
        <v>0</v>
      </c>
      <c r="Z252" s="1775"/>
      <c r="AA252" s="1775"/>
      <c r="AB252" s="1775">
        <f>'Notes- SK Template'!AB258</f>
        <v>0</v>
      </c>
      <c r="AC252" s="1775"/>
      <c r="AD252" s="1775"/>
      <c r="AE252" s="1867">
        <f>'Notes- SK Template'!AE258</f>
        <v>79000</v>
      </c>
      <c r="AF252" s="1867"/>
      <c r="AG252" s="1867"/>
    </row>
    <row r="253" spans="1:34" s="584" customFormat="1">
      <c r="A253" s="597"/>
      <c r="D253" s="2524" t="s">
        <v>1795</v>
      </c>
      <c r="E253" s="1771"/>
      <c r="F253" s="1771"/>
      <c r="G253" s="1771"/>
      <c r="H253" s="1771"/>
      <c r="I253" s="1771"/>
      <c r="J253" s="1860">
        <f>'Notes- SK Template'!J259</f>
        <v>7884</v>
      </c>
      <c r="K253" s="1860"/>
      <c r="L253" s="1860"/>
      <c r="M253" s="1860">
        <f>'Notes- SK Template'!M259</f>
        <v>0</v>
      </c>
      <c r="N253" s="1860"/>
      <c r="O253" s="1860"/>
      <c r="P253" s="1860">
        <f>'Notes- SK Template'!P259</f>
        <v>0</v>
      </c>
      <c r="Q253" s="1860"/>
      <c r="R253" s="1860"/>
      <c r="S253" s="1860">
        <f>'Notes- SK Template'!S259</f>
        <v>316080</v>
      </c>
      <c r="T253" s="1860"/>
      <c r="U253" s="1860"/>
      <c r="V253" s="1860">
        <f>'Notes- SK Template'!V259</f>
        <v>0</v>
      </c>
      <c r="W253" s="1860"/>
      <c r="X253" s="1860"/>
      <c r="Y253" s="1860">
        <f>'Notes- SK Template'!Y259</f>
        <v>0</v>
      </c>
      <c r="Z253" s="1860"/>
      <c r="AA253" s="1860"/>
      <c r="AB253" s="1860">
        <f>'Notes- SK Template'!AB259</f>
        <v>0</v>
      </c>
      <c r="AC253" s="1860"/>
      <c r="AD253" s="1860"/>
      <c r="AE253" s="1825">
        <f>'Notes- SK Template'!AE259</f>
        <v>323964</v>
      </c>
      <c r="AF253" s="1825"/>
      <c r="AG253" s="1825"/>
    </row>
    <row r="254" spans="1:34" s="584" customFormat="1">
      <c r="A254" s="597"/>
      <c r="D254" s="2524" t="s">
        <v>1796</v>
      </c>
      <c r="E254" s="1771"/>
      <c r="F254" s="1771"/>
      <c r="G254" s="1771"/>
      <c r="H254" s="1771"/>
      <c r="I254" s="1771"/>
      <c r="J254" s="1860">
        <f>'Notes- SK Template'!J260</f>
        <v>0</v>
      </c>
      <c r="K254" s="1860"/>
      <c r="L254" s="1860"/>
      <c r="M254" s="1860">
        <f>'Notes- SK Template'!M260</f>
        <v>0</v>
      </c>
      <c r="N254" s="1860"/>
      <c r="O254" s="1860"/>
      <c r="P254" s="1860">
        <f>'Notes- SK Template'!P260</f>
        <v>0</v>
      </c>
      <c r="Q254" s="1860"/>
      <c r="R254" s="1860"/>
      <c r="S254" s="1860">
        <f>'Notes- SK Template'!S260</f>
        <v>0</v>
      </c>
      <c r="T254" s="1860"/>
      <c r="U254" s="1860"/>
      <c r="V254" s="1860">
        <f>'Notes- SK Template'!V260</f>
        <v>0</v>
      </c>
      <c r="W254" s="1860"/>
      <c r="X254" s="1860"/>
      <c r="Y254" s="1860">
        <f>'Notes- SK Template'!Y260</f>
        <v>0</v>
      </c>
      <c r="Z254" s="1860"/>
      <c r="AA254" s="1860"/>
      <c r="AB254" s="1860">
        <f>'Notes- SK Template'!AB260</f>
        <v>0</v>
      </c>
      <c r="AC254" s="1860"/>
      <c r="AD254" s="1860"/>
      <c r="AE254" s="1825">
        <f>'Notes- SK Template'!AE260</f>
        <v>0</v>
      </c>
      <c r="AF254" s="1825"/>
      <c r="AG254" s="1825"/>
    </row>
    <row r="255" spans="1:34" s="584" customFormat="1">
      <c r="A255" s="597"/>
      <c r="D255" s="2524" t="s">
        <v>1797</v>
      </c>
      <c r="E255" s="1771"/>
      <c r="F255" s="1771"/>
      <c r="G255" s="1771"/>
      <c r="H255" s="1771"/>
      <c r="I255" s="1771"/>
      <c r="J255" s="1860">
        <f>'Notes- SK Template'!J261</f>
        <v>0</v>
      </c>
      <c r="K255" s="1860"/>
      <c r="L255" s="1860"/>
      <c r="M255" s="1860">
        <f>'Notes- SK Template'!M261</f>
        <v>0</v>
      </c>
      <c r="N255" s="1860"/>
      <c r="O255" s="1860"/>
      <c r="P255" s="1860">
        <f>'Notes- SK Template'!P261</f>
        <v>0</v>
      </c>
      <c r="Q255" s="1860"/>
      <c r="R255" s="1860"/>
      <c r="S255" s="1860">
        <f>'Notes- SK Template'!S261</f>
        <v>0</v>
      </c>
      <c r="T255" s="1860"/>
      <c r="U255" s="1860"/>
      <c r="V255" s="1860">
        <f>'Notes- SK Template'!V261</f>
        <v>0</v>
      </c>
      <c r="W255" s="1860"/>
      <c r="X255" s="1860"/>
      <c r="Y255" s="1860">
        <f>'Notes- SK Template'!Y261</f>
        <v>0</v>
      </c>
      <c r="Z255" s="1860"/>
      <c r="AA255" s="1860"/>
      <c r="AB255" s="1860">
        <f>'Notes- SK Template'!AB261</f>
        <v>0</v>
      </c>
      <c r="AC255" s="1860"/>
      <c r="AD255" s="1860"/>
      <c r="AE255" s="1825">
        <f>'Notes- SK Template'!AE261</f>
        <v>0</v>
      </c>
      <c r="AF255" s="1825"/>
      <c r="AG255" s="1825"/>
    </row>
    <row r="256" spans="1:34" s="584" customFormat="1" ht="21.75" customHeight="1" thickBot="1">
      <c r="A256" s="597"/>
      <c r="D256" s="1821" t="s">
        <v>1798</v>
      </c>
      <c r="E256" s="1821"/>
      <c r="F256" s="1821"/>
      <c r="G256" s="1821"/>
      <c r="H256" s="1821"/>
      <c r="I256" s="1821"/>
      <c r="J256" s="1909">
        <f>'Notes- SK Template'!J262</f>
        <v>7884</v>
      </c>
      <c r="K256" s="1909"/>
      <c r="L256" s="1909"/>
      <c r="M256" s="1909">
        <f>'Notes- SK Template'!M262</f>
        <v>0</v>
      </c>
      <c r="N256" s="1909"/>
      <c r="O256" s="1909"/>
      <c r="P256" s="1909">
        <f>'Notes- SK Template'!P262</f>
        <v>0</v>
      </c>
      <c r="Q256" s="1909"/>
      <c r="R256" s="1909"/>
      <c r="S256" s="1909">
        <f>'Notes- SK Template'!S262</f>
        <v>395080</v>
      </c>
      <c r="T256" s="1909"/>
      <c r="U256" s="1909"/>
      <c r="V256" s="1909">
        <f>'Notes- SK Template'!V262</f>
        <v>0</v>
      </c>
      <c r="W256" s="1909"/>
      <c r="X256" s="1909"/>
      <c r="Y256" s="1909">
        <f>'Notes- SK Template'!Y262</f>
        <v>0</v>
      </c>
      <c r="Z256" s="1909"/>
      <c r="AA256" s="1909"/>
      <c r="AB256" s="1909">
        <f>'Notes- SK Template'!AB262</f>
        <v>0</v>
      </c>
      <c r="AC256" s="1909"/>
      <c r="AD256" s="1909"/>
      <c r="AE256" s="1909">
        <f>'Notes- SK Template'!AE262</f>
        <v>402964</v>
      </c>
      <c r="AF256" s="1909"/>
      <c r="AG256" s="1909"/>
    </row>
    <row r="257" spans="1:34" s="584" customFormat="1" ht="15" thickBot="1">
      <c r="A257" s="597"/>
      <c r="D257" s="2618" t="s">
        <v>1800</v>
      </c>
      <c r="E257" s="1911"/>
      <c r="F257" s="1911"/>
      <c r="G257" s="1911"/>
      <c r="H257" s="1911"/>
      <c r="I257" s="1911"/>
      <c r="J257" s="1911"/>
      <c r="K257" s="1911"/>
      <c r="L257" s="1911"/>
      <c r="M257" s="1911"/>
      <c r="N257" s="1911"/>
      <c r="O257" s="1911"/>
      <c r="P257" s="1911"/>
      <c r="Q257" s="1911"/>
      <c r="R257" s="1911"/>
      <c r="S257" s="1911"/>
      <c r="T257" s="1911"/>
      <c r="U257" s="1911"/>
      <c r="V257" s="1911"/>
      <c r="W257" s="1911"/>
      <c r="X257" s="1911"/>
      <c r="Y257" s="1911"/>
      <c r="Z257" s="1911"/>
      <c r="AA257" s="1911"/>
      <c r="AB257" s="1911"/>
      <c r="AC257" s="1911"/>
      <c r="AD257" s="1911"/>
      <c r="AE257" s="1911"/>
      <c r="AF257" s="1911"/>
      <c r="AG257" s="1911"/>
      <c r="AH257" s="605"/>
    </row>
    <row r="258" spans="1:34" s="584" customFormat="1" ht="21.75" customHeight="1">
      <c r="A258" s="597"/>
      <c r="D258" s="1868" t="s">
        <v>1794</v>
      </c>
      <c r="E258" s="1868"/>
      <c r="F258" s="1868"/>
      <c r="G258" s="1868"/>
      <c r="H258" s="1868"/>
      <c r="I258" s="1868"/>
      <c r="J258" s="1775">
        <f>'Notes- SK Template'!J264</f>
        <v>0</v>
      </c>
      <c r="K258" s="1775"/>
      <c r="L258" s="1775"/>
      <c r="M258" s="1775">
        <f>'Notes- SK Template'!M264</f>
        <v>0</v>
      </c>
      <c r="N258" s="1775"/>
      <c r="O258" s="1775"/>
      <c r="P258" s="1775">
        <f>'Notes- SK Template'!P264</f>
        <v>0</v>
      </c>
      <c r="Q258" s="1775"/>
      <c r="R258" s="1775"/>
      <c r="S258" s="1775">
        <f>'Notes- SK Template'!S264</f>
        <v>0</v>
      </c>
      <c r="T258" s="1775"/>
      <c r="U258" s="1775"/>
      <c r="V258" s="1775">
        <f>'Notes- SK Template'!V264</f>
        <v>0</v>
      </c>
      <c r="W258" s="1775"/>
      <c r="X258" s="1775"/>
      <c r="Y258" s="1775">
        <f>'Notes- SK Template'!Y264</f>
        <v>0</v>
      </c>
      <c r="Z258" s="1775"/>
      <c r="AA258" s="1775"/>
      <c r="AB258" s="1775">
        <f>'Notes- SK Template'!AB264</f>
        <v>0</v>
      </c>
      <c r="AC258" s="1775"/>
      <c r="AD258" s="1775"/>
      <c r="AE258" s="1867">
        <f>'Notes- SK Template'!AE264</f>
        <v>0</v>
      </c>
      <c r="AF258" s="1867"/>
      <c r="AG258" s="1867"/>
    </row>
    <row r="259" spans="1:34" s="584" customFormat="1">
      <c r="A259" s="597"/>
      <c r="D259" s="2524" t="s">
        <v>1795</v>
      </c>
      <c r="E259" s="1771"/>
      <c r="F259" s="1771"/>
      <c r="G259" s="1771"/>
      <c r="H259" s="1771"/>
      <c r="I259" s="1771"/>
      <c r="J259" s="1860">
        <f>'Notes- SK Template'!J265</f>
        <v>0</v>
      </c>
      <c r="K259" s="1860"/>
      <c r="L259" s="1860"/>
      <c r="M259" s="1860">
        <f>'Notes- SK Template'!M265</f>
        <v>0</v>
      </c>
      <c r="N259" s="1860"/>
      <c r="O259" s="1860"/>
      <c r="P259" s="1860">
        <f>'Notes- SK Template'!P265</f>
        <v>0</v>
      </c>
      <c r="Q259" s="1860"/>
      <c r="R259" s="1860"/>
      <c r="S259" s="1860">
        <f>'Notes- SK Template'!S265</f>
        <v>0</v>
      </c>
      <c r="T259" s="1860"/>
      <c r="U259" s="1860"/>
      <c r="V259" s="1860">
        <f>'Notes- SK Template'!V265</f>
        <v>0</v>
      </c>
      <c r="W259" s="1860"/>
      <c r="X259" s="1860"/>
      <c r="Y259" s="1860">
        <f>'Notes- SK Template'!Y265</f>
        <v>0</v>
      </c>
      <c r="Z259" s="1860"/>
      <c r="AA259" s="1860"/>
      <c r="AB259" s="1860">
        <f>'Notes- SK Template'!AB265</f>
        <v>0</v>
      </c>
      <c r="AC259" s="1860"/>
      <c r="AD259" s="1860"/>
      <c r="AE259" s="1825">
        <f>'Notes- SK Template'!AE265</f>
        <v>0</v>
      </c>
      <c r="AF259" s="1825"/>
      <c r="AG259" s="1825"/>
    </row>
    <row r="260" spans="1:34" s="584" customFormat="1">
      <c r="A260" s="597"/>
      <c r="D260" s="2524" t="s">
        <v>1796</v>
      </c>
      <c r="E260" s="1771"/>
      <c r="F260" s="1771"/>
      <c r="G260" s="1771"/>
      <c r="H260" s="1771"/>
      <c r="I260" s="1771"/>
      <c r="J260" s="1860">
        <f>'Notes- SK Template'!J266</f>
        <v>0</v>
      </c>
      <c r="K260" s="1860"/>
      <c r="L260" s="1860"/>
      <c r="M260" s="1860">
        <f>'Notes- SK Template'!M266</f>
        <v>0</v>
      </c>
      <c r="N260" s="1860"/>
      <c r="O260" s="1860"/>
      <c r="P260" s="1860">
        <f>'Notes- SK Template'!P266</f>
        <v>0</v>
      </c>
      <c r="Q260" s="1860"/>
      <c r="R260" s="1860"/>
      <c r="S260" s="1860">
        <f>'Notes- SK Template'!S266</f>
        <v>0</v>
      </c>
      <c r="T260" s="1860"/>
      <c r="U260" s="1860"/>
      <c r="V260" s="1860">
        <f>'Notes- SK Template'!V266</f>
        <v>0</v>
      </c>
      <c r="W260" s="1860"/>
      <c r="X260" s="1860"/>
      <c r="Y260" s="1860">
        <f>'Notes- SK Template'!Y266</f>
        <v>0</v>
      </c>
      <c r="Z260" s="1860"/>
      <c r="AA260" s="1860"/>
      <c r="AB260" s="1860">
        <f>'Notes- SK Template'!AB266</f>
        <v>0</v>
      </c>
      <c r="AC260" s="1860"/>
      <c r="AD260" s="1860"/>
      <c r="AE260" s="1825">
        <f>'Notes- SK Template'!AE266</f>
        <v>0</v>
      </c>
      <c r="AF260" s="1825"/>
      <c r="AG260" s="1825"/>
    </row>
    <row r="261" spans="1:34" s="584" customFormat="1">
      <c r="A261" s="597"/>
      <c r="D261" s="2524" t="s">
        <v>1797</v>
      </c>
      <c r="E261" s="1771"/>
      <c r="F261" s="1771"/>
      <c r="G261" s="1771"/>
      <c r="H261" s="1771"/>
      <c r="I261" s="1771"/>
      <c r="J261" s="1860">
        <f>'Notes- SK Template'!J267</f>
        <v>0</v>
      </c>
      <c r="K261" s="1860"/>
      <c r="L261" s="1860"/>
      <c r="M261" s="1860">
        <f>'Notes- SK Template'!M267</f>
        <v>0</v>
      </c>
      <c r="N261" s="1860"/>
      <c r="O261" s="1860"/>
      <c r="P261" s="1860">
        <f>'Notes- SK Template'!P267</f>
        <v>0</v>
      </c>
      <c r="Q261" s="1860"/>
      <c r="R261" s="1860"/>
      <c r="S261" s="1860">
        <f>'Notes- SK Template'!S267</f>
        <v>0</v>
      </c>
      <c r="T261" s="1860"/>
      <c r="U261" s="1860"/>
      <c r="V261" s="1860">
        <f>'Notes- SK Template'!V267</f>
        <v>0</v>
      </c>
      <c r="W261" s="1860"/>
      <c r="X261" s="1860"/>
      <c r="Y261" s="1860">
        <f>'Notes- SK Template'!Y267</f>
        <v>0</v>
      </c>
      <c r="Z261" s="1860"/>
      <c r="AA261" s="1860"/>
      <c r="AB261" s="1860">
        <f>'Notes- SK Template'!AB267</f>
        <v>0</v>
      </c>
      <c r="AC261" s="1860"/>
      <c r="AD261" s="1860"/>
      <c r="AE261" s="1825">
        <f>'Notes- SK Template'!AE267</f>
        <v>0</v>
      </c>
      <c r="AF261" s="1825"/>
      <c r="AG261" s="1825"/>
    </row>
    <row r="262" spans="1:34" s="584" customFormat="1" ht="21.75" customHeight="1" thickBot="1">
      <c r="A262" s="597"/>
      <c r="D262" s="1821" t="s">
        <v>1798</v>
      </c>
      <c r="E262" s="1821"/>
      <c r="F262" s="1821"/>
      <c r="G262" s="1821"/>
      <c r="H262" s="1821"/>
      <c r="I262" s="1821"/>
      <c r="J262" s="1909">
        <f>'Notes- SK Template'!J268</f>
        <v>0</v>
      </c>
      <c r="K262" s="1909"/>
      <c r="L262" s="1909"/>
      <c r="M262" s="1909">
        <f>'Notes- SK Template'!M268</f>
        <v>0</v>
      </c>
      <c r="N262" s="1909"/>
      <c r="O262" s="1909"/>
      <c r="P262" s="1909">
        <f>'Notes- SK Template'!P268</f>
        <v>0</v>
      </c>
      <c r="Q262" s="1909"/>
      <c r="R262" s="1909"/>
      <c r="S262" s="1909">
        <f>'Notes- SK Template'!S268</f>
        <v>0</v>
      </c>
      <c r="T262" s="1909"/>
      <c r="U262" s="1909"/>
      <c r="V262" s="1909">
        <f>'Notes- SK Template'!V268</f>
        <v>0</v>
      </c>
      <c r="W262" s="1909"/>
      <c r="X262" s="1909"/>
      <c r="Y262" s="1909">
        <f>'Notes- SK Template'!Y268</f>
        <v>0</v>
      </c>
      <c r="Z262" s="1909"/>
      <c r="AA262" s="1909"/>
      <c r="AB262" s="1909">
        <f>'Notes- SK Template'!AB268</f>
        <v>0</v>
      </c>
      <c r="AC262" s="1909"/>
      <c r="AD262" s="1909"/>
      <c r="AE262" s="1909">
        <f>'Notes- SK Template'!AE268</f>
        <v>0</v>
      </c>
      <c r="AF262" s="1909"/>
      <c r="AG262" s="1909"/>
    </row>
    <row r="263" spans="1:34" s="584" customFormat="1" ht="15" thickBot="1">
      <c r="A263" s="597"/>
      <c r="D263" s="2618" t="s">
        <v>1801</v>
      </c>
      <c r="E263" s="1911"/>
      <c r="F263" s="1911"/>
      <c r="G263" s="1911"/>
      <c r="H263" s="1911"/>
      <c r="I263" s="1911"/>
      <c r="J263" s="1911"/>
      <c r="K263" s="1911"/>
      <c r="L263" s="1911"/>
      <c r="M263" s="1911"/>
      <c r="N263" s="1911"/>
      <c r="O263" s="1911"/>
      <c r="P263" s="1911"/>
      <c r="Q263" s="1911"/>
      <c r="R263" s="1911"/>
      <c r="S263" s="1911"/>
      <c r="T263" s="1911"/>
      <c r="U263" s="1911"/>
      <c r="V263" s="1911"/>
      <c r="W263" s="1911"/>
      <c r="X263" s="1911"/>
      <c r="Y263" s="1911"/>
      <c r="Z263" s="1911"/>
      <c r="AA263" s="1911"/>
      <c r="AB263" s="1911"/>
      <c r="AC263" s="1911"/>
      <c r="AD263" s="1911"/>
      <c r="AE263" s="1911"/>
      <c r="AF263" s="1911"/>
      <c r="AG263" s="1911"/>
      <c r="AH263" s="605"/>
    </row>
    <row r="264" spans="1:34" s="584" customFormat="1" ht="21.75" customHeight="1">
      <c r="A264" s="597"/>
      <c r="D264" s="1903" t="s">
        <v>1794</v>
      </c>
      <c r="E264" s="1904"/>
      <c r="F264" s="1904"/>
      <c r="G264" s="1904"/>
      <c r="H264" s="1904"/>
      <c r="I264" s="1905"/>
      <c r="J264" s="1910">
        <f>'Notes- SK Template'!J270</f>
        <v>39396</v>
      </c>
      <c r="K264" s="1910"/>
      <c r="L264" s="1910"/>
      <c r="M264" s="1910">
        <f>'Notes- SK Template'!M270</f>
        <v>0</v>
      </c>
      <c r="N264" s="1910"/>
      <c r="O264" s="1910"/>
      <c r="P264" s="1910">
        <f>'Notes- SK Template'!P270</f>
        <v>0</v>
      </c>
      <c r="Q264" s="1910"/>
      <c r="R264" s="1910"/>
      <c r="S264" s="1910">
        <f>'Notes- SK Template'!S270</f>
        <v>2132884</v>
      </c>
      <c r="T264" s="1910"/>
      <c r="U264" s="1910"/>
      <c r="V264" s="1910">
        <f>'Notes- SK Template'!V270</f>
        <v>0</v>
      </c>
      <c r="W264" s="1910"/>
      <c r="X264" s="1910"/>
      <c r="Y264" s="1910">
        <f>'Notes- SK Template'!Y270</f>
        <v>0</v>
      </c>
      <c r="Z264" s="1910"/>
      <c r="AA264" s="1910"/>
      <c r="AB264" s="1910">
        <f>'Notes- SK Template'!AB270</f>
        <v>0</v>
      </c>
      <c r="AC264" s="1910"/>
      <c r="AD264" s="1910"/>
      <c r="AE264" s="1910">
        <f>'Notes- SK Template'!AE270</f>
        <v>2172280</v>
      </c>
      <c r="AF264" s="1910"/>
      <c r="AG264" s="1910"/>
    </row>
    <row r="265" spans="1:34" s="584" customFormat="1" ht="21.75" customHeight="1" thickBot="1">
      <c r="A265" s="597"/>
      <c r="D265" s="1821" t="s">
        <v>1798</v>
      </c>
      <c r="E265" s="1821"/>
      <c r="F265" s="1821"/>
      <c r="G265" s="1821"/>
      <c r="H265" s="1821"/>
      <c r="I265" s="1821"/>
      <c r="J265" s="1909">
        <f>'Notes- SK Template'!J271</f>
        <v>31512</v>
      </c>
      <c r="K265" s="1909"/>
      <c r="L265" s="1909"/>
      <c r="M265" s="1909">
        <f>'Notes- SK Template'!M271</f>
        <v>0</v>
      </c>
      <c r="N265" s="1909"/>
      <c r="O265" s="1909"/>
      <c r="P265" s="1909">
        <f>'Notes- SK Template'!P271</f>
        <v>0</v>
      </c>
      <c r="Q265" s="1909"/>
      <c r="R265" s="1909"/>
      <c r="S265" s="1909">
        <f>'Notes- SK Template'!S271</f>
        <v>1816804</v>
      </c>
      <c r="T265" s="1909"/>
      <c r="U265" s="1909"/>
      <c r="V265" s="1909">
        <f>'Notes- SK Template'!V271</f>
        <v>0</v>
      </c>
      <c r="W265" s="1909"/>
      <c r="X265" s="1909"/>
      <c r="Y265" s="1909">
        <f>'Notes- SK Template'!Y271</f>
        <v>0</v>
      </c>
      <c r="Z265" s="1909"/>
      <c r="AA265" s="1909"/>
      <c r="AB265" s="1909">
        <f>'Notes- SK Template'!AB271</f>
        <v>0</v>
      </c>
      <c r="AC265" s="1909"/>
      <c r="AD265" s="1909"/>
      <c r="AE265" s="1909">
        <f>'Notes- SK Template'!AE271</f>
        <v>1848316</v>
      </c>
      <c r="AF265" s="1909"/>
      <c r="AG265" s="1909"/>
    </row>
    <row r="266" spans="1:34" s="584" customFormat="1">
      <c r="A266" s="597"/>
      <c r="D266" s="773"/>
      <c r="E266" s="773"/>
      <c r="F266" s="773"/>
      <c r="G266" s="773"/>
    </row>
    <row r="267" spans="1:34" s="584" customFormat="1">
      <c r="A267" s="597"/>
      <c r="D267" s="773"/>
      <c r="E267" s="773"/>
      <c r="F267" s="773"/>
      <c r="G267" s="773"/>
    </row>
    <row r="268" spans="1:34" s="584" customFormat="1">
      <c r="A268" s="597"/>
      <c r="D268" s="773"/>
      <c r="E268" s="773"/>
      <c r="F268" s="773"/>
      <c r="G268" s="773"/>
    </row>
    <row r="269" spans="1:34" s="584" customFormat="1" ht="15" thickBot="1">
      <c r="A269" s="597"/>
    </row>
    <row r="270" spans="1:34" s="584" customFormat="1" ht="31.5" customHeight="1" thickBot="1">
      <c r="A270" s="597">
        <v>4</v>
      </c>
      <c r="D270" s="1859" t="s">
        <v>1788</v>
      </c>
      <c r="E270" s="1859"/>
      <c r="F270" s="1859"/>
      <c r="G270" s="1859"/>
      <c r="H270" s="1859"/>
      <c r="I270" s="1859"/>
      <c r="J270" s="1859"/>
      <c r="K270" s="1859"/>
      <c r="L270" s="1859"/>
      <c r="M270" s="1859"/>
      <c r="N270" s="1859"/>
      <c r="O270" s="1859"/>
      <c r="P270" s="1859"/>
      <c r="Q270" s="1859"/>
      <c r="R270" s="1859"/>
      <c r="S270" s="1859" t="s">
        <v>1803</v>
      </c>
      <c r="T270" s="1859"/>
      <c r="U270" s="1859"/>
      <c r="V270" s="1859"/>
      <c r="W270" s="1859"/>
      <c r="X270" s="1859"/>
      <c r="Y270" s="1859"/>
      <c r="Z270" s="1859"/>
      <c r="AA270" s="1859"/>
      <c r="AB270" s="1859"/>
      <c r="AC270" s="1859"/>
      <c r="AD270" s="1859"/>
      <c r="AE270" s="1859"/>
      <c r="AF270" s="1859"/>
      <c r="AG270" s="1859"/>
    </row>
    <row r="271" spans="1:34" s="584" customFormat="1" ht="31.5" customHeight="1">
      <c r="A271" s="597"/>
      <c r="D271" s="2610" t="s">
        <v>1804</v>
      </c>
      <c r="E271" s="2086"/>
      <c r="F271" s="2086"/>
      <c r="G271" s="2086"/>
      <c r="H271" s="2086"/>
      <c r="I271" s="2086"/>
      <c r="J271" s="2086"/>
      <c r="K271" s="2086"/>
      <c r="L271" s="2086"/>
      <c r="M271" s="2086"/>
      <c r="N271" s="2086"/>
      <c r="O271" s="2086"/>
      <c r="P271" s="2086"/>
      <c r="Q271" s="2086"/>
      <c r="R271" s="2086"/>
      <c r="S271" s="2534" t="str">
        <f>'Notes- SK Template'!S277</f>
        <v>-</v>
      </c>
      <c r="T271" s="2534"/>
      <c r="U271" s="2534"/>
      <c r="V271" s="2534">
        <f>'Notes- SK Template'!V277</f>
        <v>0</v>
      </c>
      <c r="W271" s="2534"/>
      <c r="X271" s="2534"/>
      <c r="Y271" s="2534">
        <f>'Notes- SK Template'!Y277</f>
        <v>0</v>
      </c>
      <c r="Z271" s="2534"/>
      <c r="AA271" s="2534"/>
      <c r="AB271" s="2534">
        <f>'Notes- SK Template'!AB277</f>
        <v>0</v>
      </c>
      <c r="AC271" s="2534"/>
      <c r="AD271" s="2534"/>
      <c r="AE271" s="2534">
        <f>'Notes- SK Template'!AE277</f>
        <v>0</v>
      </c>
      <c r="AF271" s="2534"/>
      <c r="AG271" s="2534"/>
    </row>
    <row r="272" spans="1:34" s="584" customFormat="1" ht="31.5" customHeight="1" thickBot="1">
      <c r="A272" s="597"/>
      <c r="D272" s="2613" t="s">
        <v>1805</v>
      </c>
      <c r="E272" s="1942"/>
      <c r="F272" s="1942"/>
      <c r="G272" s="1942"/>
      <c r="H272" s="1942"/>
      <c r="I272" s="1942"/>
      <c r="J272" s="1942"/>
      <c r="K272" s="1942"/>
      <c r="L272" s="1942"/>
      <c r="M272" s="1942"/>
      <c r="N272" s="1942"/>
      <c r="O272" s="1942"/>
      <c r="P272" s="1942"/>
      <c r="Q272" s="1942"/>
      <c r="R272" s="1942"/>
      <c r="S272" s="1931" t="str">
        <f>'Notes- SK Template'!S278</f>
        <v>-</v>
      </c>
      <c r="T272" s="1931"/>
      <c r="U272" s="1931"/>
      <c r="V272" s="1931">
        <f>'Notes- SK Template'!V278</f>
        <v>0</v>
      </c>
      <c r="W272" s="1931"/>
      <c r="X272" s="1931"/>
      <c r="Y272" s="1931">
        <f>'Notes- SK Template'!Y278</f>
        <v>0</v>
      </c>
      <c r="Z272" s="1931"/>
      <c r="AA272" s="1931"/>
      <c r="AB272" s="1931">
        <f>'Notes- SK Template'!AB278</f>
        <v>0</v>
      </c>
      <c r="AC272" s="1931"/>
      <c r="AD272" s="1931"/>
      <c r="AE272" s="1931">
        <f>'Notes- SK Template'!AE278</f>
        <v>0</v>
      </c>
      <c r="AF272" s="1931"/>
      <c r="AG272" s="1931"/>
    </row>
    <row r="273" spans="1:34" s="584" customFormat="1">
      <c r="A273" s="597"/>
    </row>
    <row r="274" spans="1:34" s="584" customFormat="1" ht="14.25" customHeight="1">
      <c r="A274" s="597"/>
      <c r="D274" s="2083" t="s">
        <v>2956</v>
      </c>
      <c r="E274" s="2083"/>
      <c r="F274" s="2083"/>
      <c r="G274" s="2083"/>
      <c r="H274" s="2083"/>
      <c r="I274" s="2083"/>
      <c r="J274" s="2083"/>
      <c r="K274" s="2083"/>
      <c r="L274" s="2083"/>
      <c r="M274" s="2083"/>
      <c r="N274" s="2083"/>
      <c r="O274" s="2083"/>
      <c r="P274" s="2083"/>
      <c r="Q274" s="2083"/>
      <c r="R274" s="2083"/>
      <c r="S274" s="2083"/>
      <c r="T274" s="2083"/>
      <c r="U274" s="2083"/>
      <c r="V274" s="2083"/>
      <c r="W274" s="2083"/>
      <c r="X274" s="2083"/>
      <c r="Y274" s="2083"/>
      <c r="Z274" s="2083"/>
      <c r="AA274" s="2083"/>
      <c r="AB274" s="2083"/>
      <c r="AC274" s="2083"/>
      <c r="AD274" s="2083"/>
      <c r="AE274" s="2083"/>
      <c r="AF274" s="2083"/>
      <c r="AG274" s="2083"/>
    </row>
    <row r="275" spans="1:34" s="584" customFormat="1">
      <c r="A275" s="597"/>
      <c r="D275" s="2083"/>
      <c r="E275" s="2083"/>
      <c r="F275" s="2083"/>
      <c r="G275" s="2083"/>
      <c r="H275" s="2083"/>
      <c r="I275" s="2083"/>
      <c r="J275" s="2083"/>
      <c r="K275" s="2083"/>
      <c r="L275" s="2083"/>
      <c r="M275" s="2083"/>
      <c r="N275" s="2083"/>
      <c r="O275" s="2083"/>
      <c r="P275" s="2083"/>
      <c r="Q275" s="2083"/>
      <c r="R275" s="2083"/>
      <c r="S275" s="2083"/>
      <c r="T275" s="2083"/>
      <c r="U275" s="2083"/>
      <c r="V275" s="2083"/>
      <c r="W275" s="2083"/>
      <c r="X275" s="2083"/>
      <c r="Y275" s="2083"/>
      <c r="Z275" s="2083"/>
      <c r="AA275" s="2083"/>
      <c r="AB275" s="2083"/>
      <c r="AC275" s="2083"/>
      <c r="AD275" s="2083"/>
      <c r="AE275" s="2083"/>
      <c r="AF275" s="2083"/>
      <c r="AG275" s="2083"/>
    </row>
    <row r="276" spans="1:34" s="584" customFormat="1" ht="14.25" customHeight="1">
      <c r="A276" s="597"/>
      <c r="D276" s="2083" t="s">
        <v>2869</v>
      </c>
      <c r="E276" s="2083"/>
      <c r="F276" s="2083"/>
      <c r="G276" s="2083"/>
      <c r="H276" s="2083"/>
      <c r="I276" s="2083"/>
      <c r="J276" s="2083"/>
      <c r="K276" s="2083"/>
      <c r="L276" s="2083"/>
      <c r="M276" s="2083"/>
      <c r="N276" s="2083"/>
      <c r="O276" s="2083"/>
      <c r="P276" s="2083"/>
      <c r="Q276" s="2083"/>
      <c r="R276" s="2083"/>
      <c r="S276" s="2083"/>
      <c r="T276" s="2083"/>
      <c r="U276" s="2083"/>
      <c r="V276" s="2083"/>
      <c r="W276" s="2083"/>
      <c r="X276" s="2083"/>
      <c r="Y276" s="2083"/>
      <c r="Z276" s="2083"/>
      <c r="AA276" s="2083"/>
      <c r="AB276" s="2083"/>
      <c r="AC276" s="2083"/>
      <c r="AD276" s="2083"/>
      <c r="AE276" s="2083"/>
      <c r="AF276" s="2083"/>
      <c r="AG276" s="2083"/>
    </row>
    <row r="277" spans="1:34" s="584" customFormat="1" ht="14.25" customHeight="1">
      <c r="A277" s="597"/>
      <c r="D277" s="2083"/>
      <c r="E277" s="2083"/>
      <c r="F277" s="2083"/>
      <c r="G277" s="2083"/>
      <c r="H277" s="2083"/>
      <c r="I277" s="2083"/>
      <c r="J277" s="2083"/>
      <c r="K277" s="2083"/>
      <c r="L277" s="2083"/>
      <c r="M277" s="2083"/>
      <c r="N277" s="2083"/>
      <c r="O277" s="2083"/>
      <c r="P277" s="2083"/>
      <c r="Q277" s="2083"/>
      <c r="R277" s="2083"/>
      <c r="S277" s="2083"/>
      <c r="T277" s="2083"/>
      <c r="U277" s="2083"/>
      <c r="V277" s="2083"/>
      <c r="W277" s="2083"/>
      <c r="X277" s="2083"/>
      <c r="Y277" s="2083"/>
      <c r="Z277" s="2083"/>
      <c r="AA277" s="2083"/>
      <c r="AB277" s="2083"/>
      <c r="AC277" s="2083"/>
      <c r="AD277" s="2083"/>
      <c r="AE277" s="2083"/>
      <c r="AF277" s="2083"/>
      <c r="AG277" s="2083"/>
    </row>
    <row r="278" spans="1:34" s="584" customFormat="1" ht="14.25" customHeight="1">
      <c r="A278" s="597"/>
      <c r="D278" s="2083"/>
      <c r="E278" s="2083"/>
      <c r="F278" s="2083"/>
      <c r="G278" s="2083"/>
      <c r="H278" s="2083"/>
      <c r="I278" s="2083"/>
      <c r="J278" s="2083"/>
      <c r="K278" s="2083"/>
      <c r="L278" s="2083"/>
      <c r="M278" s="2083"/>
      <c r="N278" s="2083"/>
      <c r="O278" s="2083"/>
      <c r="P278" s="2083"/>
      <c r="Q278" s="2083"/>
      <c r="R278" s="2083"/>
      <c r="S278" s="2083"/>
      <c r="T278" s="2083"/>
      <c r="U278" s="2083"/>
      <c r="V278" s="2083"/>
      <c r="W278" s="2083"/>
      <c r="X278" s="2083"/>
      <c r="Y278" s="2083"/>
      <c r="Z278" s="2083"/>
      <c r="AA278" s="2083"/>
      <c r="AB278" s="2083"/>
      <c r="AC278" s="2083"/>
      <c r="AD278" s="2083"/>
      <c r="AE278" s="2083"/>
      <c r="AF278" s="2083"/>
      <c r="AG278" s="2083"/>
    </row>
    <row r="279" spans="1:34" s="584" customFormat="1" ht="14.25" customHeight="1">
      <c r="A279" s="597"/>
      <c r="D279" s="2083"/>
      <c r="E279" s="2083"/>
      <c r="F279" s="2083"/>
      <c r="G279" s="2083"/>
      <c r="H279" s="2083"/>
      <c r="I279" s="2083"/>
      <c r="J279" s="2083"/>
      <c r="K279" s="2083"/>
      <c r="L279" s="2083"/>
      <c r="M279" s="2083"/>
      <c r="N279" s="2083"/>
      <c r="O279" s="2083"/>
      <c r="P279" s="2083"/>
      <c r="Q279" s="2083"/>
      <c r="R279" s="2083"/>
      <c r="S279" s="2083"/>
      <c r="T279" s="2083"/>
      <c r="U279" s="2083"/>
      <c r="V279" s="2083"/>
      <c r="W279" s="2083"/>
      <c r="X279" s="2083"/>
      <c r="Y279" s="2083"/>
      <c r="Z279" s="2083"/>
      <c r="AA279" s="2083"/>
      <c r="AB279" s="2083"/>
      <c r="AC279" s="2083"/>
      <c r="AD279" s="2083"/>
      <c r="AE279" s="2083"/>
      <c r="AF279" s="2083"/>
      <c r="AG279" s="2083"/>
    </row>
    <row r="280" spans="1:34" s="584" customFormat="1" ht="33.75" customHeight="1">
      <c r="A280" s="597"/>
      <c r="D280" s="2083"/>
      <c r="E280" s="2083"/>
      <c r="F280" s="2083"/>
      <c r="G280" s="2083"/>
      <c r="H280" s="2083"/>
      <c r="I280" s="2083"/>
      <c r="J280" s="2083"/>
      <c r="K280" s="2083"/>
      <c r="L280" s="2083"/>
      <c r="M280" s="2083"/>
      <c r="N280" s="2083"/>
      <c r="O280" s="2083"/>
      <c r="P280" s="2083"/>
      <c r="Q280" s="2083"/>
      <c r="R280" s="2083"/>
      <c r="S280" s="2083"/>
      <c r="T280" s="2083"/>
      <c r="U280" s="2083"/>
      <c r="V280" s="2083"/>
      <c r="W280" s="2083"/>
      <c r="X280" s="2083"/>
      <c r="Y280" s="2083"/>
      <c r="Z280" s="2083"/>
      <c r="AA280" s="2083"/>
      <c r="AB280" s="2083"/>
      <c r="AC280" s="2083"/>
      <c r="AD280" s="2083"/>
      <c r="AE280" s="2083"/>
      <c r="AF280" s="2083"/>
      <c r="AG280" s="2083"/>
    </row>
    <row r="281" spans="1:34" s="584" customFormat="1" ht="14.25" customHeight="1">
      <c r="A281" s="597"/>
      <c r="D281" s="2083" t="s">
        <v>2831</v>
      </c>
      <c r="E281" s="2083"/>
      <c r="F281" s="2083"/>
      <c r="G281" s="2083"/>
      <c r="H281" s="2083"/>
      <c r="I281" s="2083"/>
      <c r="J281" s="2083"/>
      <c r="K281" s="2083"/>
      <c r="L281" s="2083"/>
      <c r="M281" s="2083"/>
      <c r="N281" s="2083"/>
      <c r="O281" s="2083"/>
      <c r="P281" s="2083"/>
      <c r="Q281" s="2083"/>
      <c r="R281" s="2083"/>
      <c r="S281" s="2083"/>
      <c r="T281" s="2083"/>
      <c r="U281" s="2083"/>
      <c r="V281" s="2083"/>
      <c r="W281" s="2083"/>
      <c r="X281" s="2083"/>
      <c r="Y281" s="2083"/>
      <c r="Z281" s="2083"/>
      <c r="AA281" s="2083"/>
      <c r="AB281" s="2083"/>
      <c r="AC281" s="2083"/>
      <c r="AD281" s="2083"/>
      <c r="AE281" s="2083"/>
      <c r="AF281" s="2083"/>
      <c r="AG281" s="2083"/>
    </row>
    <row r="282" spans="1:34" s="584" customFormat="1" ht="14.25" customHeight="1">
      <c r="A282" s="597"/>
      <c r="D282" s="1499"/>
      <c r="E282" s="1499"/>
      <c r="F282" s="1499"/>
      <c r="G282" s="1499"/>
      <c r="H282" s="1499"/>
      <c r="I282" s="1499"/>
      <c r="J282" s="1499"/>
      <c r="K282" s="1499"/>
      <c r="L282" s="1499"/>
      <c r="M282" s="1499"/>
      <c r="N282" s="1499"/>
      <c r="O282" s="1499"/>
      <c r="P282" s="1499"/>
      <c r="Q282" s="1499"/>
      <c r="R282" s="1499"/>
      <c r="S282" s="1499"/>
      <c r="T282" s="1499"/>
      <c r="U282" s="1499"/>
      <c r="V282" s="1499"/>
      <c r="W282" s="1499"/>
      <c r="X282" s="1499"/>
      <c r="Y282" s="1499"/>
      <c r="Z282" s="1499"/>
      <c r="AA282" s="1499"/>
      <c r="AB282" s="1499"/>
      <c r="AC282" s="1499"/>
      <c r="AD282" s="1499"/>
      <c r="AE282" s="1499"/>
      <c r="AF282" s="1499"/>
      <c r="AG282" s="1499"/>
    </row>
    <row r="283" spans="1:34" s="584" customFormat="1">
      <c r="A283" s="597"/>
      <c r="D283" s="582" t="s">
        <v>2004</v>
      </c>
      <c r="E283" s="909"/>
      <c r="F283" s="909"/>
      <c r="G283" s="909"/>
      <c r="H283" s="909"/>
      <c r="I283" s="909"/>
      <c r="J283" s="909"/>
      <c r="K283" s="909"/>
      <c r="L283" s="909"/>
      <c r="M283" s="909"/>
      <c r="N283" s="909"/>
      <c r="O283" s="909"/>
      <c r="P283" s="909"/>
      <c r="Q283" s="909"/>
      <c r="R283" s="909"/>
      <c r="S283" s="909"/>
      <c r="T283" s="909"/>
      <c r="U283" s="909"/>
      <c r="V283" s="909"/>
      <c r="W283" s="909"/>
      <c r="X283" s="909"/>
      <c r="Y283" s="909"/>
      <c r="Z283" s="909"/>
      <c r="AA283" s="909"/>
      <c r="AB283" s="909"/>
      <c r="AC283" s="909"/>
      <c r="AD283" s="909"/>
      <c r="AE283" s="909"/>
      <c r="AF283" s="909"/>
      <c r="AG283" s="909"/>
    </row>
    <row r="284" spans="1:34" s="584" customFormat="1">
      <c r="A284" s="597"/>
      <c r="E284" s="909"/>
      <c r="F284" s="909"/>
      <c r="G284" s="909"/>
      <c r="H284" s="909"/>
      <c r="I284" s="909"/>
      <c r="J284" s="909"/>
      <c r="K284" s="909"/>
      <c r="L284" s="909"/>
      <c r="M284" s="909"/>
      <c r="N284" s="909"/>
      <c r="O284" s="909"/>
      <c r="P284" s="909"/>
      <c r="Q284" s="909"/>
      <c r="R284" s="909"/>
      <c r="S284" s="909"/>
      <c r="T284" s="909"/>
      <c r="U284" s="909"/>
      <c r="V284" s="909"/>
      <c r="W284" s="909"/>
      <c r="X284" s="909"/>
      <c r="Y284" s="909"/>
      <c r="Z284" s="909"/>
      <c r="AA284" s="909"/>
      <c r="AB284" s="909"/>
      <c r="AC284" s="909"/>
      <c r="AD284" s="909"/>
      <c r="AE284" s="909"/>
      <c r="AF284" s="909"/>
      <c r="AG284" s="909"/>
    </row>
    <row r="285" spans="1:34" s="584" customFormat="1">
      <c r="A285" s="597"/>
      <c r="D285" s="908" t="s">
        <v>2830</v>
      </c>
      <c r="E285" s="909"/>
      <c r="F285" s="909"/>
      <c r="G285" s="909"/>
      <c r="H285" s="909"/>
      <c r="I285" s="909"/>
      <c r="J285" s="909"/>
      <c r="K285" s="909"/>
      <c r="L285" s="909"/>
      <c r="M285" s="909"/>
      <c r="N285" s="909"/>
      <c r="O285" s="909"/>
      <c r="P285" s="909"/>
      <c r="Q285" s="909"/>
      <c r="R285" s="909"/>
      <c r="S285" s="909"/>
      <c r="T285" s="909"/>
      <c r="U285" s="909"/>
      <c r="V285" s="909"/>
      <c r="W285" s="909"/>
      <c r="X285" s="909"/>
      <c r="Y285" s="909"/>
      <c r="Z285" s="909"/>
      <c r="AA285" s="909"/>
      <c r="AB285" s="909"/>
      <c r="AC285" s="909"/>
      <c r="AD285" s="909"/>
      <c r="AE285" s="909"/>
      <c r="AF285" s="909"/>
      <c r="AG285" s="909"/>
    </row>
    <row r="286" spans="1:34" s="584" customFormat="1" ht="15" thickBot="1">
      <c r="A286" s="597"/>
      <c r="D286" s="910"/>
      <c r="E286" s="909"/>
      <c r="F286" s="909"/>
      <c r="G286" s="909"/>
      <c r="H286" s="909"/>
      <c r="I286" s="909"/>
      <c r="J286" s="909"/>
      <c r="K286" s="909"/>
      <c r="L286" s="909"/>
      <c r="M286" s="909"/>
      <c r="N286" s="909"/>
      <c r="O286" s="909"/>
      <c r="P286" s="909"/>
      <c r="Q286" s="909"/>
      <c r="R286" s="909"/>
      <c r="S286" s="909"/>
      <c r="T286" s="909"/>
      <c r="U286" s="909"/>
      <c r="V286" s="909"/>
      <c r="W286" s="909"/>
      <c r="X286" s="909"/>
      <c r="Y286" s="909"/>
      <c r="Z286" s="909"/>
      <c r="AA286" s="909"/>
      <c r="AB286" s="909"/>
      <c r="AC286" s="909"/>
      <c r="AD286" s="909"/>
      <c r="AE286" s="909"/>
      <c r="AF286" s="909"/>
      <c r="AG286" s="909"/>
    </row>
    <row r="287" spans="1:34" s="584" customFormat="1" ht="15.75" customHeight="1" thickBot="1">
      <c r="A287" s="597" t="s">
        <v>1406</v>
      </c>
      <c r="D287" s="1799" t="s">
        <v>1813</v>
      </c>
      <c r="E287" s="1800"/>
      <c r="F287" s="1800"/>
      <c r="G287" s="1803"/>
      <c r="H287" s="1859" t="s">
        <v>1741</v>
      </c>
      <c r="I287" s="1859"/>
      <c r="J287" s="1859"/>
      <c r="K287" s="1859"/>
      <c r="L287" s="1859"/>
      <c r="M287" s="1859"/>
      <c r="N287" s="1859"/>
      <c r="O287" s="1859"/>
      <c r="P287" s="1859"/>
      <c r="Q287" s="1859"/>
      <c r="R287" s="1859"/>
      <c r="S287" s="1859"/>
      <c r="T287" s="1859"/>
      <c r="U287" s="1859"/>
      <c r="V287" s="1859"/>
      <c r="W287" s="1859"/>
      <c r="X287" s="1859"/>
      <c r="Y287" s="1859"/>
      <c r="Z287" s="1859"/>
      <c r="AA287" s="1859"/>
      <c r="AB287" s="1859"/>
      <c r="AC287" s="1859"/>
      <c r="AD287" s="1859"/>
      <c r="AE287" s="1859"/>
      <c r="AF287" s="1859"/>
      <c r="AG287" s="1859"/>
      <c r="AH287" s="1859"/>
    </row>
    <row r="288" spans="1:34" s="584" customFormat="1" ht="55.5" customHeight="1" thickBot="1">
      <c r="A288" s="597"/>
      <c r="D288" s="1801"/>
      <c r="E288" s="1802"/>
      <c r="F288" s="1802"/>
      <c r="G288" s="1804"/>
      <c r="H288" s="1838" t="s">
        <v>1806</v>
      </c>
      <c r="I288" s="1838"/>
      <c r="J288" s="1838"/>
      <c r="K288" s="1838" t="s">
        <v>1769</v>
      </c>
      <c r="L288" s="1838"/>
      <c r="M288" s="1838"/>
      <c r="N288" s="1838" t="s">
        <v>1807</v>
      </c>
      <c r="O288" s="1838"/>
      <c r="P288" s="1838"/>
      <c r="Q288" s="1838" t="s">
        <v>1808</v>
      </c>
      <c r="R288" s="1838"/>
      <c r="S288" s="1838"/>
      <c r="T288" s="1838" t="s">
        <v>1809</v>
      </c>
      <c r="U288" s="1838"/>
      <c r="V288" s="1838"/>
      <c r="W288" s="1838" t="s">
        <v>1810</v>
      </c>
      <c r="X288" s="1838"/>
      <c r="Y288" s="1838"/>
      <c r="Z288" s="1838" t="s">
        <v>1811</v>
      </c>
      <c r="AA288" s="1838"/>
      <c r="AB288" s="1838"/>
      <c r="AC288" s="1838" t="s">
        <v>1812</v>
      </c>
      <c r="AD288" s="1838"/>
      <c r="AE288" s="1838"/>
      <c r="AF288" s="1838" t="s">
        <v>1752</v>
      </c>
      <c r="AG288" s="1838"/>
      <c r="AH288" s="1838"/>
    </row>
    <row r="289" spans="1:34" s="584" customFormat="1" ht="15.75" customHeight="1" thickBot="1">
      <c r="A289" s="597"/>
      <c r="D289" s="1826" t="s">
        <v>1793</v>
      </c>
      <c r="E289" s="1827"/>
      <c r="F289" s="1827"/>
      <c r="G289" s="1827"/>
      <c r="H289" s="1827"/>
      <c r="I289" s="1827"/>
      <c r="J289" s="1827"/>
      <c r="K289" s="1827"/>
      <c r="L289" s="1827"/>
      <c r="M289" s="1827"/>
      <c r="N289" s="1827"/>
      <c r="O289" s="1827"/>
      <c r="P289" s="1827"/>
      <c r="Q289" s="1827"/>
      <c r="R289" s="1827"/>
      <c r="S289" s="1827"/>
      <c r="T289" s="1827"/>
      <c r="U289" s="1827"/>
      <c r="V289" s="1827"/>
      <c r="W289" s="1827"/>
      <c r="X289" s="1827"/>
      <c r="Y289" s="1827"/>
      <c r="Z289" s="1827"/>
      <c r="AA289" s="1827"/>
      <c r="AB289" s="1827"/>
      <c r="AC289" s="1827"/>
      <c r="AD289" s="1827"/>
      <c r="AE289" s="1827"/>
      <c r="AF289" s="1827"/>
      <c r="AG289" s="1827"/>
      <c r="AH289" s="1828"/>
    </row>
    <row r="290" spans="1:34" s="584" customFormat="1" ht="21.75" customHeight="1">
      <c r="A290" s="597"/>
      <c r="D290" s="1868" t="s">
        <v>1794</v>
      </c>
      <c r="E290" s="1868"/>
      <c r="F290" s="1868"/>
      <c r="G290" s="1868"/>
      <c r="H290" s="1871">
        <f>'Notes- SK Template'!H291</f>
        <v>0</v>
      </c>
      <c r="I290" s="1871"/>
      <c r="J290" s="1871"/>
      <c r="K290" s="1837">
        <f>'Notes- SK Template'!K291</f>
        <v>0</v>
      </c>
      <c r="L290" s="1837"/>
      <c r="M290" s="1837"/>
      <c r="N290" s="1837">
        <f>'Notes- SK Template'!N291</f>
        <v>505875</v>
      </c>
      <c r="O290" s="1837"/>
      <c r="P290" s="1837"/>
      <c r="Q290" s="1837">
        <f>'Notes- SK Template'!Q291</f>
        <v>0</v>
      </c>
      <c r="R290" s="1837"/>
      <c r="S290" s="1837"/>
      <c r="T290" s="1837">
        <f>'Notes- SK Template'!T291</f>
        <v>0</v>
      </c>
      <c r="U290" s="1837"/>
      <c r="V290" s="1837"/>
      <c r="W290" s="1837">
        <f>'Notes- SK Template'!W291</f>
        <v>0</v>
      </c>
      <c r="X290" s="1837"/>
      <c r="Y290" s="1837"/>
      <c r="Z290" s="1837">
        <f>'Notes- SK Template'!Z291</f>
        <v>0</v>
      </c>
      <c r="AA290" s="1837"/>
      <c r="AB290" s="1837"/>
      <c r="AC290" s="1837">
        <f>'Notes- SK Template'!AC291</f>
        <v>0</v>
      </c>
      <c r="AD290" s="1837"/>
      <c r="AE290" s="1837"/>
      <c r="AF290" s="1867">
        <f>'Notes- SK Template'!AF291</f>
        <v>505875</v>
      </c>
      <c r="AG290" s="1867"/>
      <c r="AH290" s="1867"/>
    </row>
    <row r="291" spans="1:34" s="584" customFormat="1">
      <c r="A291" s="597"/>
      <c r="D291" s="2524" t="s">
        <v>1795</v>
      </c>
      <c r="E291" s="1771"/>
      <c r="F291" s="1771"/>
      <c r="G291" s="1771"/>
      <c r="H291" s="1772">
        <f>'Notes- SK Template'!H292</f>
        <v>0</v>
      </c>
      <c r="I291" s="1772"/>
      <c r="J291" s="1772"/>
      <c r="K291" s="1773">
        <f>'Notes- SK Template'!K292</f>
        <v>0</v>
      </c>
      <c r="L291" s="1773"/>
      <c r="M291" s="1773"/>
      <c r="N291" s="1773">
        <f>'Notes- SK Template'!N292</f>
        <v>0</v>
      </c>
      <c r="O291" s="1773"/>
      <c r="P291" s="1773"/>
      <c r="Q291" s="1773">
        <f>'Notes- SK Template'!Q292</f>
        <v>0</v>
      </c>
      <c r="R291" s="1773"/>
      <c r="S291" s="1773"/>
      <c r="T291" s="1773">
        <f>'Notes- SK Template'!T292</f>
        <v>0</v>
      </c>
      <c r="U291" s="1773"/>
      <c r="V291" s="1773"/>
      <c r="W291" s="1773">
        <f>'Notes- SK Template'!W292</f>
        <v>0</v>
      </c>
      <c r="X291" s="1773"/>
      <c r="Y291" s="1773"/>
      <c r="Z291" s="1773">
        <f>'Notes- SK Template'!Z292</f>
        <v>406211</v>
      </c>
      <c r="AA291" s="1773"/>
      <c r="AB291" s="1773"/>
      <c r="AC291" s="1773">
        <f>'Notes- SK Template'!AC292</f>
        <v>0</v>
      </c>
      <c r="AD291" s="1773"/>
      <c r="AE291" s="1773"/>
      <c r="AF291" s="1825">
        <f>'Notes- SK Template'!AF292</f>
        <v>406211</v>
      </c>
      <c r="AG291" s="1825"/>
      <c r="AH291" s="1825"/>
    </row>
    <row r="292" spans="1:34" s="584" customFormat="1">
      <c r="A292" s="597"/>
      <c r="D292" s="2524" t="s">
        <v>1796</v>
      </c>
      <c r="E292" s="1771"/>
      <c r="F292" s="1771"/>
      <c r="G292" s="1771"/>
      <c r="H292" s="1772">
        <f>'Notes- SK Template'!H293</f>
        <v>0</v>
      </c>
      <c r="I292" s="1772"/>
      <c r="J292" s="1772"/>
      <c r="K292" s="1773">
        <f>'Notes- SK Template'!K293</f>
        <v>0</v>
      </c>
      <c r="L292" s="1773"/>
      <c r="M292" s="1773"/>
      <c r="N292" s="1773">
        <f>'Notes- SK Template'!N293</f>
        <v>66885</v>
      </c>
      <c r="O292" s="1773"/>
      <c r="P292" s="1773"/>
      <c r="Q292" s="1773">
        <f>'Notes- SK Template'!Q293</f>
        <v>0</v>
      </c>
      <c r="R292" s="1773"/>
      <c r="S292" s="1773"/>
      <c r="T292" s="1773">
        <f>'Notes- SK Template'!T293</f>
        <v>0</v>
      </c>
      <c r="U292" s="1773"/>
      <c r="V292" s="1773"/>
      <c r="W292" s="1773">
        <f>'Notes- SK Template'!W293</f>
        <v>0</v>
      </c>
      <c r="X292" s="1773"/>
      <c r="Y292" s="1773"/>
      <c r="Z292" s="1773">
        <f>'Notes- SK Template'!Z293</f>
        <v>0</v>
      </c>
      <c r="AA292" s="1773"/>
      <c r="AB292" s="1773"/>
      <c r="AC292" s="1773">
        <f>'Notes- SK Template'!AC293</f>
        <v>0</v>
      </c>
      <c r="AD292" s="1773"/>
      <c r="AE292" s="1773"/>
      <c r="AF292" s="1825">
        <f>'Notes- SK Template'!AF293</f>
        <v>66885</v>
      </c>
      <c r="AG292" s="1825"/>
      <c r="AH292" s="1825"/>
    </row>
    <row r="293" spans="1:34" s="584" customFormat="1">
      <c r="A293" s="597"/>
      <c r="D293" s="2524" t="s">
        <v>1797</v>
      </c>
      <c r="E293" s="1771"/>
      <c r="F293" s="1771"/>
      <c r="G293" s="1771"/>
      <c r="H293" s="1772">
        <f>'Notes- SK Template'!H294</f>
        <v>0</v>
      </c>
      <c r="I293" s="1772"/>
      <c r="J293" s="1772"/>
      <c r="K293" s="1773">
        <f>'Notes- SK Template'!K294</f>
        <v>364187</v>
      </c>
      <c r="L293" s="1773"/>
      <c r="M293" s="1773"/>
      <c r="N293" s="1773">
        <f>'Notes- SK Template'!N294</f>
        <v>42024</v>
      </c>
      <c r="O293" s="1773"/>
      <c r="P293" s="1773"/>
      <c r="Q293" s="1773">
        <f>'Notes- SK Template'!Q294</f>
        <v>0</v>
      </c>
      <c r="R293" s="1773"/>
      <c r="S293" s="1773"/>
      <c r="T293" s="1773">
        <f>'Notes- SK Template'!T294</f>
        <v>0</v>
      </c>
      <c r="U293" s="1773"/>
      <c r="V293" s="1773"/>
      <c r="W293" s="1773">
        <f>'Notes- SK Template'!W294</f>
        <v>0</v>
      </c>
      <c r="X293" s="1773"/>
      <c r="Y293" s="1773"/>
      <c r="Z293" s="1773">
        <f>'Notes- SK Template'!Z294</f>
        <v>-406211</v>
      </c>
      <c r="AA293" s="1773"/>
      <c r="AB293" s="1773"/>
      <c r="AC293" s="1773">
        <f>'Notes- SK Template'!AC294</f>
        <v>0</v>
      </c>
      <c r="AD293" s="1773"/>
      <c r="AE293" s="1773"/>
      <c r="AF293" s="1825">
        <f>'Notes- SK Template'!AF294</f>
        <v>0</v>
      </c>
      <c r="AG293" s="1825"/>
      <c r="AH293" s="1825"/>
    </row>
    <row r="294" spans="1:34" s="584" customFormat="1" ht="22.5" customHeight="1" thickBot="1">
      <c r="A294" s="597"/>
      <c r="D294" s="1821" t="s">
        <v>1798</v>
      </c>
      <c r="E294" s="1821"/>
      <c r="F294" s="1821"/>
      <c r="G294" s="1821"/>
      <c r="H294" s="1760">
        <f>'Notes- SK Template'!H295</f>
        <v>0</v>
      </c>
      <c r="I294" s="1760"/>
      <c r="J294" s="1760"/>
      <c r="K294" s="1760">
        <f>'Notes- SK Template'!K295</f>
        <v>364187</v>
      </c>
      <c r="L294" s="1760"/>
      <c r="M294" s="1760"/>
      <c r="N294" s="1760">
        <f>'Notes- SK Template'!N295</f>
        <v>481014</v>
      </c>
      <c r="O294" s="1760"/>
      <c r="P294" s="1760"/>
      <c r="Q294" s="1760">
        <f>'Notes- SK Template'!Q295</f>
        <v>0</v>
      </c>
      <c r="R294" s="1760"/>
      <c r="S294" s="1760"/>
      <c r="T294" s="1760">
        <f>'Notes- SK Template'!T295</f>
        <v>0</v>
      </c>
      <c r="U294" s="1760"/>
      <c r="V294" s="1760"/>
      <c r="W294" s="1760">
        <f>'Notes- SK Template'!W295</f>
        <v>0</v>
      </c>
      <c r="X294" s="1760"/>
      <c r="Y294" s="1760"/>
      <c r="Z294" s="1760">
        <f>'Notes- SK Template'!Z295</f>
        <v>0</v>
      </c>
      <c r="AA294" s="1760"/>
      <c r="AB294" s="1760"/>
      <c r="AC294" s="1760">
        <f>'Notes- SK Template'!AC295</f>
        <v>0</v>
      </c>
      <c r="AD294" s="1760"/>
      <c r="AE294" s="1760"/>
      <c r="AF294" s="1760">
        <f>'Notes- SK Template'!AF295</f>
        <v>845201</v>
      </c>
      <c r="AG294" s="1760"/>
      <c r="AH294" s="1760"/>
    </row>
    <row r="295" spans="1:34" s="584" customFormat="1" ht="15.75" customHeight="1" thickBot="1">
      <c r="A295" s="597"/>
      <c r="D295" s="2617" t="s">
        <v>1799</v>
      </c>
      <c r="E295" s="1827"/>
      <c r="F295" s="1827"/>
      <c r="G295" s="1827"/>
      <c r="H295" s="1827"/>
      <c r="I295" s="1827"/>
      <c r="J295" s="1827"/>
      <c r="K295" s="1827"/>
      <c r="L295" s="1827"/>
      <c r="M295" s="1827"/>
      <c r="N295" s="1827"/>
      <c r="O295" s="1827"/>
      <c r="P295" s="1827"/>
      <c r="Q295" s="1827"/>
      <c r="R295" s="1827"/>
      <c r="S295" s="1827"/>
      <c r="T295" s="1827"/>
      <c r="U295" s="1827"/>
      <c r="V295" s="1827"/>
      <c r="W295" s="1827"/>
      <c r="X295" s="1827"/>
      <c r="Y295" s="1827"/>
      <c r="Z295" s="1827"/>
      <c r="AA295" s="1827"/>
      <c r="AB295" s="1827"/>
      <c r="AC295" s="1827"/>
      <c r="AD295" s="1827"/>
      <c r="AE295" s="1827"/>
      <c r="AF295" s="1827"/>
      <c r="AG295" s="1827"/>
      <c r="AH295" s="1828"/>
    </row>
    <row r="296" spans="1:34" s="584" customFormat="1" ht="22.5" customHeight="1">
      <c r="A296" s="597"/>
      <c r="D296" s="1868" t="s">
        <v>1794</v>
      </c>
      <c r="E296" s="1868"/>
      <c r="F296" s="1868"/>
      <c r="G296" s="1868"/>
      <c r="H296" s="1871">
        <f>'Notes- SK Template'!H297</f>
        <v>0</v>
      </c>
      <c r="I296" s="1871"/>
      <c r="J296" s="1871"/>
      <c r="K296" s="1837">
        <f>'Notes- SK Template'!K297</f>
        <v>0</v>
      </c>
      <c r="L296" s="1837"/>
      <c r="M296" s="1837"/>
      <c r="N296" s="1837">
        <f>'Notes- SK Template'!N297</f>
        <v>323716</v>
      </c>
      <c r="O296" s="1837"/>
      <c r="P296" s="1837"/>
      <c r="Q296" s="1837">
        <f>'Notes- SK Template'!Q297</f>
        <v>0</v>
      </c>
      <c r="R296" s="1837"/>
      <c r="S296" s="1837"/>
      <c r="T296" s="1837">
        <f>'Notes- SK Template'!T297</f>
        <v>0</v>
      </c>
      <c r="U296" s="1837"/>
      <c r="V296" s="1837"/>
      <c r="W296" s="1837">
        <f>'Notes- SK Template'!W297</f>
        <v>0</v>
      </c>
      <c r="X296" s="1837"/>
      <c r="Y296" s="1837"/>
      <c r="Z296" s="1837">
        <f>'Notes- SK Template'!Z297</f>
        <v>0</v>
      </c>
      <c r="AA296" s="1837"/>
      <c r="AB296" s="1837"/>
      <c r="AC296" s="1837">
        <f>'Notes- SK Template'!AC297</f>
        <v>0</v>
      </c>
      <c r="AD296" s="1837"/>
      <c r="AE296" s="1837"/>
      <c r="AF296" s="1867">
        <f>'Notes- SK Template'!AF297</f>
        <v>323716</v>
      </c>
      <c r="AG296" s="1867"/>
      <c r="AH296" s="1867"/>
    </row>
    <row r="297" spans="1:34" s="584" customFormat="1">
      <c r="A297" s="597"/>
      <c r="D297" s="1771" t="s">
        <v>1795</v>
      </c>
      <c r="E297" s="1771"/>
      <c r="F297" s="1771"/>
      <c r="G297" s="1771"/>
      <c r="H297" s="1772">
        <f>'Notes- SK Template'!H298</f>
        <v>0</v>
      </c>
      <c r="I297" s="1772"/>
      <c r="J297" s="1772"/>
      <c r="K297" s="1773">
        <f>'Notes- SK Template'!K298</f>
        <v>5947</v>
      </c>
      <c r="L297" s="1773"/>
      <c r="M297" s="1773"/>
      <c r="N297" s="1773">
        <f>'Notes- SK Template'!N298</f>
        <v>76567</v>
      </c>
      <c r="O297" s="1773"/>
      <c r="P297" s="1773"/>
      <c r="Q297" s="1773">
        <f>'Notes- SK Template'!Q298</f>
        <v>0</v>
      </c>
      <c r="R297" s="1773"/>
      <c r="S297" s="1773"/>
      <c r="T297" s="1773">
        <f>'Notes- SK Template'!T298</f>
        <v>0</v>
      </c>
      <c r="U297" s="1773"/>
      <c r="V297" s="1773"/>
      <c r="W297" s="1773">
        <f>'Notes- SK Template'!W298</f>
        <v>0</v>
      </c>
      <c r="X297" s="1773"/>
      <c r="Y297" s="1773"/>
      <c r="Z297" s="1773">
        <f>'Notes- SK Template'!Z298</f>
        <v>0</v>
      </c>
      <c r="AA297" s="1773"/>
      <c r="AB297" s="1773"/>
      <c r="AC297" s="1773">
        <f>'Notes- SK Template'!AC298</f>
        <v>0</v>
      </c>
      <c r="AD297" s="1773"/>
      <c r="AE297" s="1773"/>
      <c r="AF297" s="1825">
        <f>'Notes- SK Template'!AF298</f>
        <v>82514</v>
      </c>
      <c r="AG297" s="1825"/>
      <c r="AH297" s="1825"/>
    </row>
    <row r="298" spans="1:34" s="584" customFormat="1">
      <c r="A298" s="597"/>
      <c r="D298" s="1771" t="s">
        <v>1796</v>
      </c>
      <c r="E298" s="1771"/>
      <c r="F298" s="1771"/>
      <c r="G298" s="1771"/>
      <c r="H298" s="1772">
        <f>'Notes- SK Template'!H299</f>
        <v>0</v>
      </c>
      <c r="I298" s="1772"/>
      <c r="J298" s="1772"/>
      <c r="K298" s="1773">
        <f>'Notes- SK Template'!K299</f>
        <v>0</v>
      </c>
      <c r="L298" s="1773"/>
      <c r="M298" s="1773"/>
      <c r="N298" s="1773">
        <f>'Notes- SK Template'!N299</f>
        <v>66885</v>
      </c>
      <c r="O298" s="1773"/>
      <c r="P298" s="1773"/>
      <c r="Q298" s="1773">
        <f>'Notes- SK Template'!Q299</f>
        <v>0</v>
      </c>
      <c r="R298" s="1773"/>
      <c r="S298" s="1773"/>
      <c r="T298" s="1773">
        <f>'Notes- SK Template'!T299</f>
        <v>0</v>
      </c>
      <c r="U298" s="1773"/>
      <c r="V298" s="1773"/>
      <c r="W298" s="1773">
        <f>'Notes- SK Template'!W299</f>
        <v>0</v>
      </c>
      <c r="X298" s="1773"/>
      <c r="Y298" s="1773"/>
      <c r="Z298" s="1773">
        <f>'Notes- SK Template'!Z299</f>
        <v>0</v>
      </c>
      <c r="AA298" s="1773"/>
      <c r="AB298" s="1773"/>
      <c r="AC298" s="1773">
        <f>'Notes- SK Template'!AC299</f>
        <v>0</v>
      </c>
      <c r="AD298" s="1773"/>
      <c r="AE298" s="1773"/>
      <c r="AF298" s="1825">
        <f>'Notes- SK Template'!AF299</f>
        <v>66885</v>
      </c>
      <c r="AG298" s="1825"/>
      <c r="AH298" s="1825"/>
    </row>
    <row r="299" spans="1:34" s="584" customFormat="1">
      <c r="A299" s="597"/>
      <c r="D299" s="2524" t="s">
        <v>1797</v>
      </c>
      <c r="E299" s="1771"/>
      <c r="F299" s="1771"/>
      <c r="G299" s="1771"/>
      <c r="H299" s="1772">
        <f>'Notes- SK Template'!H300</f>
        <v>0</v>
      </c>
      <c r="I299" s="1772"/>
      <c r="J299" s="1772"/>
      <c r="K299" s="1773">
        <f>'Notes- SK Template'!K300</f>
        <v>0</v>
      </c>
      <c r="L299" s="1773"/>
      <c r="M299" s="1773"/>
      <c r="N299" s="1773">
        <f>'Notes- SK Template'!N300</f>
        <v>0</v>
      </c>
      <c r="O299" s="1773"/>
      <c r="P299" s="1773"/>
      <c r="Q299" s="1773">
        <f>'Notes- SK Template'!Q300</f>
        <v>0</v>
      </c>
      <c r="R299" s="1773"/>
      <c r="S299" s="1773"/>
      <c r="T299" s="1773">
        <f>'Notes- SK Template'!T300</f>
        <v>0</v>
      </c>
      <c r="U299" s="1773"/>
      <c r="V299" s="1773"/>
      <c r="W299" s="1773">
        <f>'Notes- SK Template'!W300</f>
        <v>0</v>
      </c>
      <c r="X299" s="1773"/>
      <c r="Y299" s="1773"/>
      <c r="Z299" s="1773">
        <f>'Notes- SK Template'!Z300</f>
        <v>0</v>
      </c>
      <c r="AA299" s="1773"/>
      <c r="AB299" s="1773"/>
      <c r="AC299" s="1773">
        <f>'Notes- SK Template'!AC300</f>
        <v>0</v>
      </c>
      <c r="AD299" s="1773"/>
      <c r="AE299" s="1773"/>
      <c r="AF299" s="1825">
        <f>'Notes- SK Template'!AF300</f>
        <v>0</v>
      </c>
      <c r="AG299" s="1825"/>
      <c r="AH299" s="1825"/>
    </row>
    <row r="300" spans="1:34" s="584" customFormat="1" ht="22.5" customHeight="1" thickBot="1">
      <c r="A300" s="597"/>
      <c r="D300" s="1821" t="s">
        <v>1798</v>
      </c>
      <c r="E300" s="1821"/>
      <c r="F300" s="1821"/>
      <c r="G300" s="1821"/>
      <c r="H300" s="1760">
        <f>'Notes- SK Template'!H301</f>
        <v>0</v>
      </c>
      <c r="I300" s="1760"/>
      <c r="J300" s="1760"/>
      <c r="K300" s="1760">
        <f>'Notes- SK Template'!K301</f>
        <v>5947</v>
      </c>
      <c r="L300" s="1760"/>
      <c r="M300" s="1760"/>
      <c r="N300" s="1760">
        <f>'Notes- SK Template'!N301</f>
        <v>333398</v>
      </c>
      <c r="O300" s="1760"/>
      <c r="P300" s="1760"/>
      <c r="Q300" s="1760">
        <f>'Notes- SK Template'!Q301</f>
        <v>0</v>
      </c>
      <c r="R300" s="1760"/>
      <c r="S300" s="1760"/>
      <c r="T300" s="1760">
        <f>'Notes- SK Template'!T301</f>
        <v>0</v>
      </c>
      <c r="U300" s="1760"/>
      <c r="V300" s="1760"/>
      <c r="W300" s="1760">
        <f>'Notes- SK Template'!W301</f>
        <v>0</v>
      </c>
      <c r="X300" s="1760"/>
      <c r="Y300" s="1760"/>
      <c r="Z300" s="1760">
        <f>'Notes- SK Template'!Z301</f>
        <v>0</v>
      </c>
      <c r="AA300" s="1760"/>
      <c r="AB300" s="1760"/>
      <c r="AC300" s="1760">
        <f>'Notes- SK Template'!AC301</f>
        <v>0</v>
      </c>
      <c r="AD300" s="1760"/>
      <c r="AE300" s="1760"/>
      <c r="AF300" s="1760">
        <f>'Notes- SK Template'!AF301</f>
        <v>339345</v>
      </c>
      <c r="AG300" s="1760"/>
      <c r="AH300" s="1760"/>
    </row>
    <row r="301" spans="1:34" s="584" customFormat="1" ht="15.75" customHeight="1" thickBot="1">
      <c r="A301" s="597"/>
      <c r="D301" s="2617" t="s">
        <v>1800</v>
      </c>
      <c r="E301" s="1827"/>
      <c r="F301" s="1827"/>
      <c r="G301" s="1827"/>
      <c r="H301" s="1827"/>
      <c r="I301" s="1827"/>
      <c r="J301" s="1827"/>
      <c r="K301" s="1827"/>
      <c r="L301" s="1827"/>
      <c r="M301" s="1827"/>
      <c r="N301" s="1827"/>
      <c r="O301" s="1827"/>
      <c r="P301" s="1827"/>
      <c r="Q301" s="1827"/>
      <c r="R301" s="1827"/>
      <c r="S301" s="1827"/>
      <c r="T301" s="1827"/>
      <c r="U301" s="1827"/>
      <c r="V301" s="1827"/>
      <c r="W301" s="1827"/>
      <c r="X301" s="1827"/>
      <c r="Y301" s="1827"/>
      <c r="Z301" s="1827"/>
      <c r="AA301" s="1827"/>
      <c r="AB301" s="1827"/>
      <c r="AC301" s="1827"/>
      <c r="AD301" s="1827"/>
      <c r="AE301" s="1827"/>
      <c r="AF301" s="1827"/>
      <c r="AG301" s="1827"/>
      <c r="AH301" s="1828"/>
    </row>
    <row r="302" spans="1:34" s="584" customFormat="1" ht="22.5" customHeight="1">
      <c r="A302" s="597"/>
      <c r="D302" s="1868" t="s">
        <v>1794</v>
      </c>
      <c r="E302" s="1868"/>
      <c r="F302" s="1868"/>
      <c r="G302" s="1868"/>
      <c r="H302" s="1871">
        <f>'Notes- SK Template'!H303</f>
        <v>0</v>
      </c>
      <c r="I302" s="1871"/>
      <c r="J302" s="1871"/>
      <c r="K302" s="1837">
        <f>'Notes- SK Template'!K303</f>
        <v>0</v>
      </c>
      <c r="L302" s="1837"/>
      <c r="M302" s="1837"/>
      <c r="N302" s="1837">
        <f>'Notes- SK Template'!N303</f>
        <v>0</v>
      </c>
      <c r="O302" s="1837"/>
      <c r="P302" s="1837"/>
      <c r="Q302" s="1837">
        <f>'Notes- SK Template'!Q303</f>
        <v>0</v>
      </c>
      <c r="R302" s="1837"/>
      <c r="S302" s="1837"/>
      <c r="T302" s="1837">
        <f>'Notes- SK Template'!T303</f>
        <v>0</v>
      </c>
      <c r="U302" s="1837"/>
      <c r="V302" s="1837"/>
      <c r="W302" s="1837">
        <f>'Notes- SK Template'!W303</f>
        <v>0</v>
      </c>
      <c r="X302" s="1837"/>
      <c r="Y302" s="1837"/>
      <c r="Z302" s="1837">
        <f>'Notes- SK Template'!Z303</f>
        <v>0</v>
      </c>
      <c r="AA302" s="1837"/>
      <c r="AB302" s="1837"/>
      <c r="AC302" s="1837">
        <f>'Notes- SK Template'!AC303</f>
        <v>0</v>
      </c>
      <c r="AD302" s="1837"/>
      <c r="AE302" s="1837"/>
      <c r="AF302" s="1867">
        <f>'Notes- SK Template'!AF303</f>
        <v>0</v>
      </c>
      <c r="AG302" s="1867"/>
      <c r="AH302" s="1867"/>
    </row>
    <row r="303" spans="1:34" s="584" customFormat="1" ht="15" customHeight="1">
      <c r="A303" s="597"/>
      <c r="D303" s="1771" t="s">
        <v>1795</v>
      </c>
      <c r="E303" s="1771"/>
      <c r="F303" s="1771"/>
      <c r="G303" s="1771"/>
      <c r="H303" s="1772">
        <f>'Notes- SK Template'!H304</f>
        <v>0</v>
      </c>
      <c r="I303" s="1772"/>
      <c r="J303" s="1772"/>
      <c r="K303" s="1773">
        <f>'Notes- SK Template'!K304</f>
        <v>0</v>
      </c>
      <c r="L303" s="1773"/>
      <c r="M303" s="1773"/>
      <c r="N303" s="1773">
        <f>'Notes- SK Template'!N304</f>
        <v>0</v>
      </c>
      <c r="O303" s="1773"/>
      <c r="P303" s="1773"/>
      <c r="Q303" s="1773">
        <f>'Notes- SK Template'!Q304</f>
        <v>0</v>
      </c>
      <c r="R303" s="1773"/>
      <c r="S303" s="1773"/>
      <c r="T303" s="1773">
        <f>'Notes- SK Template'!T304</f>
        <v>0</v>
      </c>
      <c r="U303" s="1773"/>
      <c r="V303" s="1773"/>
      <c r="W303" s="1773">
        <f>'Notes- SK Template'!W304</f>
        <v>0</v>
      </c>
      <c r="X303" s="1773"/>
      <c r="Y303" s="1773"/>
      <c r="Z303" s="1773">
        <f>'Notes- SK Template'!Z304</f>
        <v>0</v>
      </c>
      <c r="AA303" s="1773"/>
      <c r="AB303" s="1773"/>
      <c r="AC303" s="1773">
        <f>'Notes- SK Template'!AC304</f>
        <v>0</v>
      </c>
      <c r="AD303" s="1773"/>
      <c r="AE303" s="1773"/>
      <c r="AF303" s="1825">
        <f>'Notes- SK Template'!AF304</f>
        <v>0</v>
      </c>
      <c r="AG303" s="1825"/>
      <c r="AH303" s="1825"/>
    </row>
    <row r="304" spans="1:34" s="584" customFormat="1" ht="15" customHeight="1">
      <c r="A304" s="597"/>
      <c r="D304" s="1771" t="s">
        <v>1796</v>
      </c>
      <c r="E304" s="1771"/>
      <c r="F304" s="1771"/>
      <c r="G304" s="1771"/>
      <c r="H304" s="1772">
        <f>'Notes- SK Template'!H305</f>
        <v>0</v>
      </c>
      <c r="I304" s="1772"/>
      <c r="J304" s="1772"/>
      <c r="K304" s="1773">
        <f>'Notes- SK Template'!K305</f>
        <v>0</v>
      </c>
      <c r="L304" s="1773"/>
      <c r="M304" s="1773"/>
      <c r="N304" s="1773">
        <f>'Notes- SK Template'!N305</f>
        <v>0</v>
      </c>
      <c r="O304" s="1773"/>
      <c r="P304" s="1773"/>
      <c r="Q304" s="1773">
        <f>'Notes- SK Template'!Q305</f>
        <v>0</v>
      </c>
      <c r="R304" s="1773"/>
      <c r="S304" s="1773"/>
      <c r="T304" s="1773">
        <f>'Notes- SK Template'!T305</f>
        <v>0</v>
      </c>
      <c r="U304" s="1773"/>
      <c r="V304" s="1773"/>
      <c r="W304" s="1773">
        <f>'Notes- SK Template'!W305</f>
        <v>0</v>
      </c>
      <c r="X304" s="1773"/>
      <c r="Y304" s="1773"/>
      <c r="Z304" s="1773">
        <f>'Notes- SK Template'!Z305</f>
        <v>0</v>
      </c>
      <c r="AA304" s="1773"/>
      <c r="AB304" s="1773"/>
      <c r="AC304" s="1773">
        <f>'Notes- SK Template'!AC305</f>
        <v>0</v>
      </c>
      <c r="AD304" s="1773"/>
      <c r="AE304" s="1773"/>
      <c r="AF304" s="1825">
        <f>'Notes- SK Template'!AF305</f>
        <v>0</v>
      </c>
      <c r="AG304" s="1825"/>
      <c r="AH304" s="1825"/>
    </row>
    <row r="305" spans="1:34" s="584" customFormat="1">
      <c r="A305" s="597"/>
      <c r="D305" s="2524" t="s">
        <v>1797</v>
      </c>
      <c r="E305" s="1771"/>
      <c r="F305" s="1771"/>
      <c r="G305" s="1771"/>
      <c r="H305" s="1772">
        <f>'Notes- SK Template'!H306</f>
        <v>0</v>
      </c>
      <c r="I305" s="1772"/>
      <c r="J305" s="1772"/>
      <c r="K305" s="1773">
        <f>'Notes- SK Template'!K306</f>
        <v>0</v>
      </c>
      <c r="L305" s="1773"/>
      <c r="M305" s="1773"/>
      <c r="N305" s="1773">
        <f>'Notes- SK Template'!N306</f>
        <v>0</v>
      </c>
      <c r="O305" s="1773"/>
      <c r="P305" s="1773"/>
      <c r="Q305" s="1773">
        <f>'Notes- SK Template'!Q306</f>
        <v>0</v>
      </c>
      <c r="R305" s="1773"/>
      <c r="S305" s="1773"/>
      <c r="T305" s="1773">
        <f>'Notes- SK Template'!T306</f>
        <v>0</v>
      </c>
      <c r="U305" s="1773"/>
      <c r="V305" s="1773"/>
      <c r="W305" s="1773">
        <f>'Notes- SK Template'!W306</f>
        <v>0</v>
      </c>
      <c r="X305" s="1773"/>
      <c r="Y305" s="1773"/>
      <c r="Z305" s="1773">
        <f>'Notes- SK Template'!Z306</f>
        <v>0</v>
      </c>
      <c r="AA305" s="1773"/>
      <c r="AB305" s="1773"/>
      <c r="AC305" s="1773">
        <f>'Notes- SK Template'!AC306</f>
        <v>0</v>
      </c>
      <c r="AD305" s="1773"/>
      <c r="AE305" s="1773"/>
      <c r="AF305" s="1825">
        <f>'Notes- SK Template'!AF306</f>
        <v>0</v>
      </c>
      <c r="AG305" s="1825"/>
      <c r="AH305" s="1825"/>
    </row>
    <row r="306" spans="1:34" s="584" customFormat="1" ht="22.5" customHeight="1" thickBot="1">
      <c r="A306" s="597"/>
      <c r="D306" s="1821" t="s">
        <v>1798</v>
      </c>
      <c r="E306" s="1821"/>
      <c r="F306" s="1821"/>
      <c r="G306" s="1821"/>
      <c r="H306" s="1760">
        <f>'Notes- SK Template'!H307</f>
        <v>0</v>
      </c>
      <c r="I306" s="1760"/>
      <c r="J306" s="1760"/>
      <c r="K306" s="1760">
        <f>'Notes- SK Template'!K307</f>
        <v>0</v>
      </c>
      <c r="L306" s="1760"/>
      <c r="M306" s="1760"/>
      <c r="N306" s="1760">
        <f>'Notes- SK Template'!N307</f>
        <v>0</v>
      </c>
      <c r="O306" s="1760"/>
      <c r="P306" s="1760"/>
      <c r="Q306" s="1760">
        <f>'Notes- SK Template'!Q307</f>
        <v>0</v>
      </c>
      <c r="R306" s="1760"/>
      <c r="S306" s="1760"/>
      <c r="T306" s="1760">
        <f>'Notes- SK Template'!T307</f>
        <v>0</v>
      </c>
      <c r="U306" s="1760"/>
      <c r="V306" s="1760"/>
      <c r="W306" s="1760">
        <f>'Notes- SK Template'!W307</f>
        <v>0</v>
      </c>
      <c r="X306" s="1760"/>
      <c r="Y306" s="1760"/>
      <c r="Z306" s="1760">
        <f>'Notes- SK Template'!Z307</f>
        <v>0</v>
      </c>
      <c r="AA306" s="1760"/>
      <c r="AB306" s="1760"/>
      <c r="AC306" s="1760">
        <f>'Notes- SK Template'!AC307</f>
        <v>0</v>
      </c>
      <c r="AD306" s="1760"/>
      <c r="AE306" s="1760"/>
      <c r="AF306" s="1760">
        <f>'Notes- SK Template'!AF307</f>
        <v>0</v>
      </c>
      <c r="AG306" s="1760"/>
      <c r="AH306" s="1760"/>
    </row>
    <row r="307" spans="1:34" s="584" customFormat="1" ht="15.75" customHeight="1" thickBot="1">
      <c r="A307" s="597"/>
      <c r="D307" s="2617" t="s">
        <v>1801</v>
      </c>
      <c r="E307" s="1827"/>
      <c r="F307" s="1827"/>
      <c r="G307" s="1827"/>
      <c r="H307" s="1827"/>
      <c r="I307" s="1827"/>
      <c r="J307" s="1827"/>
      <c r="K307" s="1827"/>
      <c r="L307" s="1827"/>
      <c r="M307" s="1827"/>
      <c r="N307" s="1827"/>
      <c r="O307" s="1827"/>
      <c r="P307" s="1827"/>
      <c r="Q307" s="1827"/>
      <c r="R307" s="1827"/>
      <c r="S307" s="1827"/>
      <c r="T307" s="1827"/>
      <c r="U307" s="1827"/>
      <c r="V307" s="1827"/>
      <c r="W307" s="1827"/>
      <c r="X307" s="1827"/>
      <c r="Y307" s="1827"/>
      <c r="Z307" s="1827"/>
      <c r="AA307" s="1827"/>
      <c r="AB307" s="1827"/>
      <c r="AC307" s="1827"/>
      <c r="AD307" s="1827"/>
      <c r="AE307" s="1827"/>
      <c r="AF307" s="1827"/>
      <c r="AG307" s="1827"/>
      <c r="AH307" s="1828"/>
    </row>
    <row r="308" spans="1:34" s="584" customFormat="1" ht="22.5" customHeight="1">
      <c r="A308" s="597"/>
      <c r="D308" s="1832" t="s">
        <v>1794</v>
      </c>
      <c r="E308" s="1832"/>
      <c r="F308" s="1832"/>
      <c r="G308" s="1832"/>
      <c r="H308" s="1789">
        <f>'Notes- SK Template'!H309</f>
        <v>0</v>
      </c>
      <c r="I308" s="1789"/>
      <c r="J308" s="1789"/>
      <c r="K308" s="1789">
        <f>'Notes- SK Template'!K309</f>
        <v>0</v>
      </c>
      <c r="L308" s="1789"/>
      <c r="M308" s="1789"/>
      <c r="N308" s="1789">
        <f>'Notes- SK Template'!N309</f>
        <v>182159</v>
      </c>
      <c r="O308" s="1789"/>
      <c r="P308" s="1789"/>
      <c r="Q308" s="1789">
        <f>'Notes- SK Template'!Q309</f>
        <v>0</v>
      </c>
      <c r="R308" s="1789"/>
      <c r="S308" s="1789"/>
      <c r="T308" s="1789">
        <f>'Notes- SK Template'!T309</f>
        <v>0</v>
      </c>
      <c r="U308" s="1789"/>
      <c r="V308" s="1789"/>
      <c r="W308" s="1789">
        <f>'Notes- SK Template'!W309</f>
        <v>0</v>
      </c>
      <c r="X308" s="1789"/>
      <c r="Y308" s="1789"/>
      <c r="Z308" s="1789">
        <f>'Notes- SK Template'!Z309</f>
        <v>0</v>
      </c>
      <c r="AA308" s="1789"/>
      <c r="AB308" s="1789"/>
      <c r="AC308" s="1789">
        <f>'Notes- SK Template'!AC309</f>
        <v>0</v>
      </c>
      <c r="AD308" s="1789"/>
      <c r="AE308" s="1789"/>
      <c r="AF308" s="1789">
        <f>'Notes- SK Template'!AF309</f>
        <v>182159</v>
      </c>
      <c r="AG308" s="1789"/>
      <c r="AH308" s="1789"/>
    </row>
    <row r="309" spans="1:34" s="584" customFormat="1" ht="22.5" customHeight="1" thickBot="1">
      <c r="A309" s="597"/>
      <c r="D309" s="1821" t="s">
        <v>1798</v>
      </c>
      <c r="E309" s="1821"/>
      <c r="F309" s="1821"/>
      <c r="G309" s="1821"/>
      <c r="H309" s="1760">
        <f>'Notes- SK Template'!H310</f>
        <v>0</v>
      </c>
      <c r="I309" s="1760"/>
      <c r="J309" s="1760"/>
      <c r="K309" s="1760">
        <f>'Notes- SK Template'!K310</f>
        <v>358240</v>
      </c>
      <c r="L309" s="1760"/>
      <c r="M309" s="1760"/>
      <c r="N309" s="1760">
        <f>'Notes- SK Template'!N310</f>
        <v>147616</v>
      </c>
      <c r="O309" s="1760"/>
      <c r="P309" s="1760"/>
      <c r="Q309" s="1760">
        <f>'Notes- SK Template'!Q310</f>
        <v>0</v>
      </c>
      <c r="R309" s="1760"/>
      <c r="S309" s="1760"/>
      <c r="T309" s="1760">
        <f>'Notes- SK Template'!T310</f>
        <v>0</v>
      </c>
      <c r="U309" s="1760"/>
      <c r="V309" s="1760"/>
      <c r="W309" s="1760">
        <f>'Notes- SK Template'!W310</f>
        <v>0</v>
      </c>
      <c r="X309" s="1760"/>
      <c r="Y309" s="1760"/>
      <c r="Z309" s="1760">
        <f>'Notes- SK Template'!Z310</f>
        <v>0</v>
      </c>
      <c r="AA309" s="1760"/>
      <c r="AB309" s="1760"/>
      <c r="AC309" s="1760">
        <f>'Notes- SK Template'!AC310</f>
        <v>0</v>
      </c>
      <c r="AD309" s="1760"/>
      <c r="AE309" s="1760"/>
      <c r="AF309" s="1760">
        <f>'Notes- SK Template'!AF310</f>
        <v>505856</v>
      </c>
      <c r="AG309" s="1760"/>
      <c r="AH309" s="1760"/>
    </row>
    <row r="310" spans="1:34" s="584" customFormat="1">
      <c r="A310" s="597"/>
      <c r="D310" s="910"/>
      <c r="E310" s="909"/>
      <c r="F310" s="909"/>
      <c r="G310" s="909"/>
      <c r="H310" s="909"/>
      <c r="I310" s="909"/>
      <c r="J310" s="909"/>
      <c r="K310" s="909"/>
      <c r="L310" s="909"/>
      <c r="M310" s="909"/>
      <c r="N310" s="909"/>
      <c r="O310" s="909"/>
      <c r="P310" s="909"/>
      <c r="Q310" s="909"/>
      <c r="R310" s="909"/>
      <c r="S310" s="909"/>
      <c r="T310" s="909"/>
      <c r="U310" s="909"/>
      <c r="V310" s="909"/>
      <c r="W310" s="909"/>
      <c r="X310" s="909"/>
      <c r="Y310" s="909"/>
      <c r="Z310" s="909"/>
      <c r="AA310" s="909"/>
      <c r="AB310" s="909"/>
      <c r="AC310" s="909"/>
      <c r="AD310" s="909"/>
      <c r="AE310" s="909"/>
      <c r="AF310" s="909"/>
      <c r="AG310" s="909"/>
    </row>
    <row r="311" spans="1:34" s="584" customFormat="1" ht="15" thickBot="1">
      <c r="A311" s="597"/>
      <c r="D311" s="910"/>
      <c r="E311" s="909"/>
      <c r="F311" s="909"/>
      <c r="G311" s="909"/>
      <c r="H311" s="909"/>
      <c r="I311" s="909"/>
      <c r="J311" s="909"/>
      <c r="K311" s="909"/>
      <c r="L311" s="909"/>
      <c r="M311" s="909"/>
      <c r="N311" s="909"/>
      <c r="O311" s="909"/>
      <c r="P311" s="909"/>
      <c r="Q311" s="909"/>
      <c r="R311" s="909"/>
      <c r="S311" s="909"/>
      <c r="T311" s="909"/>
      <c r="U311" s="909"/>
      <c r="V311" s="909"/>
      <c r="W311" s="909"/>
      <c r="X311" s="909"/>
      <c r="Y311" s="909"/>
      <c r="Z311" s="909"/>
      <c r="AA311" s="909"/>
      <c r="AB311" s="909"/>
      <c r="AC311" s="909"/>
      <c r="AD311" s="909"/>
      <c r="AE311" s="909"/>
      <c r="AF311" s="909"/>
      <c r="AG311" s="909"/>
    </row>
    <row r="312" spans="1:34" s="584" customFormat="1" ht="15" customHeight="1" thickBot="1">
      <c r="A312" s="597" t="s">
        <v>1408</v>
      </c>
      <c r="D312" s="1799" t="s">
        <v>1813</v>
      </c>
      <c r="E312" s="1800"/>
      <c r="F312" s="1800"/>
      <c r="G312" s="1803"/>
      <c r="H312" s="1859" t="s">
        <v>1802</v>
      </c>
      <c r="I312" s="1859"/>
      <c r="J312" s="1859"/>
      <c r="K312" s="1859"/>
      <c r="L312" s="1859"/>
      <c r="M312" s="1859"/>
      <c r="N312" s="1859"/>
      <c r="O312" s="1859"/>
      <c r="P312" s="1859"/>
      <c r="Q312" s="1859"/>
      <c r="R312" s="1859"/>
      <c r="S312" s="1859"/>
      <c r="T312" s="1859"/>
      <c r="U312" s="1859"/>
      <c r="V312" s="1859"/>
      <c r="W312" s="1859"/>
      <c r="X312" s="1859"/>
      <c r="Y312" s="1859"/>
      <c r="Z312" s="1859"/>
      <c r="AA312" s="1859"/>
      <c r="AB312" s="1859"/>
      <c r="AC312" s="1859"/>
      <c r="AD312" s="1859"/>
      <c r="AE312" s="1859"/>
      <c r="AF312" s="1859"/>
      <c r="AG312" s="1859"/>
      <c r="AH312" s="1859"/>
    </row>
    <row r="313" spans="1:34" s="584" customFormat="1" ht="55.5" customHeight="1" thickBot="1">
      <c r="A313" s="597"/>
      <c r="D313" s="1801"/>
      <c r="E313" s="1802"/>
      <c r="F313" s="1802"/>
      <c r="G313" s="1804"/>
      <c r="H313" s="1838" t="s">
        <v>1806</v>
      </c>
      <c r="I313" s="1838"/>
      <c r="J313" s="1838"/>
      <c r="K313" s="1838" t="s">
        <v>1769</v>
      </c>
      <c r="L313" s="1838"/>
      <c r="M313" s="1838"/>
      <c r="N313" s="1838" t="s">
        <v>1807</v>
      </c>
      <c r="O313" s="1838"/>
      <c r="P313" s="1838"/>
      <c r="Q313" s="1838" t="s">
        <v>1808</v>
      </c>
      <c r="R313" s="1838"/>
      <c r="S313" s="1838"/>
      <c r="T313" s="1838" t="s">
        <v>1809</v>
      </c>
      <c r="U313" s="1838"/>
      <c r="V313" s="1838"/>
      <c r="W313" s="1838" t="s">
        <v>1810</v>
      </c>
      <c r="X313" s="1838"/>
      <c r="Y313" s="1838"/>
      <c r="Z313" s="1838" t="s">
        <v>1811</v>
      </c>
      <c r="AA313" s="1838"/>
      <c r="AB313" s="1838"/>
      <c r="AC313" s="1838" t="s">
        <v>1812</v>
      </c>
      <c r="AD313" s="1838"/>
      <c r="AE313" s="1838"/>
      <c r="AF313" s="1838" t="s">
        <v>1752</v>
      </c>
      <c r="AG313" s="1838"/>
      <c r="AH313" s="1838"/>
    </row>
    <row r="314" spans="1:34" s="584" customFormat="1" ht="15" thickBot="1">
      <c r="A314" s="597"/>
      <c r="D314" s="1826" t="s">
        <v>1793</v>
      </c>
      <c r="E314" s="1827"/>
      <c r="F314" s="1827"/>
      <c r="G314" s="1827"/>
      <c r="H314" s="1827"/>
      <c r="I314" s="1827"/>
      <c r="J314" s="1827"/>
      <c r="K314" s="1827"/>
      <c r="L314" s="1827"/>
      <c r="M314" s="1827"/>
      <c r="N314" s="1827"/>
      <c r="O314" s="1827"/>
      <c r="P314" s="1827"/>
      <c r="Q314" s="1827"/>
      <c r="R314" s="1827"/>
      <c r="S314" s="1827"/>
      <c r="T314" s="1827"/>
      <c r="U314" s="1827"/>
      <c r="V314" s="1827"/>
      <c r="W314" s="1827"/>
      <c r="X314" s="1827"/>
      <c r="Y314" s="1827"/>
      <c r="Z314" s="1827"/>
      <c r="AA314" s="1827"/>
      <c r="AB314" s="1827"/>
      <c r="AC314" s="1827"/>
      <c r="AD314" s="1827"/>
      <c r="AE314" s="1827"/>
      <c r="AF314" s="1827"/>
      <c r="AG314" s="1827"/>
      <c r="AH314" s="1828"/>
    </row>
    <row r="315" spans="1:34" s="584" customFormat="1" ht="22.5" customHeight="1">
      <c r="A315" s="597"/>
      <c r="D315" s="1868" t="s">
        <v>1794</v>
      </c>
      <c r="E315" s="1868"/>
      <c r="F315" s="1868"/>
      <c r="G315" s="1868"/>
      <c r="H315" s="1871">
        <f>'Notes- SK Template'!H316</f>
        <v>0</v>
      </c>
      <c r="I315" s="1871"/>
      <c r="J315" s="1871"/>
      <c r="K315" s="1837">
        <f>'Notes- SK Template'!K316</f>
        <v>0</v>
      </c>
      <c r="L315" s="1837"/>
      <c r="M315" s="1837"/>
      <c r="N315" s="1837">
        <f>'Notes- SK Template'!N316</f>
        <v>432854</v>
      </c>
      <c r="O315" s="1837"/>
      <c r="P315" s="1837"/>
      <c r="Q315" s="1837">
        <f>'Notes- SK Template'!Q316</f>
        <v>0</v>
      </c>
      <c r="R315" s="1837"/>
      <c r="S315" s="1837"/>
      <c r="T315" s="1837">
        <f>'Notes- SK Template'!T316</f>
        <v>0</v>
      </c>
      <c r="U315" s="1837"/>
      <c r="V315" s="1837"/>
      <c r="W315" s="1837">
        <f>'Notes- SK Template'!W316</f>
        <v>0</v>
      </c>
      <c r="X315" s="1837"/>
      <c r="Y315" s="1837"/>
      <c r="Z315" s="1837">
        <f>'Notes- SK Template'!Z316</f>
        <v>0</v>
      </c>
      <c r="AA315" s="1837"/>
      <c r="AB315" s="1837"/>
      <c r="AC315" s="1837">
        <f>'Notes- SK Template'!AC316</f>
        <v>0</v>
      </c>
      <c r="AD315" s="1837"/>
      <c r="AE315" s="1837"/>
      <c r="AF315" s="1867">
        <f>'Notes- SK Template'!AF316</f>
        <v>432854</v>
      </c>
      <c r="AG315" s="1867"/>
      <c r="AH315" s="1867"/>
    </row>
    <row r="316" spans="1:34" s="584" customFormat="1">
      <c r="A316" s="597"/>
      <c r="D316" s="2524" t="s">
        <v>1795</v>
      </c>
      <c r="E316" s="1771"/>
      <c r="F316" s="1771"/>
      <c r="G316" s="1771"/>
      <c r="H316" s="1772">
        <f>'Notes- SK Template'!H317</f>
        <v>0</v>
      </c>
      <c r="I316" s="1772"/>
      <c r="J316" s="1772"/>
      <c r="K316" s="1773">
        <f>'Notes- SK Template'!K317</f>
        <v>0</v>
      </c>
      <c r="L316" s="1773"/>
      <c r="M316" s="1773"/>
      <c r="N316" s="1773">
        <f>'Notes- SK Template'!N317</f>
        <v>0</v>
      </c>
      <c r="O316" s="1773"/>
      <c r="P316" s="1773"/>
      <c r="Q316" s="1773">
        <f>'Notes- SK Template'!Q317</f>
        <v>0</v>
      </c>
      <c r="R316" s="1773"/>
      <c r="S316" s="1773"/>
      <c r="T316" s="1773">
        <f>'Notes- SK Template'!T317</f>
        <v>0</v>
      </c>
      <c r="U316" s="1773"/>
      <c r="V316" s="1773"/>
      <c r="W316" s="1773">
        <f>'Notes- SK Template'!W317</f>
        <v>0</v>
      </c>
      <c r="X316" s="1773"/>
      <c r="Y316" s="1773"/>
      <c r="Z316" s="1773">
        <f>'Notes- SK Template'!Z317</f>
        <v>73021</v>
      </c>
      <c r="AA316" s="1773"/>
      <c r="AB316" s="1773"/>
      <c r="AC316" s="1773">
        <f>'Notes- SK Template'!AC317</f>
        <v>0</v>
      </c>
      <c r="AD316" s="1773"/>
      <c r="AE316" s="1773"/>
      <c r="AF316" s="1825">
        <f>'Notes- SK Template'!AF317</f>
        <v>73021</v>
      </c>
      <c r="AG316" s="1825"/>
      <c r="AH316" s="1825"/>
    </row>
    <row r="317" spans="1:34" s="584" customFormat="1">
      <c r="A317" s="597"/>
      <c r="D317" s="2524" t="s">
        <v>1796</v>
      </c>
      <c r="E317" s="1771"/>
      <c r="F317" s="1771"/>
      <c r="G317" s="1771"/>
      <c r="H317" s="1772">
        <f>'Notes- SK Template'!H318</f>
        <v>0</v>
      </c>
      <c r="I317" s="1772"/>
      <c r="J317" s="1772"/>
      <c r="K317" s="1773">
        <f>'Notes- SK Template'!K318</f>
        <v>0</v>
      </c>
      <c r="L317" s="1773"/>
      <c r="M317" s="1773"/>
      <c r="N317" s="1773">
        <f>'Notes- SK Template'!N318</f>
        <v>0</v>
      </c>
      <c r="O317" s="1773"/>
      <c r="P317" s="1773"/>
      <c r="Q317" s="1773">
        <f>'Notes- SK Template'!Q318</f>
        <v>0</v>
      </c>
      <c r="R317" s="1773"/>
      <c r="S317" s="1773"/>
      <c r="T317" s="1773">
        <f>'Notes- SK Template'!T318</f>
        <v>0</v>
      </c>
      <c r="U317" s="1773"/>
      <c r="V317" s="1773"/>
      <c r="W317" s="1773">
        <f>'Notes- SK Template'!W318</f>
        <v>0</v>
      </c>
      <c r="X317" s="1773"/>
      <c r="Y317" s="1773"/>
      <c r="Z317" s="1773">
        <f>'Notes- SK Template'!Z318</f>
        <v>0</v>
      </c>
      <c r="AA317" s="1773"/>
      <c r="AB317" s="1773"/>
      <c r="AC317" s="1773">
        <f>'Notes- SK Template'!AC318</f>
        <v>0</v>
      </c>
      <c r="AD317" s="1773"/>
      <c r="AE317" s="1773"/>
      <c r="AF317" s="1825">
        <f>'Notes- SK Template'!AF318</f>
        <v>0</v>
      </c>
      <c r="AG317" s="1825"/>
      <c r="AH317" s="1825"/>
    </row>
    <row r="318" spans="1:34" s="584" customFormat="1">
      <c r="A318" s="597"/>
      <c r="D318" s="2524" t="s">
        <v>1797</v>
      </c>
      <c r="E318" s="1771"/>
      <c r="F318" s="1771"/>
      <c r="G318" s="1771"/>
      <c r="H318" s="1772">
        <f>'Notes- SK Template'!H319</f>
        <v>0</v>
      </c>
      <c r="I318" s="1772"/>
      <c r="J318" s="1772"/>
      <c r="K318" s="1773">
        <f>'Notes- SK Template'!K319</f>
        <v>0</v>
      </c>
      <c r="L318" s="1773"/>
      <c r="M318" s="1773"/>
      <c r="N318" s="1773">
        <f>'Notes- SK Template'!N319</f>
        <v>73021</v>
      </c>
      <c r="O318" s="1773"/>
      <c r="P318" s="1773"/>
      <c r="Q318" s="1773">
        <f>'Notes- SK Template'!Q319</f>
        <v>0</v>
      </c>
      <c r="R318" s="1773"/>
      <c r="S318" s="1773"/>
      <c r="T318" s="1773">
        <f>'Notes- SK Template'!T319</f>
        <v>0</v>
      </c>
      <c r="U318" s="1773"/>
      <c r="V318" s="1773"/>
      <c r="W318" s="1773">
        <f>'Notes- SK Template'!W319</f>
        <v>0</v>
      </c>
      <c r="X318" s="1773"/>
      <c r="Y318" s="1773"/>
      <c r="Z318" s="1773">
        <f>'Notes- SK Template'!Z319</f>
        <v>-73021</v>
      </c>
      <c r="AA318" s="1773"/>
      <c r="AB318" s="1773"/>
      <c r="AC318" s="1773">
        <f>'Notes- SK Template'!AC319</f>
        <v>0</v>
      </c>
      <c r="AD318" s="1773"/>
      <c r="AE318" s="1773"/>
      <c r="AF318" s="1825">
        <f>'Notes- SK Template'!AF319</f>
        <v>0</v>
      </c>
      <c r="AG318" s="1825"/>
      <c r="AH318" s="1825"/>
    </row>
    <row r="319" spans="1:34" s="584" customFormat="1" ht="22.5" customHeight="1" thickBot="1">
      <c r="A319" s="597"/>
      <c r="D319" s="1821" t="s">
        <v>1798</v>
      </c>
      <c r="E319" s="1821"/>
      <c r="F319" s="1821"/>
      <c r="G319" s="1821"/>
      <c r="H319" s="1760">
        <f>'Notes- SK Template'!H320</f>
        <v>0</v>
      </c>
      <c r="I319" s="1760"/>
      <c r="J319" s="1760"/>
      <c r="K319" s="1760">
        <f>'Notes- SK Template'!K320</f>
        <v>0</v>
      </c>
      <c r="L319" s="1760"/>
      <c r="M319" s="1760"/>
      <c r="N319" s="1760">
        <f>'Notes- SK Template'!N320</f>
        <v>505875</v>
      </c>
      <c r="O319" s="1760"/>
      <c r="P319" s="1760"/>
      <c r="Q319" s="1760">
        <f>'Notes- SK Template'!Q320</f>
        <v>0</v>
      </c>
      <c r="R319" s="1760"/>
      <c r="S319" s="1760"/>
      <c r="T319" s="1760">
        <f>'Notes- SK Template'!T320</f>
        <v>0</v>
      </c>
      <c r="U319" s="1760"/>
      <c r="V319" s="1760"/>
      <c r="W319" s="1760">
        <f>'Notes- SK Template'!W320</f>
        <v>0</v>
      </c>
      <c r="X319" s="1760"/>
      <c r="Y319" s="1760"/>
      <c r="Z319" s="1760">
        <f>'Notes- SK Template'!Z320</f>
        <v>0</v>
      </c>
      <c r="AA319" s="1760"/>
      <c r="AB319" s="1760"/>
      <c r="AC319" s="1760">
        <f>'Notes- SK Template'!AC320</f>
        <v>0</v>
      </c>
      <c r="AD319" s="1760"/>
      <c r="AE319" s="1760"/>
      <c r="AF319" s="1760">
        <f>'Notes- SK Template'!AF320</f>
        <v>505875</v>
      </c>
      <c r="AG319" s="1760"/>
      <c r="AH319" s="1760"/>
    </row>
    <row r="320" spans="1:34" s="584" customFormat="1" ht="15" thickBot="1">
      <c r="A320" s="597"/>
      <c r="D320" s="2617" t="s">
        <v>1799</v>
      </c>
      <c r="E320" s="1827"/>
      <c r="F320" s="1827"/>
      <c r="G320" s="1827"/>
      <c r="H320" s="1827"/>
      <c r="I320" s="1827"/>
      <c r="J320" s="1827"/>
      <c r="K320" s="1827"/>
      <c r="L320" s="1827"/>
      <c r="M320" s="1827"/>
      <c r="N320" s="1827"/>
      <c r="O320" s="1827"/>
      <c r="P320" s="1827"/>
      <c r="Q320" s="1827"/>
      <c r="R320" s="1827"/>
      <c r="S320" s="1827"/>
      <c r="T320" s="1827"/>
      <c r="U320" s="1827"/>
      <c r="V320" s="1827"/>
      <c r="W320" s="1827"/>
      <c r="X320" s="1827"/>
      <c r="Y320" s="1827"/>
      <c r="Z320" s="1827"/>
      <c r="AA320" s="1827"/>
      <c r="AB320" s="1827"/>
      <c r="AC320" s="1827"/>
      <c r="AD320" s="1827"/>
      <c r="AE320" s="1827"/>
      <c r="AF320" s="1827"/>
      <c r="AG320" s="1827"/>
      <c r="AH320" s="1828"/>
    </row>
    <row r="321" spans="1:34" s="584" customFormat="1" ht="22.5" customHeight="1">
      <c r="A321" s="597"/>
      <c r="D321" s="1868" t="s">
        <v>1794</v>
      </c>
      <c r="E321" s="1868"/>
      <c r="F321" s="1868"/>
      <c r="G321" s="1868"/>
      <c r="H321" s="1871">
        <f>'Notes- SK Template'!H322</f>
        <v>0</v>
      </c>
      <c r="I321" s="1871"/>
      <c r="J321" s="1871"/>
      <c r="K321" s="1837">
        <f>'Notes- SK Template'!K322</f>
        <v>0</v>
      </c>
      <c r="L321" s="1837"/>
      <c r="M321" s="1837"/>
      <c r="N321" s="1837">
        <f>'Notes- SK Template'!N322</f>
        <v>244284</v>
      </c>
      <c r="O321" s="1837"/>
      <c r="P321" s="1837"/>
      <c r="Q321" s="1837">
        <f>'Notes- SK Template'!Q322</f>
        <v>0</v>
      </c>
      <c r="R321" s="1837"/>
      <c r="S321" s="1837"/>
      <c r="T321" s="1837">
        <f>'Notes- SK Template'!T322</f>
        <v>0</v>
      </c>
      <c r="U321" s="1837"/>
      <c r="V321" s="1837"/>
      <c r="W321" s="1837">
        <f>'Notes- SK Template'!W322</f>
        <v>0</v>
      </c>
      <c r="X321" s="1837"/>
      <c r="Y321" s="1837"/>
      <c r="Z321" s="1837">
        <f>'Notes- SK Template'!Z322</f>
        <v>0</v>
      </c>
      <c r="AA321" s="1837"/>
      <c r="AB321" s="1837"/>
      <c r="AC321" s="1837">
        <f>'Notes- SK Template'!AC322</f>
        <v>0</v>
      </c>
      <c r="AD321" s="1837"/>
      <c r="AE321" s="1837"/>
      <c r="AF321" s="1867">
        <f>'Notes- SK Template'!AF322</f>
        <v>244284</v>
      </c>
      <c r="AG321" s="1867"/>
      <c r="AH321" s="1867"/>
    </row>
    <row r="322" spans="1:34" s="584" customFormat="1">
      <c r="A322" s="597"/>
      <c r="D322" s="1771" t="s">
        <v>1795</v>
      </c>
      <c r="E322" s="1771"/>
      <c r="F322" s="1771"/>
      <c r="G322" s="1771"/>
      <c r="H322" s="1772">
        <f>'Notes- SK Template'!H323</f>
        <v>0</v>
      </c>
      <c r="I322" s="1772"/>
      <c r="J322" s="1772"/>
      <c r="K322" s="1773">
        <f>'Notes- SK Template'!K323</f>
        <v>0</v>
      </c>
      <c r="L322" s="1773"/>
      <c r="M322" s="1773"/>
      <c r="N322" s="1773">
        <f>'Notes- SK Template'!N323</f>
        <v>79432</v>
      </c>
      <c r="O322" s="1773"/>
      <c r="P322" s="1773"/>
      <c r="Q322" s="1773">
        <f>'Notes- SK Template'!Q323</f>
        <v>0</v>
      </c>
      <c r="R322" s="1773"/>
      <c r="S322" s="1773"/>
      <c r="T322" s="1773">
        <f>'Notes- SK Template'!T323</f>
        <v>0</v>
      </c>
      <c r="U322" s="1773"/>
      <c r="V322" s="1773"/>
      <c r="W322" s="1773">
        <f>'Notes- SK Template'!W323</f>
        <v>0</v>
      </c>
      <c r="X322" s="1773"/>
      <c r="Y322" s="1773"/>
      <c r="Z322" s="1773">
        <f>'Notes- SK Template'!Z323</f>
        <v>0</v>
      </c>
      <c r="AA322" s="1773"/>
      <c r="AB322" s="1773"/>
      <c r="AC322" s="1773">
        <f>'Notes- SK Template'!AC323</f>
        <v>0</v>
      </c>
      <c r="AD322" s="1773"/>
      <c r="AE322" s="1773"/>
      <c r="AF322" s="1825">
        <f>'Notes- SK Template'!AF323</f>
        <v>79432</v>
      </c>
      <c r="AG322" s="1825"/>
      <c r="AH322" s="1825"/>
    </row>
    <row r="323" spans="1:34" s="584" customFormat="1">
      <c r="A323" s="597"/>
      <c r="D323" s="1771" t="s">
        <v>1796</v>
      </c>
      <c r="E323" s="1771"/>
      <c r="F323" s="1771"/>
      <c r="G323" s="1771"/>
      <c r="H323" s="1772">
        <f>'Notes- SK Template'!H324</f>
        <v>0</v>
      </c>
      <c r="I323" s="1772"/>
      <c r="J323" s="1772"/>
      <c r="K323" s="1773">
        <f>'Notes- SK Template'!K324</f>
        <v>0</v>
      </c>
      <c r="L323" s="1773"/>
      <c r="M323" s="1773"/>
      <c r="N323" s="1773">
        <f>'Notes- SK Template'!N324</f>
        <v>0</v>
      </c>
      <c r="O323" s="1773"/>
      <c r="P323" s="1773"/>
      <c r="Q323" s="1773">
        <f>'Notes- SK Template'!Q324</f>
        <v>0</v>
      </c>
      <c r="R323" s="1773"/>
      <c r="S323" s="1773"/>
      <c r="T323" s="1773">
        <f>'Notes- SK Template'!T324</f>
        <v>0</v>
      </c>
      <c r="U323" s="1773"/>
      <c r="V323" s="1773"/>
      <c r="W323" s="1773">
        <f>'Notes- SK Template'!W324</f>
        <v>0</v>
      </c>
      <c r="X323" s="1773"/>
      <c r="Y323" s="1773"/>
      <c r="Z323" s="1773">
        <f>'Notes- SK Template'!Z324</f>
        <v>0</v>
      </c>
      <c r="AA323" s="1773"/>
      <c r="AB323" s="1773"/>
      <c r="AC323" s="1773">
        <f>'Notes- SK Template'!AC324</f>
        <v>0</v>
      </c>
      <c r="AD323" s="1773"/>
      <c r="AE323" s="1773"/>
      <c r="AF323" s="1825">
        <f>'Notes- SK Template'!AF324</f>
        <v>0</v>
      </c>
      <c r="AG323" s="1825"/>
      <c r="AH323" s="1825"/>
    </row>
    <row r="324" spans="1:34" s="584" customFormat="1">
      <c r="A324" s="597"/>
      <c r="D324" s="2524" t="s">
        <v>1797</v>
      </c>
      <c r="E324" s="1771"/>
      <c r="F324" s="1771"/>
      <c r="G324" s="1771"/>
      <c r="H324" s="1772">
        <f>'Notes- SK Template'!H325</f>
        <v>0</v>
      </c>
      <c r="I324" s="1772"/>
      <c r="J324" s="1772"/>
      <c r="K324" s="1773">
        <f>'Notes- SK Template'!K325</f>
        <v>0</v>
      </c>
      <c r="L324" s="1773"/>
      <c r="M324" s="1773"/>
      <c r="N324" s="1773">
        <f>'Notes- SK Template'!N325</f>
        <v>0</v>
      </c>
      <c r="O324" s="1773"/>
      <c r="P324" s="1773"/>
      <c r="Q324" s="1773">
        <f>'Notes- SK Template'!Q325</f>
        <v>0</v>
      </c>
      <c r="R324" s="1773"/>
      <c r="S324" s="1773"/>
      <c r="T324" s="1773">
        <f>'Notes- SK Template'!T325</f>
        <v>0</v>
      </c>
      <c r="U324" s="1773"/>
      <c r="V324" s="1773"/>
      <c r="W324" s="1773">
        <f>'Notes- SK Template'!W325</f>
        <v>0</v>
      </c>
      <c r="X324" s="1773"/>
      <c r="Y324" s="1773"/>
      <c r="Z324" s="1773">
        <f>'Notes- SK Template'!Z325</f>
        <v>0</v>
      </c>
      <c r="AA324" s="1773"/>
      <c r="AB324" s="1773"/>
      <c r="AC324" s="1773">
        <f>'Notes- SK Template'!AC325</f>
        <v>0</v>
      </c>
      <c r="AD324" s="1773"/>
      <c r="AE324" s="1773"/>
      <c r="AF324" s="1825">
        <f>'Notes- SK Template'!AF325</f>
        <v>0</v>
      </c>
      <c r="AG324" s="1825"/>
      <c r="AH324" s="1825"/>
    </row>
    <row r="325" spans="1:34" s="584" customFormat="1" ht="22.5" customHeight="1" thickBot="1">
      <c r="A325" s="597"/>
      <c r="D325" s="1821" t="s">
        <v>1798</v>
      </c>
      <c r="E325" s="1821"/>
      <c r="F325" s="1821"/>
      <c r="G325" s="1821"/>
      <c r="H325" s="1760">
        <f>'Notes- SK Template'!H326</f>
        <v>0</v>
      </c>
      <c r="I325" s="1760"/>
      <c r="J325" s="1760"/>
      <c r="K325" s="1760">
        <f>'Notes- SK Template'!K326</f>
        <v>0</v>
      </c>
      <c r="L325" s="1760"/>
      <c r="M325" s="1760"/>
      <c r="N325" s="1760">
        <f>'Notes- SK Template'!N326</f>
        <v>323716</v>
      </c>
      <c r="O325" s="1760"/>
      <c r="P325" s="1760"/>
      <c r="Q325" s="1760">
        <f>'Notes- SK Template'!Q326</f>
        <v>0</v>
      </c>
      <c r="R325" s="1760"/>
      <c r="S325" s="1760"/>
      <c r="T325" s="1760">
        <f>'Notes- SK Template'!T326</f>
        <v>0</v>
      </c>
      <c r="U325" s="1760"/>
      <c r="V325" s="1760"/>
      <c r="W325" s="1760">
        <f>'Notes- SK Template'!W326</f>
        <v>0</v>
      </c>
      <c r="X325" s="1760"/>
      <c r="Y325" s="1760"/>
      <c r="Z325" s="1760">
        <f>'Notes- SK Template'!Z326</f>
        <v>0</v>
      </c>
      <c r="AA325" s="1760"/>
      <c r="AB325" s="1760"/>
      <c r="AC325" s="1760">
        <f>'Notes- SK Template'!AC326</f>
        <v>0</v>
      </c>
      <c r="AD325" s="1760"/>
      <c r="AE325" s="1760"/>
      <c r="AF325" s="1760">
        <f>'Notes- SK Template'!AF326</f>
        <v>323716</v>
      </c>
      <c r="AG325" s="1760"/>
      <c r="AH325" s="1760"/>
    </row>
    <row r="326" spans="1:34" s="584" customFormat="1" ht="15" thickBot="1">
      <c r="A326" s="597"/>
      <c r="D326" s="2617" t="s">
        <v>1800</v>
      </c>
      <c r="E326" s="1827"/>
      <c r="F326" s="1827"/>
      <c r="G326" s="1827"/>
      <c r="H326" s="1827"/>
      <c r="I326" s="1827"/>
      <c r="J326" s="1827"/>
      <c r="K326" s="1827"/>
      <c r="L326" s="1827"/>
      <c r="M326" s="1827"/>
      <c r="N326" s="1827"/>
      <c r="O326" s="1827"/>
      <c r="P326" s="1827"/>
      <c r="Q326" s="1827"/>
      <c r="R326" s="1827"/>
      <c r="S326" s="1827"/>
      <c r="T326" s="1827"/>
      <c r="U326" s="1827"/>
      <c r="V326" s="1827"/>
      <c r="W326" s="1827"/>
      <c r="X326" s="1827"/>
      <c r="Y326" s="1827"/>
      <c r="Z326" s="1827"/>
      <c r="AA326" s="1827"/>
      <c r="AB326" s="1827"/>
      <c r="AC326" s="1827"/>
      <c r="AD326" s="1827"/>
      <c r="AE326" s="1827"/>
      <c r="AF326" s="1827"/>
      <c r="AG326" s="1827"/>
      <c r="AH326" s="1828"/>
    </row>
    <row r="327" spans="1:34" s="584" customFormat="1" ht="22.5" customHeight="1">
      <c r="A327" s="597"/>
      <c r="D327" s="1868" t="s">
        <v>1794</v>
      </c>
      <c r="E327" s="1868"/>
      <c r="F327" s="1868"/>
      <c r="G327" s="1868"/>
      <c r="H327" s="1871">
        <f>'Notes- SK Template'!H328</f>
        <v>0</v>
      </c>
      <c r="I327" s="1871"/>
      <c r="J327" s="1871"/>
      <c r="K327" s="1837">
        <f>'Notes- SK Template'!K328</f>
        <v>0</v>
      </c>
      <c r="L327" s="1837"/>
      <c r="M327" s="1837"/>
      <c r="N327" s="1837">
        <f>'Notes- SK Template'!N328</f>
        <v>0</v>
      </c>
      <c r="O327" s="1837"/>
      <c r="P327" s="1837"/>
      <c r="Q327" s="1837">
        <f>'Notes- SK Template'!Q328</f>
        <v>0</v>
      </c>
      <c r="R327" s="1837"/>
      <c r="S327" s="1837"/>
      <c r="T327" s="1837">
        <f>'Notes- SK Template'!T328</f>
        <v>0</v>
      </c>
      <c r="U327" s="1837"/>
      <c r="V327" s="1837"/>
      <c r="W327" s="1837">
        <f>'Notes- SK Template'!W328</f>
        <v>0</v>
      </c>
      <c r="X327" s="1837"/>
      <c r="Y327" s="1837"/>
      <c r="Z327" s="1837">
        <f>'Notes- SK Template'!Z328</f>
        <v>0</v>
      </c>
      <c r="AA327" s="1837"/>
      <c r="AB327" s="1837"/>
      <c r="AC327" s="1837">
        <f>'Notes- SK Template'!AC328</f>
        <v>0</v>
      </c>
      <c r="AD327" s="1837"/>
      <c r="AE327" s="1837"/>
      <c r="AF327" s="1867">
        <f>'Notes- SK Template'!AF328</f>
        <v>0</v>
      </c>
      <c r="AG327" s="1867"/>
      <c r="AH327" s="1867"/>
    </row>
    <row r="328" spans="1:34" s="584" customFormat="1">
      <c r="A328" s="597"/>
      <c r="D328" s="1771" t="s">
        <v>1795</v>
      </c>
      <c r="E328" s="1771"/>
      <c r="F328" s="1771"/>
      <c r="G328" s="1771"/>
      <c r="H328" s="1772">
        <f>'Notes- SK Template'!H329</f>
        <v>0</v>
      </c>
      <c r="I328" s="1772"/>
      <c r="J328" s="1772"/>
      <c r="K328" s="1773">
        <f>'Notes- SK Template'!K329</f>
        <v>0</v>
      </c>
      <c r="L328" s="1773"/>
      <c r="M328" s="1773"/>
      <c r="N328" s="1773">
        <f>'Notes- SK Template'!N329</f>
        <v>0</v>
      </c>
      <c r="O328" s="1773"/>
      <c r="P328" s="1773"/>
      <c r="Q328" s="1773">
        <f>'Notes- SK Template'!Q329</f>
        <v>0</v>
      </c>
      <c r="R328" s="1773"/>
      <c r="S328" s="1773"/>
      <c r="T328" s="1773">
        <f>'Notes- SK Template'!T329</f>
        <v>0</v>
      </c>
      <c r="U328" s="1773"/>
      <c r="V328" s="1773"/>
      <c r="W328" s="1773">
        <f>'Notes- SK Template'!W329</f>
        <v>0</v>
      </c>
      <c r="X328" s="1773"/>
      <c r="Y328" s="1773"/>
      <c r="Z328" s="1773">
        <f>'Notes- SK Template'!Z329</f>
        <v>0</v>
      </c>
      <c r="AA328" s="1773"/>
      <c r="AB328" s="1773"/>
      <c r="AC328" s="1773">
        <f>'Notes- SK Template'!AC329</f>
        <v>0</v>
      </c>
      <c r="AD328" s="1773"/>
      <c r="AE328" s="1773"/>
      <c r="AF328" s="1825">
        <f>'Notes- SK Template'!AF329</f>
        <v>0</v>
      </c>
      <c r="AG328" s="1825"/>
      <c r="AH328" s="1825"/>
    </row>
    <row r="329" spans="1:34" s="584" customFormat="1">
      <c r="A329" s="597"/>
      <c r="D329" s="1771" t="s">
        <v>1796</v>
      </c>
      <c r="E329" s="1771"/>
      <c r="F329" s="1771"/>
      <c r="G329" s="1771"/>
      <c r="H329" s="1772">
        <f>'Notes- SK Template'!H330</f>
        <v>0</v>
      </c>
      <c r="I329" s="1772"/>
      <c r="J329" s="1772"/>
      <c r="K329" s="1773">
        <f>'Notes- SK Template'!K330</f>
        <v>0</v>
      </c>
      <c r="L329" s="1773"/>
      <c r="M329" s="1773"/>
      <c r="N329" s="1773">
        <f>'Notes- SK Template'!N330</f>
        <v>0</v>
      </c>
      <c r="O329" s="1773"/>
      <c r="P329" s="1773"/>
      <c r="Q329" s="1773">
        <f>'Notes- SK Template'!Q330</f>
        <v>0</v>
      </c>
      <c r="R329" s="1773"/>
      <c r="S329" s="1773"/>
      <c r="T329" s="1773">
        <f>'Notes- SK Template'!T330</f>
        <v>0</v>
      </c>
      <c r="U329" s="1773"/>
      <c r="V329" s="1773"/>
      <c r="W329" s="1773">
        <f>'Notes- SK Template'!W330</f>
        <v>0</v>
      </c>
      <c r="X329" s="1773"/>
      <c r="Y329" s="1773"/>
      <c r="Z329" s="1773">
        <f>'Notes- SK Template'!Z330</f>
        <v>0</v>
      </c>
      <c r="AA329" s="1773"/>
      <c r="AB329" s="1773"/>
      <c r="AC329" s="1773">
        <f>'Notes- SK Template'!AC330</f>
        <v>0</v>
      </c>
      <c r="AD329" s="1773"/>
      <c r="AE329" s="1773"/>
      <c r="AF329" s="1825">
        <f>'Notes- SK Template'!AF330</f>
        <v>0</v>
      </c>
      <c r="AG329" s="1825"/>
      <c r="AH329" s="1825"/>
    </row>
    <row r="330" spans="1:34" s="584" customFormat="1">
      <c r="A330" s="597"/>
      <c r="D330" s="2524" t="s">
        <v>1797</v>
      </c>
      <c r="E330" s="1771"/>
      <c r="F330" s="1771"/>
      <c r="G330" s="1771"/>
      <c r="H330" s="1772">
        <f>'Notes- SK Template'!H331</f>
        <v>0</v>
      </c>
      <c r="I330" s="1772"/>
      <c r="J330" s="1772"/>
      <c r="K330" s="1773">
        <f>'Notes- SK Template'!K331</f>
        <v>0</v>
      </c>
      <c r="L330" s="1773"/>
      <c r="M330" s="1773"/>
      <c r="N330" s="1773">
        <f>'Notes- SK Template'!N331</f>
        <v>0</v>
      </c>
      <c r="O330" s="1773"/>
      <c r="P330" s="1773"/>
      <c r="Q330" s="1773">
        <f>'Notes- SK Template'!Q331</f>
        <v>0</v>
      </c>
      <c r="R330" s="1773"/>
      <c r="S330" s="1773"/>
      <c r="T330" s="1773">
        <f>'Notes- SK Template'!T331</f>
        <v>0</v>
      </c>
      <c r="U330" s="1773"/>
      <c r="V330" s="1773"/>
      <c r="W330" s="1773">
        <f>'Notes- SK Template'!W331</f>
        <v>0</v>
      </c>
      <c r="X330" s="1773"/>
      <c r="Y330" s="1773"/>
      <c r="Z330" s="1773">
        <f>'Notes- SK Template'!Z331</f>
        <v>0</v>
      </c>
      <c r="AA330" s="1773"/>
      <c r="AB330" s="1773"/>
      <c r="AC330" s="1773">
        <f>'Notes- SK Template'!AC331</f>
        <v>0</v>
      </c>
      <c r="AD330" s="1773"/>
      <c r="AE330" s="1773"/>
      <c r="AF330" s="1825">
        <f>'Notes- SK Template'!AF331</f>
        <v>0</v>
      </c>
      <c r="AG330" s="1825"/>
      <c r="AH330" s="1825"/>
    </row>
    <row r="331" spans="1:34" s="584" customFormat="1" ht="22.5" customHeight="1" thickBot="1">
      <c r="A331" s="597"/>
      <c r="D331" s="1821" t="s">
        <v>1798</v>
      </c>
      <c r="E331" s="1821"/>
      <c r="F331" s="1821"/>
      <c r="G331" s="1821"/>
      <c r="H331" s="1760">
        <f>'Notes- SK Template'!H332</f>
        <v>0</v>
      </c>
      <c r="I331" s="1760"/>
      <c r="J331" s="1760"/>
      <c r="K331" s="1760">
        <f>'Notes- SK Template'!K332</f>
        <v>0</v>
      </c>
      <c r="L331" s="1760"/>
      <c r="M331" s="1760"/>
      <c r="N331" s="1760">
        <f>'Notes- SK Template'!N332</f>
        <v>0</v>
      </c>
      <c r="O331" s="1760"/>
      <c r="P331" s="1760"/>
      <c r="Q331" s="1760">
        <f>'Notes- SK Template'!Q332</f>
        <v>0</v>
      </c>
      <c r="R331" s="1760"/>
      <c r="S331" s="1760"/>
      <c r="T331" s="1760">
        <f>'Notes- SK Template'!T332</f>
        <v>0</v>
      </c>
      <c r="U331" s="1760"/>
      <c r="V331" s="1760"/>
      <c r="W331" s="1760">
        <f>'Notes- SK Template'!W332</f>
        <v>0</v>
      </c>
      <c r="X331" s="1760"/>
      <c r="Y331" s="1760"/>
      <c r="Z331" s="1760">
        <f>'Notes- SK Template'!Z332</f>
        <v>0</v>
      </c>
      <c r="AA331" s="1760"/>
      <c r="AB331" s="1760"/>
      <c r="AC331" s="1760">
        <f>'Notes- SK Template'!AC332</f>
        <v>0</v>
      </c>
      <c r="AD331" s="1760"/>
      <c r="AE331" s="1760"/>
      <c r="AF331" s="1760">
        <f>'Notes- SK Template'!AF332</f>
        <v>0</v>
      </c>
      <c r="AG331" s="1760"/>
      <c r="AH331" s="1760"/>
    </row>
    <row r="332" spans="1:34" s="584" customFormat="1" ht="15" thickBot="1">
      <c r="A332" s="597"/>
      <c r="D332" s="2617" t="s">
        <v>1801</v>
      </c>
      <c r="E332" s="1827"/>
      <c r="F332" s="1827"/>
      <c r="G332" s="1827"/>
      <c r="H332" s="1827"/>
      <c r="I332" s="1827"/>
      <c r="J332" s="1827"/>
      <c r="K332" s="1827"/>
      <c r="L332" s="1827"/>
      <c r="M332" s="1827"/>
      <c r="N332" s="1827"/>
      <c r="O332" s="1827"/>
      <c r="P332" s="1827"/>
      <c r="Q332" s="1827"/>
      <c r="R332" s="1827"/>
      <c r="S332" s="1827"/>
      <c r="T332" s="1827"/>
      <c r="U332" s="1827"/>
      <c r="V332" s="1827"/>
      <c r="W332" s="1827"/>
      <c r="X332" s="1827"/>
      <c r="Y332" s="1827"/>
      <c r="Z332" s="1827"/>
      <c r="AA332" s="1827"/>
      <c r="AB332" s="1827"/>
      <c r="AC332" s="1827"/>
      <c r="AD332" s="1827"/>
      <c r="AE332" s="1827"/>
      <c r="AF332" s="1827"/>
      <c r="AG332" s="1827"/>
      <c r="AH332" s="1828"/>
    </row>
    <row r="333" spans="1:34" s="584" customFormat="1" ht="22.5" customHeight="1">
      <c r="A333" s="597"/>
      <c r="D333" s="1832" t="s">
        <v>1794</v>
      </c>
      <c r="E333" s="1832"/>
      <c r="F333" s="1832"/>
      <c r="G333" s="1832"/>
      <c r="H333" s="1789">
        <f>'Notes- SK Template'!H334</f>
        <v>0</v>
      </c>
      <c r="I333" s="1789"/>
      <c r="J333" s="1789"/>
      <c r="K333" s="1789">
        <f>'Notes- SK Template'!K334</f>
        <v>0</v>
      </c>
      <c r="L333" s="1789"/>
      <c r="M333" s="1789"/>
      <c r="N333" s="1789">
        <f>'Notes- SK Template'!N334</f>
        <v>188570</v>
      </c>
      <c r="O333" s="1789"/>
      <c r="P333" s="1789"/>
      <c r="Q333" s="1789">
        <f>'Notes- SK Template'!Q334</f>
        <v>0</v>
      </c>
      <c r="R333" s="1789"/>
      <c r="S333" s="1789"/>
      <c r="T333" s="1789">
        <f>'Notes- SK Template'!T334</f>
        <v>0</v>
      </c>
      <c r="U333" s="1789"/>
      <c r="V333" s="1789"/>
      <c r="W333" s="1789">
        <f>'Notes- SK Template'!W334</f>
        <v>0</v>
      </c>
      <c r="X333" s="1789"/>
      <c r="Y333" s="1789"/>
      <c r="Z333" s="1789">
        <f>'Notes- SK Template'!Z334</f>
        <v>0</v>
      </c>
      <c r="AA333" s="1789"/>
      <c r="AB333" s="1789"/>
      <c r="AC333" s="1789">
        <f>'Notes- SK Template'!AC334</f>
        <v>0</v>
      </c>
      <c r="AD333" s="1789"/>
      <c r="AE333" s="1789"/>
      <c r="AF333" s="1789">
        <f>'Notes- SK Template'!AF334</f>
        <v>188570</v>
      </c>
      <c r="AG333" s="1789"/>
      <c r="AH333" s="1789"/>
    </row>
    <row r="334" spans="1:34" s="584" customFormat="1" ht="22.5" customHeight="1" thickBot="1">
      <c r="A334" s="597"/>
      <c r="D334" s="1821" t="s">
        <v>1798</v>
      </c>
      <c r="E334" s="1821"/>
      <c r="F334" s="1821"/>
      <c r="G334" s="1821"/>
      <c r="H334" s="1760">
        <f>'Notes- SK Template'!H335</f>
        <v>0</v>
      </c>
      <c r="I334" s="1760"/>
      <c r="J334" s="1760"/>
      <c r="K334" s="1760">
        <f>'Notes- SK Template'!K335</f>
        <v>0</v>
      </c>
      <c r="L334" s="1760"/>
      <c r="M334" s="1760"/>
      <c r="N334" s="1760">
        <f>'Notes- SK Template'!N335</f>
        <v>182159</v>
      </c>
      <c r="O334" s="1760"/>
      <c r="P334" s="1760"/>
      <c r="Q334" s="1760">
        <f>'Notes- SK Template'!Q335</f>
        <v>0</v>
      </c>
      <c r="R334" s="1760"/>
      <c r="S334" s="1760"/>
      <c r="T334" s="1760">
        <f>'Notes- SK Template'!T335</f>
        <v>0</v>
      </c>
      <c r="U334" s="1760"/>
      <c r="V334" s="1760"/>
      <c r="W334" s="1760">
        <f>'Notes- SK Template'!W335</f>
        <v>0</v>
      </c>
      <c r="X334" s="1760"/>
      <c r="Y334" s="1760"/>
      <c r="Z334" s="1760">
        <f>'Notes- SK Template'!Z335</f>
        <v>0</v>
      </c>
      <c r="AA334" s="1760"/>
      <c r="AB334" s="1760"/>
      <c r="AC334" s="1760">
        <f>'Notes- SK Template'!AC335</f>
        <v>0</v>
      </c>
      <c r="AD334" s="1760"/>
      <c r="AE334" s="1760"/>
      <c r="AF334" s="1760">
        <f>'Notes- SK Template'!AF335</f>
        <v>182159</v>
      </c>
      <c r="AG334" s="1760"/>
      <c r="AH334" s="1760"/>
    </row>
    <row r="335" spans="1:34" s="584" customFormat="1">
      <c r="A335" s="597"/>
      <c r="D335" s="910"/>
      <c r="E335" s="909"/>
      <c r="F335" s="909"/>
      <c r="G335" s="909"/>
      <c r="H335" s="909"/>
      <c r="I335" s="909"/>
      <c r="J335" s="909"/>
      <c r="K335" s="909"/>
      <c r="L335" s="909"/>
      <c r="M335" s="909"/>
      <c r="N335" s="909"/>
      <c r="O335" s="909"/>
      <c r="P335" s="909"/>
      <c r="Q335" s="909"/>
      <c r="R335" s="909"/>
      <c r="S335" s="909"/>
      <c r="T335" s="909"/>
      <c r="U335" s="909"/>
      <c r="V335" s="909"/>
      <c r="W335" s="909"/>
      <c r="X335" s="909"/>
      <c r="Y335" s="909"/>
      <c r="Z335" s="909"/>
      <c r="AA335" s="909"/>
      <c r="AB335" s="909"/>
      <c r="AC335" s="909"/>
      <c r="AD335" s="909"/>
      <c r="AE335" s="909"/>
      <c r="AF335" s="909"/>
      <c r="AG335" s="909"/>
    </row>
    <row r="336" spans="1:34" s="584" customFormat="1" ht="15" thickBot="1">
      <c r="A336" s="597"/>
    </row>
    <row r="337" spans="1:33" s="584" customFormat="1" ht="29.25" customHeight="1" thickBot="1">
      <c r="A337" s="597">
        <v>6</v>
      </c>
      <c r="D337" s="1859" t="s">
        <v>1813</v>
      </c>
      <c r="E337" s="1859"/>
      <c r="F337" s="1859"/>
      <c r="G337" s="1859"/>
      <c r="H337" s="1859"/>
      <c r="I337" s="1859"/>
      <c r="J337" s="1859"/>
      <c r="K337" s="1859"/>
      <c r="L337" s="1859"/>
      <c r="M337" s="1859"/>
      <c r="N337" s="1859"/>
      <c r="O337" s="1859"/>
      <c r="P337" s="1859"/>
      <c r="Q337" s="1859"/>
      <c r="R337" s="1859"/>
      <c r="S337" s="1859" t="s">
        <v>1803</v>
      </c>
      <c r="T337" s="1859"/>
      <c r="U337" s="1859"/>
      <c r="V337" s="1859"/>
      <c r="W337" s="1859"/>
      <c r="X337" s="1859"/>
      <c r="Y337" s="1859"/>
      <c r="Z337" s="1859"/>
      <c r="AA337" s="1859"/>
      <c r="AB337" s="1859"/>
      <c r="AC337" s="1859"/>
      <c r="AD337" s="1859"/>
      <c r="AE337" s="1859"/>
      <c r="AF337" s="1859"/>
      <c r="AG337" s="1859"/>
    </row>
    <row r="338" spans="1:33" s="584" customFormat="1" ht="29.25" customHeight="1">
      <c r="A338" s="597"/>
      <c r="D338" s="2616" t="s">
        <v>2026</v>
      </c>
      <c r="E338" s="2086"/>
      <c r="F338" s="2086"/>
      <c r="G338" s="2086"/>
      <c r="H338" s="2086"/>
      <c r="I338" s="2086"/>
      <c r="J338" s="2086"/>
      <c r="K338" s="2086"/>
      <c r="L338" s="2086"/>
      <c r="M338" s="2086"/>
      <c r="N338" s="2086"/>
      <c r="O338" s="2086"/>
      <c r="P338" s="2086"/>
      <c r="Q338" s="2086"/>
      <c r="R338" s="2086"/>
      <c r="S338" s="2534" t="str">
        <f>'Notes- SK Template'!S339</f>
        <v>-</v>
      </c>
      <c r="T338" s="2534"/>
      <c r="U338" s="2534"/>
      <c r="V338" s="2534">
        <f>'Notes- SK Template'!V339</f>
        <v>0</v>
      </c>
      <c r="W338" s="2534"/>
      <c r="X338" s="2534"/>
      <c r="Y338" s="2534">
        <f>'Notes- SK Template'!Y339</f>
        <v>0</v>
      </c>
      <c r="Z338" s="2534"/>
      <c r="AA338" s="2534"/>
      <c r="AB338" s="2534">
        <f>'Notes- SK Template'!AB339</f>
        <v>0</v>
      </c>
      <c r="AC338" s="2534"/>
      <c r="AD338" s="2534"/>
      <c r="AE338" s="2534">
        <f>'Notes- SK Template'!AE339</f>
        <v>0</v>
      </c>
      <c r="AF338" s="2534"/>
      <c r="AG338" s="2534"/>
    </row>
    <row r="339" spans="1:33" s="584" customFormat="1" ht="29.25" customHeight="1" thickBot="1">
      <c r="A339" s="597"/>
      <c r="D339" s="2613" t="s">
        <v>1814</v>
      </c>
      <c r="E339" s="1942"/>
      <c r="F339" s="1942"/>
      <c r="G339" s="1942"/>
      <c r="H339" s="1942"/>
      <c r="I339" s="1942"/>
      <c r="J339" s="1942"/>
      <c r="K339" s="1942"/>
      <c r="L339" s="1942"/>
      <c r="M339" s="1942"/>
      <c r="N339" s="1942"/>
      <c r="O339" s="1942"/>
      <c r="P339" s="1942"/>
      <c r="Q339" s="1942"/>
      <c r="R339" s="1942"/>
      <c r="S339" s="1931" t="str">
        <f>'Notes- SK Template'!S340</f>
        <v>-</v>
      </c>
      <c r="T339" s="1931"/>
      <c r="U339" s="1931"/>
      <c r="V339" s="1931">
        <f>'Notes- SK Template'!V340</f>
        <v>0</v>
      </c>
      <c r="W339" s="1931"/>
      <c r="X339" s="1931"/>
      <c r="Y339" s="1931">
        <f>'Notes- SK Template'!Y340</f>
        <v>0</v>
      </c>
      <c r="Z339" s="1931"/>
      <c r="AA339" s="1931"/>
      <c r="AB339" s="1931">
        <f>'Notes- SK Template'!AB340</f>
        <v>0</v>
      </c>
      <c r="AC339" s="1931"/>
      <c r="AD339" s="1931"/>
      <c r="AE339" s="1931">
        <f>'Notes- SK Template'!AE340</f>
        <v>0</v>
      </c>
      <c r="AF339" s="1931"/>
      <c r="AG339" s="1931"/>
    </row>
    <row r="340" spans="1:33" s="584" customFormat="1">
      <c r="A340" s="597"/>
    </row>
    <row r="341" spans="1:33" s="584" customFormat="1">
      <c r="A341" s="597"/>
      <c r="D341" s="1500" t="s">
        <v>2832</v>
      </c>
      <c r="E341" s="1500"/>
      <c r="F341" s="1500"/>
      <c r="G341" s="1500"/>
      <c r="H341" s="1500"/>
      <c r="I341" s="1500"/>
      <c r="J341" s="1500"/>
      <c r="K341" s="1500"/>
      <c r="L341" s="1500"/>
      <c r="M341" s="1500"/>
      <c r="N341" s="1500"/>
      <c r="O341" s="1500"/>
      <c r="P341" s="1500"/>
      <c r="Q341" s="1500"/>
      <c r="R341" s="1500"/>
      <c r="S341" s="1500"/>
      <c r="T341" s="1500"/>
      <c r="U341" s="1500"/>
      <c r="V341" s="1500"/>
      <c r="W341" s="1500"/>
      <c r="X341" s="1500"/>
      <c r="Y341" s="1500"/>
      <c r="Z341" s="1500"/>
      <c r="AA341" s="1500"/>
      <c r="AB341" s="1500"/>
      <c r="AC341" s="1500"/>
      <c r="AD341" s="1500"/>
      <c r="AE341" s="1500"/>
      <c r="AF341" s="1500"/>
      <c r="AG341" s="1500"/>
    </row>
    <row r="342" spans="1:33" s="584" customFormat="1">
      <c r="A342" s="597"/>
      <c r="D342" s="1500"/>
      <c r="E342" s="1500"/>
      <c r="F342" s="1500"/>
      <c r="G342" s="1500"/>
      <c r="H342" s="1500"/>
      <c r="I342" s="1500"/>
      <c r="J342" s="1500"/>
      <c r="K342" s="1500"/>
      <c r="L342" s="1500"/>
      <c r="M342" s="1500"/>
      <c r="N342" s="1500"/>
      <c r="O342" s="1500"/>
      <c r="P342" s="1500"/>
      <c r="Q342" s="1500"/>
      <c r="R342" s="1500"/>
      <c r="S342" s="1500"/>
      <c r="T342" s="1500"/>
      <c r="U342" s="1500"/>
      <c r="V342" s="1500"/>
      <c r="W342" s="1500"/>
      <c r="X342" s="1500"/>
      <c r="Y342" s="1500"/>
      <c r="Z342" s="1500"/>
      <c r="AA342" s="1500"/>
      <c r="AB342" s="1500"/>
      <c r="AC342" s="1500"/>
      <c r="AD342" s="1500"/>
      <c r="AE342" s="1500"/>
      <c r="AF342" s="1500"/>
      <c r="AG342" s="1500"/>
    </row>
    <row r="343" spans="1:33" s="584" customFormat="1">
      <c r="A343" s="597"/>
      <c r="D343" s="582" t="s">
        <v>2027</v>
      </c>
    </row>
    <row r="344" spans="1:33" s="584" customFormat="1" ht="15" thickBot="1">
      <c r="A344" s="597"/>
      <c r="D344" s="582"/>
    </row>
    <row r="345" spans="1:33" s="584" customFormat="1" ht="25.5" customHeight="1">
      <c r="A345" s="597"/>
      <c r="D345" s="2206" t="s">
        <v>2921</v>
      </c>
      <c r="E345" s="2207"/>
      <c r="F345" s="2207"/>
      <c r="G345" s="2207"/>
      <c r="H345" s="2207"/>
      <c r="I345" s="2207"/>
      <c r="J345" s="2207"/>
      <c r="K345" s="2207"/>
      <c r="L345" s="2207"/>
      <c r="M345" s="2207"/>
      <c r="N345" s="2207"/>
      <c r="O345" s="2207"/>
      <c r="P345" s="2207"/>
      <c r="Q345" s="2207"/>
      <c r="R345" s="2208"/>
    </row>
    <row r="346" spans="1:33" s="584" customFormat="1">
      <c r="A346" s="597"/>
      <c r="D346" s="2251" t="s">
        <v>2833</v>
      </c>
      <c r="E346" s="2252"/>
      <c r="F346" s="2252"/>
      <c r="G346" s="2252"/>
      <c r="H346" s="2252"/>
      <c r="I346" s="2252"/>
      <c r="J346" s="2252" t="s">
        <v>2834</v>
      </c>
      <c r="K346" s="2252"/>
      <c r="L346" s="2252"/>
      <c r="M346" s="2252"/>
      <c r="N346" s="2252"/>
      <c r="O346" s="2253" t="s">
        <v>2835</v>
      </c>
      <c r="P346" s="2253"/>
      <c r="Q346" s="2253"/>
      <c r="R346" s="2254"/>
    </row>
    <row r="347" spans="1:33" s="584" customFormat="1" ht="41.25" customHeight="1">
      <c r="A347" s="597"/>
      <c r="D347" s="2247" t="s">
        <v>2920</v>
      </c>
      <c r="E347" s="2248"/>
      <c r="F347" s="2248"/>
      <c r="G347" s="2248"/>
      <c r="H347" s="2248"/>
      <c r="I347" s="2248"/>
      <c r="J347" s="2248" t="s">
        <v>2922</v>
      </c>
      <c r="K347" s="2248"/>
      <c r="L347" s="2248"/>
      <c r="M347" s="2248"/>
      <c r="N347" s="2248"/>
      <c r="O347" s="2255" t="s">
        <v>2919</v>
      </c>
      <c r="P347" s="2255"/>
      <c r="Q347" s="2255"/>
      <c r="R347" s="2256"/>
    </row>
    <row r="348" spans="1:33" s="584" customFormat="1" ht="41.25" customHeight="1" thickBot="1">
      <c r="A348" s="597"/>
      <c r="D348" s="2249" t="s">
        <v>1818</v>
      </c>
      <c r="E348" s="2250"/>
      <c r="F348" s="2250"/>
      <c r="G348" s="2250"/>
      <c r="H348" s="2250"/>
      <c r="I348" s="2250"/>
      <c r="J348" s="2250" t="s">
        <v>2922</v>
      </c>
      <c r="K348" s="2250"/>
      <c r="L348" s="2250"/>
      <c r="M348" s="2250"/>
      <c r="N348" s="2250"/>
      <c r="O348" s="2257" t="s">
        <v>2917</v>
      </c>
      <c r="P348" s="2257"/>
      <c r="Q348" s="2257"/>
      <c r="R348" s="2258"/>
    </row>
    <row r="349" spans="1:33" s="584" customFormat="1">
      <c r="A349" s="597"/>
      <c r="D349" s="582"/>
    </row>
    <row r="350" spans="1:33" s="584" customFormat="1">
      <c r="A350" s="597"/>
    </row>
    <row r="351" spans="1:33" s="584" customFormat="1" ht="17.25" customHeight="1">
      <c r="A351" s="597"/>
      <c r="D351" s="2057" t="s">
        <v>2907</v>
      </c>
      <c r="E351" s="2101"/>
      <c r="F351" s="2101"/>
      <c r="G351" s="2101"/>
      <c r="H351" s="2101"/>
      <c r="I351" s="2101"/>
      <c r="J351" s="2101"/>
      <c r="K351" s="2101"/>
      <c r="L351" s="2101"/>
      <c r="M351" s="2101"/>
      <c r="N351" s="2101"/>
      <c r="O351" s="2101"/>
      <c r="P351" s="2101"/>
      <c r="Q351" s="2101"/>
      <c r="R351" s="2101"/>
      <c r="S351" s="2101"/>
      <c r="T351" s="2101"/>
      <c r="U351" s="2101"/>
      <c r="V351" s="2101"/>
      <c r="W351" s="2101"/>
      <c r="X351" s="2101"/>
      <c r="Y351" s="2101"/>
      <c r="Z351" s="2101"/>
      <c r="AA351" s="2101"/>
      <c r="AB351" s="2101"/>
      <c r="AC351" s="2101"/>
      <c r="AD351" s="2101"/>
      <c r="AE351" s="2101"/>
      <c r="AF351" s="2101"/>
      <c r="AG351" s="2101"/>
    </row>
    <row r="352" spans="1:33" s="584" customFormat="1">
      <c r="A352" s="597"/>
      <c r="D352" s="909"/>
      <c r="E352" s="909"/>
      <c r="F352" s="909"/>
      <c r="G352" s="909"/>
      <c r="H352" s="909"/>
      <c r="I352" s="909"/>
      <c r="J352" s="909"/>
      <c r="K352" s="909"/>
      <c r="L352" s="909"/>
      <c r="M352" s="909"/>
      <c r="N352" s="909"/>
      <c r="O352" s="909"/>
      <c r="P352" s="909"/>
      <c r="Q352" s="909"/>
      <c r="R352" s="909"/>
      <c r="S352" s="909"/>
      <c r="T352" s="909"/>
      <c r="U352" s="909"/>
      <c r="V352" s="909"/>
      <c r="W352" s="909"/>
      <c r="X352" s="909"/>
      <c r="Y352" s="909"/>
      <c r="Z352" s="909"/>
      <c r="AA352" s="909"/>
      <c r="AB352" s="909"/>
      <c r="AC352" s="909"/>
      <c r="AD352" s="909"/>
      <c r="AE352" s="909"/>
      <c r="AF352" s="909"/>
      <c r="AG352" s="909"/>
    </row>
    <row r="353" spans="1:34" s="584" customFormat="1">
      <c r="A353" s="597"/>
      <c r="D353" s="582" t="s">
        <v>1815</v>
      </c>
      <c r="E353" s="909"/>
      <c r="F353" s="909"/>
    </row>
    <row r="354" spans="1:34" s="773" customFormat="1">
      <c r="A354" s="784"/>
      <c r="E354" s="785"/>
      <c r="F354" s="785"/>
    </row>
    <row r="355" spans="1:34" s="584" customFormat="1">
      <c r="A355" s="597"/>
      <c r="D355" s="908" t="s">
        <v>2836</v>
      </c>
      <c r="E355" s="909"/>
      <c r="F355" s="909"/>
    </row>
    <row r="356" spans="1:34" s="1505" customFormat="1">
      <c r="A356" s="1506"/>
      <c r="B356" s="1507"/>
      <c r="C356" s="1507"/>
      <c r="D356" s="1507"/>
      <c r="E356" s="1507"/>
      <c r="F356" s="1507"/>
      <c r="G356" s="1507"/>
      <c r="H356" s="1507"/>
      <c r="I356" s="1507"/>
      <c r="J356" s="1507"/>
      <c r="K356" s="1507"/>
      <c r="L356" s="1507"/>
      <c r="M356" s="1507"/>
      <c r="N356" s="1507"/>
      <c r="O356" s="1507"/>
      <c r="P356" s="1507"/>
      <c r="Q356" s="1507"/>
      <c r="R356" s="1507"/>
      <c r="S356" s="1507"/>
      <c r="T356" s="1507"/>
      <c r="U356" s="1507"/>
      <c r="V356" s="1507"/>
      <c r="W356" s="1507"/>
      <c r="X356" s="1507"/>
      <c r="Y356" s="1507"/>
      <c r="Z356" s="1507"/>
      <c r="AA356" s="1507"/>
      <c r="AB356" s="1507"/>
      <c r="AC356" s="1507"/>
      <c r="AD356" s="1507"/>
      <c r="AE356" s="1507"/>
      <c r="AF356" s="1507"/>
      <c r="AG356" s="1507"/>
      <c r="AH356" s="1507"/>
    </row>
    <row r="357" spans="1:34" s="584" customFormat="1">
      <c r="A357" s="597"/>
      <c r="D357" s="582" t="s">
        <v>3054</v>
      </c>
    </row>
    <row r="358" spans="1:34" s="584" customFormat="1">
      <c r="A358" s="597"/>
    </row>
    <row r="359" spans="1:34" s="584" customFormat="1">
      <c r="A359" s="597"/>
      <c r="D359" s="2057" t="s">
        <v>1816</v>
      </c>
      <c r="E359" s="2058"/>
      <c r="F359" s="2058"/>
      <c r="G359" s="2058"/>
      <c r="H359" s="2058"/>
      <c r="I359" s="2058"/>
      <c r="J359" s="2058"/>
      <c r="K359" s="2058"/>
      <c r="L359" s="2058"/>
      <c r="M359" s="2058"/>
      <c r="N359" s="2058"/>
      <c r="O359" s="2058"/>
      <c r="P359" s="2058"/>
      <c r="Q359" s="2058"/>
      <c r="R359" s="2058"/>
      <c r="S359" s="2058"/>
      <c r="T359" s="2058"/>
      <c r="U359" s="2058"/>
      <c r="V359" s="2058"/>
      <c r="W359" s="2058"/>
      <c r="X359" s="2058"/>
      <c r="Y359" s="2058"/>
      <c r="Z359" s="2058"/>
      <c r="AA359" s="2058"/>
      <c r="AB359" s="2058"/>
      <c r="AC359" s="2058"/>
      <c r="AD359" s="2058"/>
      <c r="AE359" s="2058"/>
      <c r="AF359" s="2058"/>
      <c r="AG359" s="2058"/>
    </row>
    <row r="360" spans="1:34" s="584" customFormat="1">
      <c r="A360" s="597"/>
      <c r="D360" s="2058"/>
      <c r="E360" s="2058"/>
      <c r="F360" s="2058"/>
      <c r="G360" s="2058"/>
      <c r="H360" s="2058"/>
      <c r="I360" s="2058"/>
      <c r="J360" s="2058"/>
      <c r="K360" s="2058"/>
      <c r="L360" s="2058"/>
      <c r="M360" s="2058"/>
      <c r="N360" s="2058"/>
      <c r="O360" s="2058"/>
      <c r="P360" s="2058"/>
      <c r="Q360" s="2058"/>
      <c r="R360" s="2058"/>
      <c r="S360" s="2058"/>
      <c r="T360" s="2058"/>
      <c r="U360" s="2058"/>
      <c r="V360" s="2058"/>
      <c r="W360" s="2058"/>
      <c r="X360" s="2058"/>
      <c r="Y360" s="2058"/>
      <c r="Z360" s="2058"/>
      <c r="AA360" s="2058"/>
      <c r="AB360" s="2058"/>
      <c r="AC360" s="2058"/>
      <c r="AD360" s="2058"/>
      <c r="AE360" s="2058"/>
      <c r="AF360" s="2058"/>
      <c r="AG360" s="2058"/>
    </row>
    <row r="361" spans="1:34" s="584" customFormat="1">
      <c r="A361" s="597"/>
    </row>
    <row r="362" spans="1:34" s="584" customFormat="1">
      <c r="A362" s="597"/>
      <c r="D362" s="2090" t="s">
        <v>1817</v>
      </c>
      <c r="E362" s="2091"/>
      <c r="F362" s="2091"/>
      <c r="G362" s="2091"/>
      <c r="H362" s="2091"/>
      <c r="I362" s="2091"/>
      <c r="J362" s="2091"/>
      <c r="K362" s="2091"/>
      <c r="L362" s="2091"/>
      <c r="M362" s="2091"/>
      <c r="N362" s="2091"/>
      <c r="O362" s="2091"/>
      <c r="P362" s="2091"/>
      <c r="Q362" s="2091"/>
      <c r="R362" s="2091"/>
      <c r="S362" s="2091"/>
      <c r="T362" s="2091"/>
      <c r="U362" s="2091"/>
      <c r="V362" s="2091"/>
      <c r="W362" s="2091"/>
      <c r="X362" s="2091"/>
      <c r="Y362" s="2091"/>
      <c r="Z362" s="2091"/>
      <c r="AA362" s="2091"/>
      <c r="AB362" s="2091"/>
      <c r="AC362" s="2091"/>
      <c r="AD362" s="2091"/>
      <c r="AE362" s="2091"/>
      <c r="AF362" s="2091"/>
      <c r="AG362" s="2091"/>
    </row>
    <row r="363" spans="1:34" s="584" customFormat="1" ht="15" thickBot="1">
      <c r="A363" s="597"/>
    </row>
    <row r="364" spans="1:34" s="584" customFormat="1" ht="15.75" customHeight="1" thickBot="1">
      <c r="A364" s="597">
        <v>12</v>
      </c>
      <c r="D364" s="1859" t="s">
        <v>1818</v>
      </c>
      <c r="E364" s="1859"/>
      <c r="F364" s="1859"/>
      <c r="G364" s="1859"/>
      <c r="H364" s="1859"/>
      <c r="I364" s="1859" t="s">
        <v>1741</v>
      </c>
      <c r="J364" s="1859"/>
      <c r="K364" s="1859"/>
      <c r="L364" s="1859"/>
      <c r="M364" s="1859"/>
      <c r="N364" s="1859"/>
      <c r="O364" s="1859"/>
      <c r="P364" s="1859"/>
      <c r="Q364" s="1859"/>
      <c r="R364" s="1859"/>
      <c r="S364" s="1859"/>
      <c r="T364" s="1859"/>
      <c r="U364" s="1859"/>
      <c r="V364" s="1859"/>
      <c r="W364" s="1859"/>
      <c r="X364" s="1859"/>
      <c r="Y364" s="1859"/>
      <c r="Z364" s="1859"/>
      <c r="AA364" s="1859"/>
      <c r="AB364" s="1859"/>
      <c r="AC364" s="1859"/>
      <c r="AD364" s="1859"/>
      <c r="AE364" s="1859"/>
      <c r="AF364" s="1859"/>
      <c r="AG364" s="1859"/>
    </row>
    <row r="365" spans="1:34" s="584" customFormat="1" ht="47.25" customHeight="1" thickBot="1">
      <c r="A365" s="597"/>
      <c r="D365" s="1859"/>
      <c r="E365" s="1859"/>
      <c r="F365" s="1859"/>
      <c r="G365" s="1859"/>
      <c r="H365" s="1859"/>
      <c r="I365" s="1838" t="s">
        <v>1819</v>
      </c>
      <c r="J365" s="1838"/>
      <c r="K365" s="1838"/>
      <c r="L365" s="1838"/>
      <c r="M365" s="1838"/>
      <c r="N365" s="1838" t="s">
        <v>1820</v>
      </c>
      <c r="O365" s="1838"/>
      <c r="P365" s="1838"/>
      <c r="Q365" s="1838"/>
      <c r="R365" s="1838"/>
      <c r="S365" s="1838" t="s">
        <v>1821</v>
      </c>
      <c r="T365" s="1838"/>
      <c r="U365" s="1838"/>
      <c r="V365" s="1838"/>
      <c r="W365" s="1838"/>
      <c r="X365" s="1838" t="s">
        <v>1822</v>
      </c>
      <c r="Y365" s="1838"/>
      <c r="Z365" s="1838"/>
      <c r="AA365" s="1838"/>
      <c r="AB365" s="1838"/>
      <c r="AC365" s="1838" t="s">
        <v>1823</v>
      </c>
      <c r="AD365" s="1838"/>
      <c r="AE365" s="1838"/>
      <c r="AF365" s="1838"/>
      <c r="AG365" s="1838"/>
    </row>
    <row r="366" spans="1:34" s="584" customFormat="1" ht="28.5" customHeight="1" thickBot="1">
      <c r="A366" s="597"/>
      <c r="D366" s="2615" t="s">
        <v>1824</v>
      </c>
      <c r="E366" s="2098"/>
      <c r="F366" s="2098"/>
      <c r="G366" s="2098"/>
      <c r="H366" s="2098"/>
      <c r="I366" s="2022">
        <f>'Notes- SK Template'!I368</f>
        <v>4833</v>
      </c>
      <c r="J366" s="2023"/>
      <c r="K366" s="2023"/>
      <c r="L366" s="2023">
        <f>'Notes- SK Template'!L368</f>
        <v>0</v>
      </c>
      <c r="M366" s="2023"/>
      <c r="N366" s="2023"/>
      <c r="O366" s="2023"/>
      <c r="P366" s="2023"/>
      <c r="Q366" s="2023"/>
      <c r="R366" s="2023"/>
      <c r="S366" s="2023">
        <f>'Notes- SK Template'!S368</f>
        <v>0</v>
      </c>
      <c r="T366" s="2023"/>
      <c r="U366" s="2023"/>
      <c r="V366" s="2023">
        <f>'Notes- SK Template'!V368</f>
        <v>0</v>
      </c>
      <c r="W366" s="2023"/>
      <c r="X366" s="2023"/>
      <c r="Y366" s="2023"/>
      <c r="Z366" s="2023"/>
      <c r="AA366" s="2023"/>
      <c r="AB366" s="2023"/>
      <c r="AC366" s="2025">
        <f>'Notes- SK Template'!AC368</f>
        <v>6224</v>
      </c>
      <c r="AD366" s="2025"/>
      <c r="AE366" s="2025"/>
      <c r="AF366" s="2025">
        <f>'Notes- SK Template'!AF368</f>
        <v>0</v>
      </c>
      <c r="AG366" s="2026"/>
    </row>
    <row r="367" spans="1:34" s="584" customFormat="1" ht="34.5" customHeight="1" thickBot="1">
      <c r="A367" s="597"/>
      <c r="D367" s="2615" t="s">
        <v>1825</v>
      </c>
      <c r="E367" s="2098"/>
      <c r="F367" s="2098"/>
      <c r="G367" s="2098"/>
      <c r="H367" s="2098"/>
      <c r="I367" s="1814">
        <f>'Notes- SK Template'!I369</f>
        <v>0</v>
      </c>
      <c r="J367" s="1778"/>
      <c r="K367" s="1778"/>
      <c r="L367" s="1778">
        <f>'Notes- SK Template'!L369</f>
        <v>0</v>
      </c>
      <c r="M367" s="1778"/>
      <c r="N367" s="1778"/>
      <c r="O367" s="1778"/>
      <c r="P367" s="1778"/>
      <c r="Q367" s="1778"/>
      <c r="R367" s="1778"/>
      <c r="S367" s="1778"/>
      <c r="T367" s="1778"/>
      <c r="U367" s="1778"/>
      <c r="V367" s="1778"/>
      <c r="W367" s="1778"/>
      <c r="X367" s="1778"/>
      <c r="Y367" s="1778"/>
      <c r="Z367" s="1778"/>
      <c r="AA367" s="1778"/>
      <c r="AB367" s="1778"/>
      <c r="AC367" s="1816">
        <f>'Notes- SK Template'!AC369</f>
        <v>0</v>
      </c>
      <c r="AD367" s="1816"/>
      <c r="AE367" s="1816"/>
      <c r="AF367" s="1816">
        <f>'Notes- SK Template'!AF369</f>
        <v>0</v>
      </c>
      <c r="AG367" s="1817"/>
    </row>
    <row r="368" spans="1:34" s="584" customFormat="1" ht="28.5" customHeight="1" thickBot="1">
      <c r="A368" s="597"/>
      <c r="D368" s="2615" t="s">
        <v>1826</v>
      </c>
      <c r="E368" s="2098"/>
      <c r="F368" s="2098"/>
      <c r="G368" s="2098"/>
      <c r="H368" s="2098"/>
      <c r="I368" s="1814">
        <f>'Notes- SK Template'!I370</f>
        <v>0</v>
      </c>
      <c r="J368" s="1778"/>
      <c r="K368" s="1778"/>
      <c r="L368" s="1778">
        <f>'Notes- SK Template'!L370</f>
        <v>0</v>
      </c>
      <c r="M368" s="1778"/>
      <c r="N368" s="1778"/>
      <c r="O368" s="1778"/>
      <c r="P368" s="1778"/>
      <c r="Q368" s="1778"/>
      <c r="R368" s="1778"/>
      <c r="S368" s="1778"/>
      <c r="T368" s="1778"/>
      <c r="U368" s="1778"/>
      <c r="V368" s="1778"/>
      <c r="W368" s="1778"/>
      <c r="X368" s="1778"/>
      <c r="Y368" s="1778"/>
      <c r="Z368" s="1778"/>
      <c r="AA368" s="1778"/>
      <c r="AB368" s="1778"/>
      <c r="AC368" s="1816">
        <f>'Notes- SK Template'!AC370</f>
        <v>0</v>
      </c>
      <c r="AD368" s="1816"/>
      <c r="AE368" s="1816"/>
      <c r="AF368" s="1816">
        <f>'Notes- SK Template'!AF370</f>
        <v>0</v>
      </c>
      <c r="AG368" s="1817"/>
    </row>
    <row r="369" spans="1:33" s="584" customFormat="1" ht="28.5" customHeight="1" thickBot="1">
      <c r="A369" s="597"/>
      <c r="D369" s="2615" t="s">
        <v>1827</v>
      </c>
      <c r="E369" s="2098"/>
      <c r="F369" s="2098"/>
      <c r="G369" s="2098"/>
      <c r="H369" s="2098"/>
      <c r="I369" s="1814">
        <f>'Notes- SK Template'!I371</f>
        <v>0</v>
      </c>
      <c r="J369" s="1778"/>
      <c r="K369" s="1778"/>
      <c r="L369" s="1778">
        <f>'Notes- SK Template'!L371</f>
        <v>0</v>
      </c>
      <c r="M369" s="1778"/>
      <c r="N369" s="1778"/>
      <c r="O369" s="1778"/>
      <c r="P369" s="1778"/>
      <c r="Q369" s="1778"/>
      <c r="R369" s="1778"/>
      <c r="S369" s="1778"/>
      <c r="T369" s="1778"/>
      <c r="U369" s="1778"/>
      <c r="V369" s="1778"/>
      <c r="W369" s="1778"/>
      <c r="X369" s="1778"/>
      <c r="Y369" s="1778"/>
      <c r="Z369" s="1778"/>
      <c r="AA369" s="1778"/>
      <c r="AB369" s="1778"/>
      <c r="AC369" s="1816">
        <f>'Notes- SK Template'!AC371</f>
        <v>0</v>
      </c>
      <c r="AD369" s="1816"/>
      <c r="AE369" s="1816"/>
      <c r="AF369" s="1816">
        <f>'Notes- SK Template'!AF371</f>
        <v>0</v>
      </c>
      <c r="AG369" s="1817"/>
    </row>
    <row r="370" spans="1:33" s="584" customFormat="1" ht="28.5" customHeight="1" thickBot="1">
      <c r="A370" s="597"/>
      <c r="D370" s="2615" t="s">
        <v>1828</v>
      </c>
      <c r="E370" s="2098"/>
      <c r="F370" s="2098"/>
      <c r="G370" s="2098"/>
      <c r="H370" s="2098"/>
      <c r="I370" s="1814">
        <f>'Notes- SK Template'!I372</f>
        <v>0</v>
      </c>
      <c r="J370" s="1778"/>
      <c r="K370" s="1778"/>
      <c r="L370" s="1778">
        <f>'Notes- SK Template'!L372</f>
        <v>0</v>
      </c>
      <c r="M370" s="1778"/>
      <c r="N370" s="1778"/>
      <c r="O370" s="1778"/>
      <c r="P370" s="1778"/>
      <c r="Q370" s="1778"/>
      <c r="R370" s="1778"/>
      <c r="S370" s="1778"/>
      <c r="T370" s="1778"/>
      <c r="U370" s="1778"/>
      <c r="V370" s="1778"/>
      <c r="W370" s="1778"/>
      <c r="X370" s="1778"/>
      <c r="Y370" s="1778"/>
      <c r="Z370" s="1778"/>
      <c r="AA370" s="1778"/>
      <c r="AB370" s="1778"/>
      <c r="AC370" s="1816">
        <f>'Notes- SK Template'!AC372</f>
        <v>0</v>
      </c>
      <c r="AD370" s="1816"/>
      <c r="AE370" s="1816"/>
      <c r="AF370" s="1816">
        <f>'Notes- SK Template'!AF372</f>
        <v>0</v>
      </c>
      <c r="AG370" s="1817"/>
    </row>
    <row r="371" spans="1:33" s="584" customFormat="1" ht="28.5" customHeight="1" thickBot="1">
      <c r="A371" s="597"/>
      <c r="D371" s="2615" t="s">
        <v>1829</v>
      </c>
      <c r="E371" s="2098"/>
      <c r="F371" s="2098"/>
      <c r="G371" s="2098"/>
      <c r="H371" s="2098"/>
      <c r="I371" s="1814">
        <f>'Notes- SK Template'!I373</f>
        <v>0</v>
      </c>
      <c r="J371" s="1778"/>
      <c r="K371" s="1778"/>
      <c r="L371" s="1778">
        <f>'Notes- SK Template'!L373</f>
        <v>0</v>
      </c>
      <c r="M371" s="1778"/>
      <c r="N371" s="1778"/>
      <c r="O371" s="1778"/>
      <c r="P371" s="1778"/>
      <c r="Q371" s="1778"/>
      <c r="R371" s="1778"/>
      <c r="S371" s="1778"/>
      <c r="T371" s="1778"/>
      <c r="U371" s="1778"/>
      <c r="V371" s="1778"/>
      <c r="W371" s="1778"/>
      <c r="X371" s="1778"/>
      <c r="Y371" s="1778"/>
      <c r="Z371" s="1778"/>
      <c r="AA371" s="1778"/>
      <c r="AB371" s="1778"/>
      <c r="AC371" s="1816">
        <f>'Notes- SK Template'!AC373</f>
        <v>0</v>
      </c>
      <c r="AD371" s="1816"/>
      <c r="AE371" s="1816"/>
      <c r="AF371" s="1816">
        <f>'Notes- SK Template'!AF373</f>
        <v>0</v>
      </c>
      <c r="AG371" s="1817"/>
    </row>
    <row r="372" spans="1:33" s="584" customFormat="1" ht="28.5" customHeight="1" thickBot="1">
      <c r="A372" s="597"/>
      <c r="D372" s="2615" t="s">
        <v>1830</v>
      </c>
      <c r="E372" s="2098"/>
      <c r="F372" s="2098"/>
      <c r="G372" s="2098"/>
      <c r="H372" s="2098"/>
      <c r="I372" s="1814">
        <f>'Notes- SK Template'!I374</f>
        <v>0</v>
      </c>
      <c r="J372" s="1778"/>
      <c r="K372" s="1778"/>
      <c r="L372" s="1778">
        <f>'Notes- SK Template'!L374</f>
        <v>0</v>
      </c>
      <c r="M372" s="1778"/>
      <c r="N372" s="1778"/>
      <c r="O372" s="1778"/>
      <c r="P372" s="1778"/>
      <c r="Q372" s="1778"/>
      <c r="R372" s="1778"/>
      <c r="S372" s="1778"/>
      <c r="T372" s="1778"/>
      <c r="U372" s="1778"/>
      <c r="V372" s="1778"/>
      <c r="W372" s="1778"/>
      <c r="X372" s="1778"/>
      <c r="Y372" s="1778"/>
      <c r="Z372" s="1778"/>
      <c r="AA372" s="1778"/>
      <c r="AB372" s="1778"/>
      <c r="AC372" s="1816">
        <f>'Notes- SK Template'!AC374</f>
        <v>0</v>
      </c>
      <c r="AD372" s="1816"/>
      <c r="AE372" s="1816"/>
      <c r="AF372" s="1816">
        <f>'Notes- SK Template'!AF374</f>
        <v>0</v>
      </c>
      <c r="AG372" s="1817"/>
    </row>
    <row r="373" spans="1:33" s="584" customFormat="1" ht="28.5" customHeight="1" thickBot="1">
      <c r="A373" s="597"/>
      <c r="D373" s="1941" t="s">
        <v>1831</v>
      </c>
      <c r="E373" s="1941"/>
      <c r="F373" s="1941"/>
      <c r="G373" s="1941"/>
      <c r="H373" s="1941"/>
      <c r="I373" s="2092">
        <f>'Notes- SK Template'!I375</f>
        <v>4833</v>
      </c>
      <c r="J373" s="2093"/>
      <c r="K373" s="2093"/>
      <c r="L373" s="2093">
        <f>'Notes- SK Template'!L375</f>
        <v>0</v>
      </c>
      <c r="M373" s="2093"/>
      <c r="N373" s="2093">
        <f>'Notes- SK Template'!N375</f>
        <v>1391</v>
      </c>
      <c r="O373" s="2093"/>
      <c r="P373" s="2093"/>
      <c r="Q373" s="2093">
        <f>'Notes- SK Template'!Q375</f>
        <v>0</v>
      </c>
      <c r="R373" s="2093"/>
      <c r="S373" s="2093">
        <f>'Notes- SK Template'!S375</f>
        <v>0</v>
      </c>
      <c r="T373" s="2093"/>
      <c r="U373" s="2093"/>
      <c r="V373" s="2093">
        <f>'Notes- SK Template'!V375</f>
        <v>0</v>
      </c>
      <c r="W373" s="2093"/>
      <c r="X373" s="2093">
        <f>'Notes- SK Template'!X375</f>
        <v>0</v>
      </c>
      <c r="Y373" s="2093"/>
      <c r="Z373" s="2093"/>
      <c r="AA373" s="2093">
        <f>'Notes- SK Template'!AA375</f>
        <v>0</v>
      </c>
      <c r="AB373" s="2093"/>
      <c r="AC373" s="2093">
        <f>'Notes- SK Template'!AC375</f>
        <v>6224</v>
      </c>
      <c r="AD373" s="2093"/>
      <c r="AE373" s="2093"/>
      <c r="AF373" s="2093">
        <f>'Notes- SK Template'!AF375</f>
        <v>0</v>
      </c>
      <c r="AG373" s="2096"/>
    </row>
    <row r="374" spans="1:33" s="584" customFormat="1">
      <c r="A374" s="597"/>
    </row>
    <row r="375" spans="1:33" s="584" customFormat="1" ht="15" thickBot="1">
      <c r="A375" s="597"/>
    </row>
    <row r="376" spans="1:33" s="584" customFormat="1" ht="15" thickBot="1">
      <c r="A376" s="597"/>
      <c r="D376" s="1859" t="s">
        <v>1818</v>
      </c>
      <c r="E376" s="1859"/>
      <c r="F376" s="1859"/>
      <c r="G376" s="1859"/>
      <c r="H376" s="1859"/>
      <c r="I376" s="1859" t="s">
        <v>1802</v>
      </c>
      <c r="J376" s="1859"/>
      <c r="K376" s="1859"/>
      <c r="L376" s="1859"/>
      <c r="M376" s="1859"/>
      <c r="N376" s="1859"/>
      <c r="O376" s="1859"/>
      <c r="P376" s="1859"/>
      <c r="Q376" s="1859"/>
      <c r="R376" s="1859"/>
      <c r="S376" s="1859"/>
      <c r="T376" s="1859"/>
      <c r="U376" s="1859"/>
      <c r="V376" s="1859"/>
      <c r="W376" s="1859"/>
      <c r="X376" s="1859"/>
      <c r="Y376" s="1859"/>
      <c r="Z376" s="1859"/>
      <c r="AA376" s="1859"/>
      <c r="AB376" s="1859"/>
      <c r="AC376" s="1859"/>
      <c r="AD376" s="1859"/>
      <c r="AE376" s="1859"/>
      <c r="AF376" s="1859"/>
      <c r="AG376" s="1859"/>
    </row>
    <row r="377" spans="1:33" s="584" customFormat="1" ht="34.5" customHeight="1" thickBot="1">
      <c r="A377" s="597"/>
      <c r="D377" s="1859"/>
      <c r="E377" s="1859"/>
      <c r="F377" s="1859"/>
      <c r="G377" s="1859"/>
      <c r="H377" s="1859"/>
      <c r="I377" s="1838" t="s">
        <v>1819</v>
      </c>
      <c r="J377" s="1838"/>
      <c r="K377" s="1838"/>
      <c r="L377" s="1838"/>
      <c r="M377" s="1838"/>
      <c r="N377" s="1838" t="s">
        <v>1820</v>
      </c>
      <c r="O377" s="1838"/>
      <c r="P377" s="1838"/>
      <c r="Q377" s="1838"/>
      <c r="R377" s="1838"/>
      <c r="S377" s="1838" t="s">
        <v>1821</v>
      </c>
      <c r="T377" s="1838"/>
      <c r="U377" s="1838"/>
      <c r="V377" s="1838"/>
      <c r="W377" s="1838"/>
      <c r="X377" s="1838" t="s">
        <v>1822</v>
      </c>
      <c r="Y377" s="1838"/>
      <c r="Z377" s="1838"/>
      <c r="AA377" s="1838"/>
      <c r="AB377" s="1838"/>
      <c r="AC377" s="1838" t="s">
        <v>1823</v>
      </c>
      <c r="AD377" s="1838"/>
      <c r="AE377" s="1838"/>
      <c r="AF377" s="1838"/>
      <c r="AG377" s="1838"/>
    </row>
    <row r="378" spans="1:33" s="584" customFormat="1" ht="30.75" customHeight="1" thickBot="1">
      <c r="A378" s="597"/>
      <c r="D378" s="2615" t="s">
        <v>1824</v>
      </c>
      <c r="E378" s="2098"/>
      <c r="F378" s="2098"/>
      <c r="G378" s="2098"/>
      <c r="H378" s="2098"/>
      <c r="I378" s="2022">
        <f>'Notes- SK Template'!I379</f>
        <v>7518</v>
      </c>
      <c r="J378" s="2023"/>
      <c r="K378" s="2023"/>
      <c r="L378" s="2023">
        <f>'Notes- SK Template'!L380</f>
        <v>0</v>
      </c>
      <c r="M378" s="2023"/>
      <c r="N378" s="2023"/>
      <c r="O378" s="2023"/>
      <c r="P378" s="2023"/>
      <c r="Q378" s="2023"/>
      <c r="R378" s="2023"/>
      <c r="S378" s="2023">
        <f>'Notes- SK Template'!S379</f>
        <v>-2685</v>
      </c>
      <c r="T378" s="2023"/>
      <c r="U378" s="2023"/>
      <c r="V378" s="2023">
        <f>'Notes- SK Template'!V380</f>
        <v>0</v>
      </c>
      <c r="W378" s="2023"/>
      <c r="X378" s="2023"/>
      <c r="Y378" s="2023"/>
      <c r="Z378" s="2023"/>
      <c r="AA378" s="2023"/>
      <c r="AB378" s="2023"/>
      <c r="AC378" s="2025">
        <f>'Notes- SK Template'!AC379</f>
        <v>4833</v>
      </c>
      <c r="AD378" s="2025"/>
      <c r="AE378" s="2025"/>
      <c r="AF378" s="2025">
        <f>'Notes- SK Template'!AF380</f>
        <v>0</v>
      </c>
      <c r="AG378" s="2026"/>
    </row>
    <row r="379" spans="1:33" s="584" customFormat="1" ht="30" customHeight="1" thickBot="1">
      <c r="A379" s="597"/>
      <c r="D379" s="2615" t="s">
        <v>1825</v>
      </c>
      <c r="E379" s="2098"/>
      <c r="F379" s="2098"/>
      <c r="G379" s="2098"/>
      <c r="H379" s="2098"/>
      <c r="I379" s="1814">
        <f>'Notes- SK Template'!I380</f>
        <v>0</v>
      </c>
      <c r="J379" s="1778"/>
      <c r="K379" s="1778"/>
      <c r="L379" s="1778">
        <f>'Notes- SK Template'!L381</f>
        <v>0</v>
      </c>
      <c r="M379" s="1778"/>
      <c r="N379" s="1778"/>
      <c r="O379" s="1778"/>
      <c r="P379" s="1778"/>
      <c r="Q379" s="1778"/>
      <c r="R379" s="1778"/>
      <c r="S379" s="1778"/>
      <c r="T379" s="1778"/>
      <c r="U379" s="1778"/>
      <c r="V379" s="1778"/>
      <c r="W379" s="1778"/>
      <c r="X379" s="1778"/>
      <c r="Y379" s="1778"/>
      <c r="Z379" s="1778"/>
      <c r="AA379" s="1778"/>
      <c r="AB379" s="1778"/>
      <c r="AC379" s="1816">
        <f>'Notes- SK Template'!AC380</f>
        <v>0</v>
      </c>
      <c r="AD379" s="1816"/>
      <c r="AE379" s="1816"/>
      <c r="AF379" s="1816">
        <f>'Notes- SK Template'!AF381</f>
        <v>0</v>
      </c>
      <c r="AG379" s="1817"/>
    </row>
    <row r="380" spans="1:33" s="584" customFormat="1" ht="25.5" customHeight="1" thickBot="1">
      <c r="A380" s="597"/>
      <c r="D380" s="2615" t="s">
        <v>1826</v>
      </c>
      <c r="E380" s="2098"/>
      <c r="F380" s="2098"/>
      <c r="G380" s="2098"/>
      <c r="H380" s="2098"/>
      <c r="I380" s="1814">
        <f>'Notes- SK Template'!I381</f>
        <v>0</v>
      </c>
      <c r="J380" s="1778"/>
      <c r="K380" s="1778"/>
      <c r="L380" s="1778">
        <f>'Notes- SK Template'!L382</f>
        <v>0</v>
      </c>
      <c r="M380" s="1778"/>
      <c r="N380" s="1778"/>
      <c r="O380" s="1778"/>
      <c r="P380" s="1778"/>
      <c r="Q380" s="1778"/>
      <c r="R380" s="1778"/>
      <c r="S380" s="1778"/>
      <c r="T380" s="1778"/>
      <c r="U380" s="1778"/>
      <c r="V380" s="1778"/>
      <c r="W380" s="1778"/>
      <c r="X380" s="1778"/>
      <c r="Y380" s="1778"/>
      <c r="Z380" s="1778"/>
      <c r="AA380" s="1778"/>
      <c r="AB380" s="1778"/>
      <c r="AC380" s="1816">
        <f>'Notes- SK Template'!AC381</f>
        <v>0</v>
      </c>
      <c r="AD380" s="1816"/>
      <c r="AE380" s="1816"/>
      <c r="AF380" s="1816">
        <f>'Notes- SK Template'!AF382</f>
        <v>0</v>
      </c>
      <c r="AG380" s="1817"/>
    </row>
    <row r="381" spans="1:33" s="584" customFormat="1" ht="15" customHeight="1" thickBot="1">
      <c r="A381" s="597"/>
      <c r="D381" s="2615" t="s">
        <v>1827</v>
      </c>
      <c r="E381" s="2098"/>
      <c r="F381" s="2098"/>
      <c r="G381" s="2098"/>
      <c r="H381" s="2098"/>
      <c r="I381" s="1814">
        <f>'Notes- SK Template'!I382</f>
        <v>0</v>
      </c>
      <c r="J381" s="1778"/>
      <c r="K381" s="1778"/>
      <c r="L381" s="1778">
        <f>'Notes- SK Template'!L383</f>
        <v>0</v>
      </c>
      <c r="M381" s="1778"/>
      <c r="N381" s="1778"/>
      <c r="O381" s="1778"/>
      <c r="P381" s="1778"/>
      <c r="Q381" s="1778"/>
      <c r="R381" s="1778"/>
      <c r="S381" s="1778"/>
      <c r="T381" s="1778"/>
      <c r="U381" s="1778"/>
      <c r="V381" s="1778"/>
      <c r="W381" s="1778"/>
      <c r="X381" s="1778"/>
      <c r="Y381" s="1778"/>
      <c r="Z381" s="1778"/>
      <c r="AA381" s="1778"/>
      <c r="AB381" s="1778"/>
      <c r="AC381" s="1816">
        <f>'Notes- SK Template'!AC382</f>
        <v>0</v>
      </c>
      <c r="AD381" s="1816"/>
      <c r="AE381" s="1816"/>
      <c r="AF381" s="1816">
        <f>'Notes- SK Template'!AF383</f>
        <v>0</v>
      </c>
      <c r="AG381" s="1817"/>
    </row>
    <row r="382" spans="1:33" s="584" customFormat="1" ht="30" customHeight="1" thickBot="1">
      <c r="A382" s="597"/>
      <c r="D382" s="2615" t="s">
        <v>1828</v>
      </c>
      <c r="E382" s="2098"/>
      <c r="F382" s="2098"/>
      <c r="G382" s="2098"/>
      <c r="H382" s="2098"/>
      <c r="I382" s="1814">
        <f>'Notes- SK Template'!I383</f>
        <v>0</v>
      </c>
      <c r="J382" s="1778"/>
      <c r="K382" s="1778"/>
      <c r="L382" s="1778">
        <f>'Notes- SK Template'!L384</f>
        <v>0</v>
      </c>
      <c r="M382" s="1778"/>
      <c r="N382" s="1778"/>
      <c r="O382" s="1778"/>
      <c r="P382" s="1778"/>
      <c r="Q382" s="1778"/>
      <c r="R382" s="1778"/>
      <c r="S382" s="1778"/>
      <c r="T382" s="1778"/>
      <c r="U382" s="1778"/>
      <c r="V382" s="1778"/>
      <c r="W382" s="1778"/>
      <c r="X382" s="1778"/>
      <c r="Y382" s="1778"/>
      <c r="Z382" s="1778"/>
      <c r="AA382" s="1778"/>
      <c r="AB382" s="1778"/>
      <c r="AC382" s="1816">
        <f>'Notes- SK Template'!AC383</f>
        <v>0</v>
      </c>
      <c r="AD382" s="1816"/>
      <c r="AE382" s="1816"/>
      <c r="AF382" s="1816">
        <f>'Notes- SK Template'!AF384</f>
        <v>0</v>
      </c>
      <c r="AG382" s="1817"/>
    </row>
    <row r="383" spans="1:33" s="584" customFormat="1" ht="30" customHeight="1" thickBot="1">
      <c r="A383" s="597"/>
      <c r="D383" s="2615" t="s">
        <v>1829</v>
      </c>
      <c r="E383" s="2098"/>
      <c r="F383" s="2098"/>
      <c r="G383" s="2098"/>
      <c r="H383" s="2098"/>
      <c r="I383" s="1814">
        <f>'Notes- SK Template'!I384</f>
        <v>0</v>
      </c>
      <c r="J383" s="1778"/>
      <c r="K383" s="1778"/>
      <c r="L383" s="1778">
        <f>'Notes- SK Template'!L385</f>
        <v>0</v>
      </c>
      <c r="M383" s="1778"/>
      <c r="N383" s="1778"/>
      <c r="O383" s="1778"/>
      <c r="P383" s="1778"/>
      <c r="Q383" s="1778"/>
      <c r="R383" s="1778"/>
      <c r="S383" s="1778"/>
      <c r="T383" s="1778"/>
      <c r="U383" s="1778"/>
      <c r="V383" s="1778"/>
      <c r="W383" s="1778"/>
      <c r="X383" s="1778"/>
      <c r="Y383" s="1778"/>
      <c r="Z383" s="1778"/>
      <c r="AA383" s="1778"/>
      <c r="AB383" s="1778"/>
      <c r="AC383" s="1816">
        <f>'Notes- SK Template'!AC384</f>
        <v>0</v>
      </c>
      <c r="AD383" s="1816"/>
      <c r="AE383" s="1816"/>
      <c r="AF383" s="1816">
        <f>'Notes- SK Template'!AF385</f>
        <v>0</v>
      </c>
      <c r="AG383" s="1817"/>
    </row>
    <row r="384" spans="1:33" s="584" customFormat="1" ht="34.5" customHeight="1" thickBot="1">
      <c r="A384" s="597"/>
      <c r="D384" s="2615" t="s">
        <v>1830</v>
      </c>
      <c r="E384" s="2098"/>
      <c r="F384" s="2098"/>
      <c r="G384" s="2098"/>
      <c r="H384" s="2098"/>
      <c r="I384" s="1814">
        <f>'Notes- SK Template'!I385</f>
        <v>0</v>
      </c>
      <c r="J384" s="1778"/>
      <c r="K384" s="1778"/>
      <c r="L384" s="1778">
        <f>'Notes- SK Template'!L386</f>
        <v>0</v>
      </c>
      <c r="M384" s="1778"/>
      <c r="N384" s="1778"/>
      <c r="O384" s="1778"/>
      <c r="P384" s="1778"/>
      <c r="Q384" s="1778"/>
      <c r="R384" s="1778"/>
      <c r="S384" s="1778"/>
      <c r="T384" s="1778"/>
      <c r="U384" s="1778"/>
      <c r="V384" s="1778"/>
      <c r="W384" s="1778"/>
      <c r="X384" s="1778"/>
      <c r="Y384" s="1778"/>
      <c r="Z384" s="1778"/>
      <c r="AA384" s="1778"/>
      <c r="AB384" s="1778"/>
      <c r="AC384" s="1816">
        <f>'Notes- SK Template'!AC385</f>
        <v>0</v>
      </c>
      <c r="AD384" s="1816"/>
      <c r="AE384" s="1816"/>
      <c r="AF384" s="1816">
        <f>'Notes- SK Template'!AF386</f>
        <v>0</v>
      </c>
      <c r="AG384" s="1817"/>
    </row>
    <row r="385" spans="1:33" s="584" customFormat="1" ht="21.75" customHeight="1" thickBot="1">
      <c r="A385" s="597"/>
      <c r="D385" s="1941" t="s">
        <v>1831</v>
      </c>
      <c r="E385" s="1941"/>
      <c r="F385" s="1941"/>
      <c r="G385" s="1941"/>
      <c r="H385" s="1941"/>
      <c r="I385" s="2092">
        <f>'Notes- SK Template'!I386</f>
        <v>7518</v>
      </c>
      <c r="J385" s="2093"/>
      <c r="K385" s="2093"/>
      <c r="L385" s="2093">
        <f>'Notes- SK Template'!L387</f>
        <v>0</v>
      </c>
      <c r="M385" s="2093"/>
      <c r="N385" s="2093">
        <f>'Notes- SK Template'!N386</f>
        <v>0</v>
      </c>
      <c r="O385" s="2093"/>
      <c r="P385" s="2093"/>
      <c r="Q385" s="2093">
        <f>'Notes- SK Template'!Q387</f>
        <v>0</v>
      </c>
      <c r="R385" s="2093"/>
      <c r="S385" s="2093">
        <f>'Notes- SK Template'!S386</f>
        <v>-2685</v>
      </c>
      <c r="T385" s="2093"/>
      <c r="U385" s="2093"/>
      <c r="V385" s="2093">
        <f>'Notes- SK Template'!V387</f>
        <v>0</v>
      </c>
      <c r="W385" s="2093"/>
      <c r="X385" s="2093">
        <f>'Notes- SK Template'!X386</f>
        <v>0</v>
      </c>
      <c r="Y385" s="2093"/>
      <c r="Z385" s="2093"/>
      <c r="AA385" s="2093">
        <f>'Notes- SK Template'!AA387</f>
        <v>0</v>
      </c>
      <c r="AB385" s="2093"/>
      <c r="AC385" s="2093">
        <f>'Notes- SK Template'!AC386</f>
        <v>4833</v>
      </c>
      <c r="AD385" s="2093"/>
      <c r="AE385" s="2093"/>
      <c r="AF385" s="2093">
        <f>'Notes- SK Template'!AF387</f>
        <v>0</v>
      </c>
      <c r="AG385" s="2096"/>
    </row>
    <row r="386" spans="1:33" s="584" customFormat="1">
      <c r="A386" s="597"/>
    </row>
    <row r="387" spans="1:33" s="584" customFormat="1" ht="31.9" customHeight="1">
      <c r="A387" s="597"/>
      <c r="D387" s="2090" t="s">
        <v>3046</v>
      </c>
      <c r="E387" s="2091"/>
      <c r="F387" s="2091"/>
      <c r="G387" s="2091"/>
      <c r="H387" s="2091"/>
      <c r="I387" s="2091"/>
      <c r="J387" s="2091"/>
      <c r="K387" s="2091"/>
      <c r="L387" s="2091"/>
      <c r="M387" s="2091"/>
      <c r="N387" s="2091"/>
      <c r="O387" s="2091"/>
      <c r="P387" s="2091"/>
      <c r="Q387" s="2091"/>
      <c r="R387" s="2091"/>
      <c r="S387" s="2091"/>
      <c r="T387" s="2091"/>
      <c r="U387" s="2091"/>
      <c r="V387" s="2091"/>
      <c r="W387" s="2091"/>
      <c r="X387" s="2091"/>
      <c r="Y387" s="2091"/>
      <c r="Z387" s="2091"/>
      <c r="AA387" s="2091"/>
      <c r="AB387" s="2091"/>
      <c r="AC387" s="2091"/>
      <c r="AD387" s="2091"/>
      <c r="AE387" s="2091"/>
      <c r="AF387" s="2091"/>
      <c r="AG387" s="2091"/>
    </row>
    <row r="388" spans="1:33" s="584" customFormat="1">
      <c r="A388" s="597"/>
      <c r="D388" s="2057" t="s">
        <v>2028</v>
      </c>
      <c r="E388" s="2058"/>
      <c r="F388" s="2058"/>
      <c r="G388" s="2058"/>
      <c r="H388" s="2058"/>
      <c r="I388" s="2058"/>
      <c r="J388" s="2058"/>
      <c r="K388" s="2058"/>
      <c r="L388" s="2058"/>
      <c r="M388" s="2058"/>
      <c r="N388" s="2058"/>
      <c r="O388" s="2058"/>
      <c r="P388" s="2058"/>
      <c r="Q388" s="2058"/>
      <c r="R388" s="2058"/>
      <c r="S388" s="2058"/>
      <c r="T388" s="2058"/>
      <c r="U388" s="2058"/>
      <c r="V388" s="2058"/>
      <c r="W388" s="2058"/>
      <c r="X388" s="2058"/>
      <c r="Y388" s="2058"/>
      <c r="Z388" s="2058"/>
      <c r="AA388" s="2058"/>
      <c r="AB388" s="2058"/>
      <c r="AC388" s="2058"/>
      <c r="AD388" s="2058"/>
      <c r="AE388" s="2058"/>
      <c r="AF388" s="2058"/>
      <c r="AG388" s="2058"/>
    </row>
    <row r="389" spans="1:33" s="584" customFormat="1" ht="15" thickBot="1">
      <c r="A389" s="597"/>
    </row>
    <row r="390" spans="1:33" s="584" customFormat="1" ht="30" customHeight="1" thickBot="1">
      <c r="A390" s="597">
        <v>13</v>
      </c>
      <c r="D390" s="1859" t="s">
        <v>1818</v>
      </c>
      <c r="E390" s="1859"/>
      <c r="F390" s="1859"/>
      <c r="G390" s="1859"/>
      <c r="H390" s="1859"/>
      <c r="I390" s="1859"/>
      <c r="J390" s="1859"/>
      <c r="K390" s="1859"/>
      <c r="L390" s="1859"/>
      <c r="M390" s="1859"/>
      <c r="N390" s="1859"/>
      <c r="O390" s="1859"/>
      <c r="P390" s="1859"/>
      <c r="Q390" s="1859"/>
      <c r="R390" s="1859"/>
      <c r="S390" s="1859"/>
      <c r="T390" s="1995" t="s">
        <v>1803</v>
      </c>
      <c r="U390" s="1996"/>
      <c r="V390" s="1996"/>
      <c r="W390" s="1996"/>
      <c r="X390" s="1996"/>
      <c r="Y390" s="1996"/>
      <c r="Z390" s="1997"/>
      <c r="AA390" s="1995" t="s">
        <v>2957</v>
      </c>
      <c r="AB390" s="1996"/>
      <c r="AC390" s="1996"/>
      <c r="AD390" s="1996"/>
      <c r="AE390" s="1996"/>
      <c r="AF390" s="1996"/>
      <c r="AG390" s="1997"/>
    </row>
    <row r="391" spans="1:33" s="584" customFormat="1" ht="19.5" customHeight="1">
      <c r="A391" s="597"/>
      <c r="D391" s="2610" t="s">
        <v>1832</v>
      </c>
      <c r="E391" s="2086"/>
      <c r="F391" s="2086"/>
      <c r="G391" s="2086"/>
      <c r="H391" s="2086"/>
      <c r="I391" s="2086"/>
      <c r="J391" s="2086"/>
      <c r="K391" s="2086"/>
      <c r="L391" s="2086"/>
      <c r="M391" s="2086"/>
      <c r="N391" s="2086"/>
      <c r="O391" s="2086"/>
      <c r="P391" s="2086"/>
      <c r="Q391" s="2086"/>
      <c r="R391" s="2086"/>
      <c r="S391" s="2086"/>
      <c r="T391" s="2646" t="str">
        <f>'Notes- SK Template'!T395</f>
        <v>-</v>
      </c>
      <c r="U391" s="2210"/>
      <c r="V391" s="2210"/>
      <c r="W391" s="2210"/>
      <c r="X391" s="2210"/>
      <c r="Y391" s="2210"/>
      <c r="Z391" s="2211"/>
      <c r="AA391" s="2646" t="str">
        <f>'Notes- SK Template'!AA395</f>
        <v>-</v>
      </c>
      <c r="AB391" s="2210"/>
      <c r="AC391" s="2210"/>
      <c r="AD391" s="2210"/>
      <c r="AE391" s="2210"/>
      <c r="AF391" s="2210"/>
      <c r="AG391" s="2211"/>
    </row>
    <row r="392" spans="1:33" s="584" customFormat="1" ht="19.5" customHeight="1" thickBot="1">
      <c r="A392" s="597"/>
      <c r="D392" s="2613" t="s">
        <v>1833</v>
      </c>
      <c r="E392" s="1942"/>
      <c r="F392" s="1942"/>
      <c r="G392" s="1942"/>
      <c r="H392" s="1942"/>
      <c r="I392" s="1942"/>
      <c r="J392" s="1942"/>
      <c r="K392" s="1942"/>
      <c r="L392" s="1942"/>
      <c r="M392" s="1942"/>
      <c r="N392" s="1942"/>
      <c r="O392" s="1942"/>
      <c r="P392" s="1942"/>
      <c r="Q392" s="1942"/>
      <c r="R392" s="1942"/>
      <c r="S392" s="1942"/>
      <c r="T392" s="2647" t="str">
        <f>'Notes- SK Template'!T396</f>
        <v>-</v>
      </c>
      <c r="U392" s="2213"/>
      <c r="V392" s="2213"/>
      <c r="W392" s="2213"/>
      <c r="X392" s="2213"/>
      <c r="Y392" s="2213"/>
      <c r="Z392" s="2214"/>
      <c r="AA392" s="2647" t="str">
        <f>'Notes- SK Template'!AA396</f>
        <v>-</v>
      </c>
      <c r="AB392" s="2213"/>
      <c r="AC392" s="2213"/>
      <c r="AD392" s="2213"/>
      <c r="AE392" s="2213"/>
      <c r="AF392" s="2213"/>
      <c r="AG392" s="2214"/>
    </row>
    <row r="393" spans="1:33" s="584" customFormat="1">
      <c r="A393" s="597"/>
    </row>
    <row r="394" spans="1:33" s="584" customFormat="1">
      <c r="A394" s="597"/>
      <c r="D394" s="2614"/>
      <c r="E394" s="2614"/>
      <c r="F394" s="2614"/>
      <c r="G394" s="2614"/>
      <c r="H394" s="2614"/>
      <c r="I394" s="2614"/>
      <c r="J394" s="2614"/>
      <c r="K394" s="2614"/>
      <c r="L394" s="2614"/>
      <c r="M394" s="2614"/>
      <c r="N394" s="2614"/>
      <c r="O394" s="2614"/>
      <c r="P394" s="2614"/>
      <c r="Q394" s="2614"/>
      <c r="R394" s="2614"/>
      <c r="S394" s="2614"/>
      <c r="T394" s="2614"/>
      <c r="U394" s="2614"/>
      <c r="V394" s="2614"/>
      <c r="W394" s="2614"/>
      <c r="X394" s="2614"/>
      <c r="Y394" s="2614"/>
      <c r="Z394" s="2614"/>
      <c r="AA394" s="2614"/>
      <c r="AB394" s="2614"/>
      <c r="AC394" s="2614"/>
      <c r="AD394" s="2614"/>
      <c r="AE394" s="2614"/>
      <c r="AF394" s="2614"/>
      <c r="AG394" s="2614"/>
    </row>
    <row r="395" spans="1:33" s="584" customFormat="1">
      <c r="A395" s="597"/>
      <c r="D395" s="2614"/>
      <c r="E395" s="2614"/>
      <c r="F395" s="2614"/>
      <c r="G395" s="2614"/>
      <c r="H395" s="2614"/>
      <c r="I395" s="2614"/>
      <c r="J395" s="2614"/>
      <c r="K395" s="2614"/>
      <c r="L395" s="2614"/>
      <c r="M395" s="2614"/>
      <c r="N395" s="2614"/>
      <c r="O395" s="2614"/>
      <c r="P395" s="2614"/>
      <c r="Q395" s="2614"/>
      <c r="R395" s="2614"/>
      <c r="S395" s="2614"/>
      <c r="T395" s="2614"/>
      <c r="U395" s="2614"/>
      <c r="V395" s="2614"/>
      <c r="W395" s="2614"/>
      <c r="X395" s="2614"/>
      <c r="Y395" s="2614"/>
      <c r="Z395" s="2614"/>
      <c r="AA395" s="2614"/>
      <c r="AB395" s="2614"/>
      <c r="AC395" s="2614"/>
      <c r="AD395" s="2614"/>
      <c r="AE395" s="2614"/>
      <c r="AF395" s="2614"/>
      <c r="AG395" s="2614"/>
    </row>
    <row r="396" spans="1:33" s="584" customFormat="1">
      <c r="A396" s="597"/>
      <c r="D396" s="2614"/>
      <c r="E396" s="2614"/>
      <c r="F396" s="2614"/>
      <c r="G396" s="2614"/>
      <c r="H396" s="2614"/>
      <c r="I396" s="2614"/>
      <c r="J396" s="2614"/>
      <c r="K396" s="2614"/>
      <c r="L396" s="2614"/>
      <c r="M396" s="2614"/>
      <c r="N396" s="2614"/>
      <c r="O396" s="2614"/>
      <c r="P396" s="2614"/>
      <c r="Q396" s="2614"/>
      <c r="R396" s="2614"/>
      <c r="S396" s="2614"/>
      <c r="T396" s="2614"/>
      <c r="U396" s="2614"/>
      <c r="V396" s="2614"/>
      <c r="W396" s="2614"/>
      <c r="X396" s="2614"/>
      <c r="Y396" s="2614"/>
      <c r="Z396" s="2614"/>
      <c r="AA396" s="2614"/>
      <c r="AB396" s="2614"/>
      <c r="AC396" s="2614"/>
      <c r="AD396" s="2614"/>
      <c r="AE396" s="2614"/>
      <c r="AF396" s="2614"/>
      <c r="AG396" s="2614"/>
    </row>
    <row r="397" spans="1:33" s="584" customFormat="1">
      <c r="A397" s="597"/>
      <c r="D397" s="1512"/>
      <c r="E397" s="1512"/>
      <c r="F397" s="1512"/>
      <c r="G397" s="1512"/>
      <c r="H397" s="1512"/>
      <c r="I397" s="1512"/>
      <c r="J397" s="1512"/>
      <c r="K397" s="1512"/>
      <c r="L397" s="1512"/>
      <c r="M397" s="1512"/>
      <c r="N397" s="1512"/>
      <c r="O397" s="1512"/>
      <c r="P397" s="1512"/>
      <c r="Q397" s="1512"/>
      <c r="R397" s="1512"/>
      <c r="S397" s="1512"/>
      <c r="T397" s="1512"/>
      <c r="U397" s="1512"/>
      <c r="V397" s="1512"/>
      <c r="W397" s="1512"/>
      <c r="X397" s="1512"/>
      <c r="Y397" s="1512"/>
      <c r="Z397" s="1512"/>
      <c r="AA397" s="1512"/>
      <c r="AB397" s="1512"/>
      <c r="AC397" s="1512"/>
      <c r="AD397" s="1512"/>
      <c r="AE397" s="1512"/>
      <c r="AF397" s="1512"/>
      <c r="AG397" s="1512"/>
    </row>
    <row r="398" spans="1:33" s="584" customFormat="1">
      <c r="A398" s="597"/>
      <c r="D398" s="582" t="s">
        <v>3055</v>
      </c>
    </row>
    <row r="399" spans="1:33" s="584" customFormat="1">
      <c r="A399" s="597"/>
    </row>
    <row r="400" spans="1:33" s="584" customFormat="1">
      <c r="A400" s="597"/>
      <c r="D400" s="2133" t="s">
        <v>1834</v>
      </c>
      <c r="E400" s="2279"/>
      <c r="F400" s="2279"/>
      <c r="G400" s="2279"/>
      <c r="H400" s="2279"/>
      <c r="I400" s="2279"/>
      <c r="J400" s="2279"/>
      <c r="K400" s="2279"/>
      <c r="L400" s="2279"/>
      <c r="M400" s="2279"/>
      <c r="N400" s="2279"/>
      <c r="O400" s="2279"/>
      <c r="P400" s="2279"/>
      <c r="Q400" s="2279"/>
      <c r="R400" s="2279"/>
      <c r="S400" s="2279"/>
      <c r="T400" s="2279"/>
      <c r="U400" s="2279"/>
      <c r="V400" s="2279"/>
      <c r="W400" s="2279"/>
      <c r="X400" s="2279"/>
      <c r="Y400" s="2279"/>
      <c r="Z400" s="2279"/>
      <c r="AA400" s="2279"/>
      <c r="AB400" s="2279"/>
      <c r="AC400" s="2279"/>
      <c r="AD400" s="2279"/>
      <c r="AE400" s="2279"/>
      <c r="AF400" s="2279"/>
      <c r="AG400" s="2279"/>
    </row>
    <row r="401" spans="1:33" s="584" customFormat="1" ht="15" thickBot="1">
      <c r="A401" s="597"/>
    </row>
    <row r="402" spans="1:33" s="584" customFormat="1" ht="15" thickBot="1">
      <c r="A402" s="597"/>
      <c r="D402" s="1859" t="s">
        <v>1835</v>
      </c>
      <c r="E402" s="1859"/>
      <c r="F402" s="1859"/>
      <c r="G402" s="1859"/>
      <c r="H402" s="1859"/>
      <c r="I402" s="1859" t="s">
        <v>1741</v>
      </c>
      <c r="J402" s="1859"/>
      <c r="K402" s="1859"/>
      <c r="L402" s="1859"/>
      <c r="M402" s="1859"/>
      <c r="N402" s="1859"/>
      <c r="O402" s="1859"/>
      <c r="P402" s="1859"/>
      <c r="Q402" s="1859"/>
      <c r="R402" s="1859"/>
      <c r="S402" s="1859"/>
      <c r="T402" s="1859"/>
      <c r="U402" s="1859"/>
      <c r="V402" s="1859"/>
      <c r="W402" s="1859"/>
      <c r="X402" s="1859"/>
      <c r="Y402" s="1859"/>
      <c r="Z402" s="1859"/>
      <c r="AA402" s="1859"/>
      <c r="AB402" s="1859"/>
      <c r="AC402" s="1859"/>
      <c r="AD402" s="1859"/>
      <c r="AE402" s="1859"/>
      <c r="AF402" s="1859"/>
      <c r="AG402" s="1859"/>
    </row>
    <row r="403" spans="1:33" s="584" customFormat="1" ht="70.5" customHeight="1" thickBot="1">
      <c r="A403" s="597">
        <v>15</v>
      </c>
      <c r="D403" s="1859"/>
      <c r="E403" s="1859"/>
      <c r="F403" s="1859"/>
      <c r="G403" s="1859"/>
      <c r="H403" s="1859"/>
      <c r="I403" s="1838" t="s">
        <v>1836</v>
      </c>
      <c r="J403" s="1838"/>
      <c r="K403" s="1838"/>
      <c r="L403" s="1838"/>
      <c r="M403" s="1838"/>
      <c r="N403" s="1838" t="s">
        <v>1820</v>
      </c>
      <c r="O403" s="1838"/>
      <c r="P403" s="1838"/>
      <c r="Q403" s="1838"/>
      <c r="R403" s="1838"/>
      <c r="S403" s="1838" t="s">
        <v>1821</v>
      </c>
      <c r="T403" s="1838"/>
      <c r="U403" s="1838"/>
      <c r="V403" s="1838"/>
      <c r="W403" s="1838"/>
      <c r="X403" s="1838" t="s">
        <v>1837</v>
      </c>
      <c r="Y403" s="1838"/>
      <c r="Z403" s="1838"/>
      <c r="AA403" s="1838"/>
      <c r="AB403" s="1838"/>
      <c r="AC403" s="1838" t="s">
        <v>1838</v>
      </c>
      <c r="AD403" s="1838"/>
      <c r="AE403" s="1838"/>
      <c r="AF403" s="1838"/>
      <c r="AG403" s="1838"/>
    </row>
    <row r="404" spans="1:33" s="584" customFormat="1" ht="37.5" customHeight="1">
      <c r="A404" s="597"/>
      <c r="D404" s="2543" t="s">
        <v>1839</v>
      </c>
      <c r="E404" s="1961"/>
      <c r="F404" s="1961"/>
      <c r="G404" s="1961"/>
      <c r="H404" s="1962"/>
      <c r="I404" s="2022">
        <f>'Notes- SK Template'!I406</f>
        <v>0</v>
      </c>
      <c r="J404" s="2023"/>
      <c r="K404" s="2023"/>
      <c r="L404" s="2023">
        <f>'Notes- SK Template'!L406</f>
        <v>0</v>
      </c>
      <c r="M404" s="2023"/>
      <c r="N404" s="2023"/>
      <c r="O404" s="2023"/>
      <c r="P404" s="2023"/>
      <c r="Q404" s="2023"/>
      <c r="R404" s="2023"/>
      <c r="S404" s="2023"/>
      <c r="T404" s="2023"/>
      <c r="U404" s="2023"/>
      <c r="V404" s="2023"/>
      <c r="W404" s="2023"/>
      <c r="X404" s="2023">
        <f>'Notes- SK Template'!X406</f>
        <v>0</v>
      </c>
      <c r="Y404" s="2023"/>
      <c r="Z404" s="2023"/>
      <c r="AA404" s="2023">
        <f>'Notes- SK Template'!AA406</f>
        <v>0</v>
      </c>
      <c r="AB404" s="2023"/>
      <c r="AC404" s="2025">
        <f>'Notes- SK Template'!AC406</f>
        <v>0</v>
      </c>
      <c r="AD404" s="2025"/>
      <c r="AE404" s="2025"/>
      <c r="AF404" s="2025">
        <f>'Notes- SK Template'!AF406</f>
        <v>0</v>
      </c>
      <c r="AG404" s="2026"/>
    </row>
    <row r="405" spans="1:33" s="584" customFormat="1" ht="45.75" customHeight="1">
      <c r="A405" s="597"/>
      <c r="D405" s="2513" t="s">
        <v>1840</v>
      </c>
      <c r="E405" s="1762"/>
      <c r="F405" s="1762"/>
      <c r="G405" s="1762"/>
      <c r="H405" s="1763"/>
      <c r="I405" s="1814">
        <f>'Notes- SK Template'!I407</f>
        <v>0</v>
      </c>
      <c r="J405" s="1778"/>
      <c r="K405" s="1778"/>
      <c r="L405" s="1778">
        <f>'Notes- SK Template'!L407</f>
        <v>0</v>
      </c>
      <c r="M405" s="1778"/>
      <c r="N405" s="1778"/>
      <c r="O405" s="1778"/>
      <c r="P405" s="1778"/>
      <c r="Q405" s="1778"/>
      <c r="R405" s="1778"/>
      <c r="S405" s="1778"/>
      <c r="T405" s="1778"/>
      <c r="U405" s="1778"/>
      <c r="V405" s="1778"/>
      <c r="W405" s="1778"/>
      <c r="X405" s="1778"/>
      <c r="Y405" s="1778"/>
      <c r="Z405" s="1778"/>
      <c r="AA405" s="1778"/>
      <c r="AB405" s="1778"/>
      <c r="AC405" s="1816">
        <f>'Notes- SK Template'!AC407</f>
        <v>0</v>
      </c>
      <c r="AD405" s="1816"/>
      <c r="AE405" s="1816"/>
      <c r="AF405" s="1816">
        <f>'Notes- SK Template'!AF407</f>
        <v>0</v>
      </c>
      <c r="AG405" s="1817"/>
    </row>
    <row r="406" spans="1:33" s="584" customFormat="1" ht="37.5" customHeight="1">
      <c r="A406" s="597"/>
      <c r="D406" s="2513" t="s">
        <v>1841</v>
      </c>
      <c r="E406" s="1762"/>
      <c r="F406" s="1762"/>
      <c r="G406" s="1762"/>
      <c r="H406" s="1763"/>
      <c r="I406" s="1814">
        <f>'Notes- SK Template'!I408</f>
        <v>0</v>
      </c>
      <c r="J406" s="1778"/>
      <c r="K406" s="1778"/>
      <c r="L406" s="1778">
        <f>'Notes- SK Template'!L408</f>
        <v>0</v>
      </c>
      <c r="M406" s="1778"/>
      <c r="N406" s="1778"/>
      <c r="O406" s="1778"/>
      <c r="P406" s="1778"/>
      <c r="Q406" s="1778"/>
      <c r="R406" s="1778"/>
      <c r="S406" s="1778"/>
      <c r="T406" s="1778"/>
      <c r="U406" s="1778"/>
      <c r="V406" s="1778"/>
      <c r="W406" s="1778"/>
      <c r="X406" s="1778"/>
      <c r="Y406" s="1778"/>
      <c r="Z406" s="1778"/>
      <c r="AA406" s="1778"/>
      <c r="AB406" s="1778"/>
      <c r="AC406" s="1816">
        <f>'Notes- SK Template'!AC408</f>
        <v>0</v>
      </c>
      <c r="AD406" s="1816"/>
      <c r="AE406" s="1816"/>
      <c r="AF406" s="1816">
        <f>'Notes- SK Template'!AF408</f>
        <v>0</v>
      </c>
      <c r="AG406" s="1817"/>
    </row>
    <row r="407" spans="1:33" s="584" customFormat="1" ht="37.5" customHeight="1">
      <c r="A407" s="597"/>
      <c r="D407" s="2513" t="s">
        <v>1842</v>
      </c>
      <c r="E407" s="1762"/>
      <c r="F407" s="1762"/>
      <c r="G407" s="1762"/>
      <c r="H407" s="1763"/>
      <c r="I407" s="1814">
        <f>'Notes- SK Template'!I409</f>
        <v>0</v>
      </c>
      <c r="J407" s="1778"/>
      <c r="K407" s="1778"/>
      <c r="L407" s="1778">
        <f>'Notes- SK Template'!L409</f>
        <v>0</v>
      </c>
      <c r="M407" s="1778"/>
      <c r="N407" s="1778"/>
      <c r="O407" s="1778"/>
      <c r="P407" s="1778"/>
      <c r="Q407" s="1778"/>
      <c r="R407" s="1778"/>
      <c r="S407" s="1778"/>
      <c r="T407" s="1778"/>
      <c r="U407" s="1778"/>
      <c r="V407" s="1778"/>
      <c r="W407" s="1778"/>
      <c r="X407" s="1778"/>
      <c r="Y407" s="1778"/>
      <c r="Z407" s="1778"/>
      <c r="AA407" s="1778"/>
      <c r="AB407" s="1778"/>
      <c r="AC407" s="1816">
        <f>'Notes- SK Template'!AC409</f>
        <v>0</v>
      </c>
      <c r="AD407" s="1816"/>
      <c r="AE407" s="1816"/>
      <c r="AF407" s="1816">
        <f>'Notes- SK Template'!AF409</f>
        <v>0</v>
      </c>
      <c r="AG407" s="1817"/>
    </row>
    <row r="408" spans="1:33" s="584" customFormat="1" ht="37.5" customHeight="1">
      <c r="A408" s="597"/>
      <c r="D408" s="2513" t="s">
        <v>1843</v>
      </c>
      <c r="E408" s="1762"/>
      <c r="F408" s="1762"/>
      <c r="G408" s="1762"/>
      <c r="H408" s="1763"/>
      <c r="I408" s="1814">
        <f>'Notes- SK Template'!I410</f>
        <v>0</v>
      </c>
      <c r="J408" s="1778"/>
      <c r="K408" s="1778"/>
      <c r="L408" s="1778">
        <f>'Notes- SK Template'!L410</f>
        <v>0</v>
      </c>
      <c r="M408" s="1778"/>
      <c r="N408" s="1778">
        <f>'Notes- SK Template'!N410</f>
        <v>9730</v>
      </c>
      <c r="O408" s="1778"/>
      <c r="P408" s="1778"/>
      <c r="Q408" s="1778">
        <f>'Notes- SK Template'!Q410</f>
        <v>0</v>
      </c>
      <c r="R408" s="1778"/>
      <c r="S408" s="1778"/>
      <c r="T408" s="1778"/>
      <c r="U408" s="1778"/>
      <c r="V408" s="1778"/>
      <c r="W408" s="1778"/>
      <c r="X408" s="1778"/>
      <c r="Y408" s="1778"/>
      <c r="Z408" s="1778"/>
      <c r="AA408" s="1778"/>
      <c r="AB408" s="1778"/>
      <c r="AC408" s="1816">
        <f>'Notes- SK Template'!AC410</f>
        <v>9730</v>
      </c>
      <c r="AD408" s="1816"/>
      <c r="AE408" s="1816"/>
      <c r="AF408" s="1816">
        <f>'Notes- SK Template'!AF410</f>
        <v>0</v>
      </c>
      <c r="AG408" s="1817"/>
    </row>
    <row r="409" spans="1:33" s="584" customFormat="1" ht="27.75" customHeight="1" thickBot="1">
      <c r="A409" s="597"/>
      <c r="D409" s="1821" t="s">
        <v>1844</v>
      </c>
      <c r="E409" s="1821"/>
      <c r="F409" s="1821"/>
      <c r="G409" s="1821"/>
      <c r="H409" s="1821"/>
      <c r="I409" s="2092">
        <f>'Notes- SK Template'!I411</f>
        <v>0</v>
      </c>
      <c r="J409" s="2093"/>
      <c r="K409" s="2093"/>
      <c r="L409" s="2093">
        <f>'Notes- SK Template'!L411</f>
        <v>0</v>
      </c>
      <c r="M409" s="2093"/>
      <c r="N409" s="2093">
        <f>'Notes- SK Template'!N411</f>
        <v>9730</v>
      </c>
      <c r="O409" s="2093"/>
      <c r="P409" s="2093"/>
      <c r="Q409" s="2093">
        <f>'Notes- SK Template'!Q411</f>
        <v>0</v>
      </c>
      <c r="R409" s="2093"/>
      <c r="S409" s="2093">
        <f>'Notes- SK Template'!S411</f>
        <v>0</v>
      </c>
      <c r="T409" s="2093"/>
      <c r="U409" s="2093"/>
      <c r="V409" s="2093">
        <f>'Notes- SK Template'!V411</f>
        <v>0</v>
      </c>
      <c r="W409" s="2093"/>
      <c r="X409" s="2093">
        <f>'Notes- SK Template'!X411</f>
        <v>0</v>
      </c>
      <c r="Y409" s="2093"/>
      <c r="Z409" s="2093"/>
      <c r="AA409" s="2093">
        <f>'Notes- SK Template'!AA411</f>
        <v>0</v>
      </c>
      <c r="AB409" s="2093"/>
      <c r="AC409" s="2093">
        <f>'Notes- SK Template'!AC411</f>
        <v>9730</v>
      </c>
      <c r="AD409" s="2093"/>
      <c r="AE409" s="2093"/>
      <c r="AF409" s="2093">
        <f>'Notes- SK Template'!AF411</f>
        <v>0</v>
      </c>
      <c r="AG409" s="2096"/>
    </row>
    <row r="410" spans="1:33" s="584" customFormat="1" ht="15" thickBot="1">
      <c r="A410" s="597"/>
    </row>
    <row r="411" spans="1:33" s="584" customFormat="1" ht="15" thickBot="1">
      <c r="A411" s="597"/>
      <c r="D411" s="1859" t="s">
        <v>1835</v>
      </c>
      <c r="E411" s="1859"/>
      <c r="F411" s="1859"/>
      <c r="G411" s="1859"/>
      <c r="H411" s="1859"/>
      <c r="I411" s="1859" t="s">
        <v>1802</v>
      </c>
      <c r="J411" s="1859"/>
      <c r="K411" s="1859"/>
      <c r="L411" s="1859"/>
      <c r="M411" s="1859"/>
      <c r="N411" s="1859"/>
      <c r="O411" s="1859"/>
      <c r="P411" s="1859"/>
      <c r="Q411" s="1859"/>
      <c r="R411" s="1859"/>
      <c r="S411" s="1859"/>
      <c r="T411" s="1859"/>
      <c r="U411" s="1859"/>
      <c r="V411" s="1859"/>
      <c r="W411" s="1859"/>
      <c r="X411" s="1859"/>
      <c r="Y411" s="1859"/>
      <c r="Z411" s="1859"/>
      <c r="AA411" s="1859"/>
      <c r="AB411" s="1859"/>
      <c r="AC411" s="1859"/>
      <c r="AD411" s="1859"/>
      <c r="AE411" s="1859"/>
      <c r="AF411" s="1859"/>
      <c r="AG411" s="1859"/>
    </row>
    <row r="412" spans="1:33" s="584" customFormat="1" ht="68.25" customHeight="1" thickBot="1">
      <c r="A412" s="597"/>
      <c r="D412" s="1859"/>
      <c r="E412" s="1859"/>
      <c r="F412" s="1859"/>
      <c r="G412" s="1859"/>
      <c r="H412" s="1859"/>
      <c r="I412" s="1838" t="s">
        <v>1836</v>
      </c>
      <c r="J412" s="1838"/>
      <c r="K412" s="1838"/>
      <c r="L412" s="1838"/>
      <c r="M412" s="1838"/>
      <c r="N412" s="1838" t="s">
        <v>1820</v>
      </c>
      <c r="O412" s="1838"/>
      <c r="P412" s="1838"/>
      <c r="Q412" s="1838"/>
      <c r="R412" s="1838"/>
      <c r="S412" s="1838" t="s">
        <v>1821</v>
      </c>
      <c r="T412" s="1838"/>
      <c r="U412" s="1838"/>
      <c r="V412" s="1838"/>
      <c r="W412" s="1838"/>
      <c r="X412" s="1838" t="s">
        <v>1837</v>
      </c>
      <c r="Y412" s="1838"/>
      <c r="Z412" s="1838"/>
      <c r="AA412" s="1838"/>
      <c r="AB412" s="1838"/>
      <c r="AC412" s="1838" t="s">
        <v>1838</v>
      </c>
      <c r="AD412" s="1838"/>
      <c r="AE412" s="1838"/>
      <c r="AF412" s="1838"/>
      <c r="AG412" s="1838"/>
    </row>
    <row r="413" spans="1:33" s="584" customFormat="1" ht="39" customHeight="1">
      <c r="A413" s="597"/>
      <c r="D413" s="2543" t="s">
        <v>1839</v>
      </c>
      <c r="E413" s="1961"/>
      <c r="F413" s="1961"/>
      <c r="G413" s="1961"/>
      <c r="H413" s="1962"/>
      <c r="I413" s="2022">
        <f>'Notes- SK Template'!I415</f>
        <v>16595</v>
      </c>
      <c r="J413" s="2023"/>
      <c r="K413" s="2023"/>
      <c r="L413" s="2023">
        <f>'Notes- SK Template'!L415</f>
        <v>0</v>
      </c>
      <c r="M413" s="2023"/>
      <c r="N413" s="2023"/>
      <c r="O413" s="2023"/>
      <c r="P413" s="2023"/>
      <c r="Q413" s="2023"/>
      <c r="R413" s="2023"/>
      <c r="S413" s="2023"/>
      <c r="T413" s="2023"/>
      <c r="U413" s="2023"/>
      <c r="V413" s="2023"/>
      <c r="W413" s="2023"/>
      <c r="X413" s="2023">
        <f>'Notes- SK Template'!X415</f>
        <v>-16595</v>
      </c>
      <c r="Y413" s="2023"/>
      <c r="Z413" s="2023"/>
      <c r="AA413" s="2023">
        <f>'Notes- SK Template'!AA415</f>
        <v>0</v>
      </c>
      <c r="AB413" s="2023"/>
      <c r="AC413" s="2025">
        <f>'Notes- SK Template'!AC415</f>
        <v>0</v>
      </c>
      <c r="AD413" s="2025"/>
      <c r="AE413" s="2025"/>
      <c r="AF413" s="2025">
        <f>'Notes- SK Template'!AF415</f>
        <v>0</v>
      </c>
      <c r="AG413" s="2026"/>
    </row>
    <row r="414" spans="1:33" s="584" customFormat="1" ht="39" customHeight="1">
      <c r="A414" s="597"/>
      <c r="D414" s="2513" t="s">
        <v>1840</v>
      </c>
      <c r="E414" s="1762"/>
      <c r="F414" s="1762"/>
      <c r="G414" s="1762"/>
      <c r="H414" s="1763"/>
      <c r="I414" s="1814">
        <f>'Notes- SK Template'!I416</f>
        <v>0</v>
      </c>
      <c r="J414" s="1778"/>
      <c r="K414" s="1778"/>
      <c r="L414" s="1778">
        <f>'Notes- SK Template'!L416</f>
        <v>0</v>
      </c>
      <c r="M414" s="1778"/>
      <c r="N414" s="1778"/>
      <c r="O414" s="1778"/>
      <c r="P414" s="1778"/>
      <c r="Q414" s="1778"/>
      <c r="R414" s="1778"/>
      <c r="S414" s="1778"/>
      <c r="T414" s="1778"/>
      <c r="U414" s="1778"/>
      <c r="V414" s="1778"/>
      <c r="W414" s="1778"/>
      <c r="X414" s="1778"/>
      <c r="Y414" s="1778"/>
      <c r="Z414" s="1778"/>
      <c r="AA414" s="1778"/>
      <c r="AB414" s="1778"/>
      <c r="AC414" s="1816">
        <f>'Notes- SK Template'!AC416</f>
        <v>0</v>
      </c>
      <c r="AD414" s="1816"/>
      <c r="AE414" s="1816"/>
      <c r="AF414" s="1816">
        <f>'Notes- SK Template'!AF416</f>
        <v>0</v>
      </c>
      <c r="AG414" s="1817"/>
    </row>
    <row r="415" spans="1:33" s="584" customFormat="1" ht="39" customHeight="1">
      <c r="A415" s="597"/>
      <c r="D415" s="2513" t="s">
        <v>1841</v>
      </c>
      <c r="E415" s="1762"/>
      <c r="F415" s="1762"/>
      <c r="G415" s="1762"/>
      <c r="H415" s="1763"/>
      <c r="I415" s="1814">
        <f>'Notes- SK Template'!I417</f>
        <v>0</v>
      </c>
      <c r="J415" s="1778"/>
      <c r="K415" s="1778"/>
      <c r="L415" s="1778">
        <f>'Notes- SK Template'!L417</f>
        <v>0</v>
      </c>
      <c r="M415" s="1778"/>
      <c r="N415" s="1778"/>
      <c r="O415" s="1778"/>
      <c r="P415" s="1778"/>
      <c r="Q415" s="1778"/>
      <c r="R415" s="1778"/>
      <c r="S415" s="1778"/>
      <c r="T415" s="1778"/>
      <c r="U415" s="1778"/>
      <c r="V415" s="1778"/>
      <c r="W415" s="1778"/>
      <c r="X415" s="1778"/>
      <c r="Y415" s="1778"/>
      <c r="Z415" s="1778"/>
      <c r="AA415" s="1778"/>
      <c r="AB415" s="1778"/>
      <c r="AC415" s="1816">
        <f>'Notes- SK Template'!AC417</f>
        <v>0</v>
      </c>
      <c r="AD415" s="1816"/>
      <c r="AE415" s="1816"/>
      <c r="AF415" s="1816">
        <f>'Notes- SK Template'!AF417</f>
        <v>0</v>
      </c>
      <c r="AG415" s="1817"/>
    </row>
    <row r="416" spans="1:33" s="584" customFormat="1" ht="39" customHeight="1">
      <c r="A416" s="597"/>
      <c r="D416" s="2513" t="s">
        <v>1842</v>
      </c>
      <c r="E416" s="1762"/>
      <c r="F416" s="1762"/>
      <c r="G416" s="1762"/>
      <c r="H416" s="1763"/>
      <c r="I416" s="1814">
        <f>'Notes- SK Template'!I418</f>
        <v>0</v>
      </c>
      <c r="J416" s="1778"/>
      <c r="K416" s="1778"/>
      <c r="L416" s="1778">
        <f>'Notes- SK Template'!L418</f>
        <v>0</v>
      </c>
      <c r="M416" s="1778"/>
      <c r="N416" s="1778"/>
      <c r="O416" s="1778"/>
      <c r="P416" s="1778"/>
      <c r="Q416" s="1778"/>
      <c r="R416" s="1778"/>
      <c r="S416" s="1778"/>
      <c r="T416" s="1778"/>
      <c r="U416" s="1778"/>
      <c r="V416" s="1778"/>
      <c r="W416" s="1778"/>
      <c r="X416" s="1778"/>
      <c r="Y416" s="1778"/>
      <c r="Z416" s="1778"/>
      <c r="AA416" s="1778"/>
      <c r="AB416" s="1778"/>
      <c r="AC416" s="1816">
        <f>'Notes- SK Template'!AC418</f>
        <v>0</v>
      </c>
      <c r="AD416" s="1816"/>
      <c r="AE416" s="1816"/>
      <c r="AF416" s="1816">
        <f>'Notes- SK Template'!AF418</f>
        <v>0</v>
      </c>
      <c r="AG416" s="1817"/>
    </row>
    <row r="417" spans="1:33" s="584" customFormat="1" ht="39" customHeight="1">
      <c r="A417" s="597"/>
      <c r="D417" s="2513" t="s">
        <v>1843</v>
      </c>
      <c r="E417" s="1762"/>
      <c r="F417" s="1762"/>
      <c r="G417" s="1762"/>
      <c r="H417" s="1763"/>
      <c r="I417" s="1814">
        <f>'Notes- SK Template'!I419</f>
        <v>0</v>
      </c>
      <c r="J417" s="1778"/>
      <c r="K417" s="1778"/>
      <c r="L417" s="1778">
        <f>'Notes- SK Template'!L419</f>
        <v>0</v>
      </c>
      <c r="M417" s="1778"/>
      <c r="N417" s="1778">
        <f>'Notes- SK Template'!N419</f>
        <v>0</v>
      </c>
      <c r="O417" s="1778"/>
      <c r="P417" s="1778"/>
      <c r="Q417" s="1778">
        <f>'Notes- SK Template'!Q419</f>
        <v>0</v>
      </c>
      <c r="R417" s="1778"/>
      <c r="S417" s="1778"/>
      <c r="T417" s="1778"/>
      <c r="U417" s="1778"/>
      <c r="V417" s="1778"/>
      <c r="W417" s="1778"/>
      <c r="X417" s="1778"/>
      <c r="Y417" s="1778"/>
      <c r="Z417" s="1778"/>
      <c r="AA417" s="1778"/>
      <c r="AB417" s="1778"/>
      <c r="AC417" s="1816">
        <f>'Notes- SK Template'!AC419</f>
        <v>0</v>
      </c>
      <c r="AD417" s="1816"/>
      <c r="AE417" s="1816"/>
      <c r="AF417" s="1816">
        <f>'Notes- SK Template'!AF419</f>
        <v>0</v>
      </c>
      <c r="AG417" s="1817"/>
    </row>
    <row r="418" spans="1:33" s="584" customFormat="1" ht="29.25" customHeight="1" thickBot="1">
      <c r="A418" s="597"/>
      <c r="D418" s="1821" t="s">
        <v>1844</v>
      </c>
      <c r="E418" s="1821"/>
      <c r="F418" s="1821"/>
      <c r="G418" s="1821"/>
      <c r="H418" s="1821"/>
      <c r="I418" s="2092">
        <f>'Notes- SK Template'!I420</f>
        <v>16595</v>
      </c>
      <c r="J418" s="2093"/>
      <c r="K418" s="2093"/>
      <c r="L418" s="2093">
        <f>'Notes- SK Template'!L420</f>
        <v>0</v>
      </c>
      <c r="M418" s="2093"/>
      <c r="N418" s="2093">
        <f>'Notes- SK Template'!N420</f>
        <v>0</v>
      </c>
      <c r="O418" s="2093"/>
      <c r="P418" s="2093"/>
      <c r="Q418" s="2093">
        <f>'Notes- SK Template'!Q420</f>
        <v>0</v>
      </c>
      <c r="R418" s="2093"/>
      <c r="S418" s="2093">
        <f>'Notes- SK Template'!S420</f>
        <v>0</v>
      </c>
      <c r="T418" s="2093"/>
      <c r="U418" s="2093"/>
      <c r="V418" s="2093">
        <f>'Notes- SK Template'!V420</f>
        <v>0</v>
      </c>
      <c r="W418" s="2093"/>
      <c r="X418" s="2093">
        <f>'Notes- SK Template'!X420</f>
        <v>-16595</v>
      </c>
      <c r="Y418" s="2093"/>
      <c r="Z418" s="2093"/>
      <c r="AA418" s="2093">
        <f>'Notes- SK Template'!AA420</f>
        <v>0</v>
      </c>
      <c r="AB418" s="2093"/>
      <c r="AC418" s="2093">
        <f>'Notes- SK Template'!AC420</f>
        <v>0</v>
      </c>
      <c r="AD418" s="2093"/>
      <c r="AE418" s="2093"/>
      <c r="AF418" s="2093">
        <f>'Notes- SK Template'!AF420</f>
        <v>0</v>
      </c>
      <c r="AG418" s="2096"/>
    </row>
    <row r="419" spans="1:33" s="584" customFormat="1">
      <c r="A419" s="597"/>
    </row>
    <row r="420" spans="1:33" s="584" customFormat="1" ht="26.25" customHeight="1">
      <c r="A420" s="597"/>
      <c r="D420" s="2090" t="s">
        <v>3048</v>
      </c>
      <c r="E420" s="2091"/>
      <c r="F420" s="2091"/>
      <c r="G420" s="2091"/>
      <c r="H420" s="2091"/>
      <c r="I420" s="2091"/>
      <c r="J420" s="2091"/>
      <c r="K420" s="2091"/>
      <c r="L420" s="2091"/>
      <c r="M420" s="2091"/>
      <c r="N420" s="2091"/>
      <c r="O420" s="2091"/>
      <c r="P420" s="2091"/>
      <c r="Q420" s="2091"/>
      <c r="R420" s="2091"/>
      <c r="S420" s="2091"/>
      <c r="T420" s="2091"/>
      <c r="U420" s="2091"/>
      <c r="V420" s="2091"/>
      <c r="W420" s="2091"/>
      <c r="X420" s="2091"/>
      <c r="Y420" s="2091"/>
      <c r="Z420" s="2091"/>
      <c r="AA420" s="2091"/>
      <c r="AB420" s="2091"/>
      <c r="AC420" s="2091"/>
      <c r="AD420" s="2091"/>
      <c r="AE420" s="2091"/>
      <c r="AF420" s="2091"/>
      <c r="AG420" s="2091"/>
    </row>
    <row r="421" spans="1:33" s="584" customFormat="1">
      <c r="A421" s="597"/>
    </row>
    <row r="422" spans="1:33" s="584" customFormat="1">
      <c r="A422" s="597"/>
      <c r="D422" s="2090" t="s">
        <v>3047</v>
      </c>
      <c r="E422" s="2091"/>
      <c r="F422" s="2091"/>
      <c r="G422" s="2091"/>
      <c r="H422" s="2091"/>
      <c r="I422" s="2091"/>
      <c r="J422" s="2091"/>
      <c r="K422" s="2091"/>
      <c r="L422" s="2091"/>
      <c r="M422" s="2091"/>
      <c r="N422" s="2091"/>
      <c r="O422" s="2091"/>
      <c r="P422" s="2091"/>
      <c r="Q422" s="2091"/>
      <c r="R422" s="2091"/>
      <c r="S422" s="2091"/>
      <c r="T422" s="2091"/>
      <c r="U422" s="2091"/>
      <c r="V422" s="2091"/>
      <c r="W422" s="2091"/>
      <c r="X422" s="2091"/>
      <c r="Y422" s="2091"/>
      <c r="Z422" s="2091"/>
      <c r="AA422" s="2091"/>
      <c r="AB422" s="2091"/>
      <c r="AC422" s="2091"/>
      <c r="AD422" s="2091"/>
      <c r="AE422" s="2091"/>
      <c r="AF422" s="2091"/>
      <c r="AG422" s="2091"/>
    </row>
    <row r="423" spans="1:33" s="584" customFormat="1">
      <c r="A423" s="597"/>
    </row>
    <row r="424" spans="1:33" s="584" customFormat="1">
      <c r="A424" s="597"/>
      <c r="D424" s="2090" t="s">
        <v>2959</v>
      </c>
      <c r="E424" s="2091"/>
      <c r="F424" s="2091"/>
      <c r="G424" s="2091"/>
      <c r="H424" s="2091"/>
      <c r="I424" s="2091"/>
      <c r="J424" s="2091"/>
      <c r="K424" s="2091"/>
      <c r="L424" s="2091"/>
      <c r="M424" s="2091"/>
      <c r="N424" s="2091"/>
      <c r="O424" s="2091"/>
      <c r="P424" s="2091"/>
      <c r="Q424" s="2091"/>
      <c r="R424" s="2091"/>
      <c r="S424" s="2091"/>
      <c r="T424" s="2091"/>
      <c r="U424" s="2091"/>
      <c r="V424" s="2091"/>
      <c r="W424" s="2091"/>
      <c r="X424" s="2091"/>
      <c r="Y424" s="2091"/>
      <c r="Z424" s="2091"/>
      <c r="AA424" s="2091"/>
      <c r="AB424" s="2091"/>
      <c r="AC424" s="2091"/>
      <c r="AD424" s="2091"/>
      <c r="AE424" s="2091"/>
      <c r="AF424" s="2091"/>
      <c r="AG424" s="2091"/>
    </row>
    <row r="425" spans="1:33" s="584" customFormat="1" ht="15" thickBot="1">
      <c r="A425" s="597"/>
    </row>
    <row r="426" spans="1:33" s="584" customFormat="1" ht="27.75" customHeight="1" thickBot="1">
      <c r="A426" s="597">
        <v>16</v>
      </c>
      <c r="D426" s="1859" t="s">
        <v>1740</v>
      </c>
      <c r="E426" s="1859"/>
      <c r="F426" s="1859"/>
      <c r="G426" s="1859"/>
      <c r="H426" s="1859"/>
      <c r="I426" s="1859"/>
      <c r="J426" s="1859"/>
      <c r="K426" s="1859"/>
      <c r="L426" s="1859"/>
      <c r="M426" s="1859" t="s">
        <v>1845</v>
      </c>
      <c r="N426" s="1859"/>
      <c r="O426" s="1859"/>
      <c r="P426" s="1859"/>
      <c r="Q426" s="1859"/>
      <c r="R426" s="1859"/>
      <c r="S426" s="1859"/>
      <c r="T426" s="1859" t="s">
        <v>1846</v>
      </c>
      <c r="U426" s="1859"/>
      <c r="V426" s="1859"/>
      <c r="W426" s="1859"/>
      <c r="X426" s="1859"/>
      <c r="Y426" s="1859"/>
      <c r="Z426" s="1859"/>
      <c r="AA426" s="1859" t="s">
        <v>1847</v>
      </c>
      <c r="AB426" s="1859"/>
      <c r="AC426" s="1859"/>
      <c r="AD426" s="1859"/>
      <c r="AE426" s="1859"/>
      <c r="AF426" s="1859"/>
      <c r="AG426" s="1859"/>
    </row>
    <row r="427" spans="1:33" s="584" customFormat="1" ht="27.75" customHeight="1" thickBot="1">
      <c r="A427" s="597"/>
      <c r="D427" s="1972" t="s">
        <v>1848</v>
      </c>
      <c r="E427" s="1972"/>
      <c r="F427" s="1972"/>
      <c r="G427" s="1972"/>
      <c r="H427" s="1972"/>
      <c r="I427" s="1972"/>
      <c r="J427" s="1972"/>
      <c r="K427" s="1972"/>
      <c r="L427" s="1972"/>
      <c r="M427" s="1972"/>
      <c r="N427" s="1972"/>
      <c r="O427" s="1972"/>
      <c r="P427" s="1972"/>
      <c r="Q427" s="1972"/>
      <c r="R427" s="1972"/>
      <c r="S427" s="1972"/>
      <c r="T427" s="1972"/>
      <c r="U427" s="1972"/>
      <c r="V427" s="1972"/>
      <c r="W427" s="1972"/>
      <c r="X427" s="1972"/>
      <c r="Y427" s="1972"/>
      <c r="Z427" s="1972"/>
      <c r="AA427" s="1972"/>
      <c r="AB427" s="1972"/>
      <c r="AC427" s="1972"/>
      <c r="AD427" s="1972"/>
      <c r="AE427" s="1972"/>
      <c r="AF427" s="1972"/>
      <c r="AG427" s="1972"/>
    </row>
    <row r="428" spans="1:33" s="584" customFormat="1" ht="27.75" customHeight="1">
      <c r="A428" s="597"/>
      <c r="D428" s="2604" t="s">
        <v>1839</v>
      </c>
      <c r="E428" s="1791"/>
      <c r="F428" s="1791"/>
      <c r="G428" s="1791"/>
      <c r="H428" s="1791"/>
      <c r="I428" s="1791"/>
      <c r="J428" s="1791"/>
      <c r="K428" s="1791"/>
      <c r="L428" s="1791"/>
      <c r="M428" s="1775"/>
      <c r="N428" s="1775"/>
      <c r="O428" s="1775"/>
      <c r="P428" s="1775"/>
      <c r="Q428" s="1775"/>
      <c r="R428" s="1775"/>
      <c r="S428" s="1775"/>
      <c r="T428" s="1775"/>
      <c r="U428" s="1775"/>
      <c r="V428" s="1775"/>
      <c r="W428" s="1775"/>
      <c r="X428" s="1775"/>
      <c r="Y428" s="1775"/>
      <c r="Z428" s="1775"/>
      <c r="AA428" s="1867">
        <f>'Notes- SK Template'!AA430</f>
        <v>0</v>
      </c>
      <c r="AB428" s="1867"/>
      <c r="AC428" s="1867"/>
      <c r="AD428" s="1867"/>
      <c r="AE428" s="1867"/>
      <c r="AF428" s="1867"/>
      <c r="AG428" s="1867"/>
    </row>
    <row r="429" spans="1:33" s="584" customFormat="1" ht="27.75" customHeight="1">
      <c r="A429" s="597"/>
      <c r="D429" s="2556" t="s">
        <v>1849</v>
      </c>
      <c r="E429" s="1787"/>
      <c r="F429" s="1787"/>
      <c r="G429" s="1787"/>
      <c r="H429" s="1787"/>
      <c r="I429" s="1787"/>
      <c r="J429" s="1787"/>
      <c r="K429" s="1787"/>
      <c r="L429" s="1787"/>
      <c r="M429" s="1860"/>
      <c r="N429" s="1860"/>
      <c r="O429" s="1860"/>
      <c r="P429" s="1860"/>
      <c r="Q429" s="1860"/>
      <c r="R429" s="1860"/>
      <c r="S429" s="1860"/>
      <c r="T429" s="1860"/>
      <c r="U429" s="1860"/>
      <c r="V429" s="1860"/>
      <c r="W429" s="1860"/>
      <c r="X429" s="1860"/>
      <c r="Y429" s="1860"/>
      <c r="Z429" s="1860"/>
      <c r="AA429" s="1825">
        <f>'Notes- SK Template'!AA431</f>
        <v>0</v>
      </c>
      <c r="AB429" s="1825"/>
      <c r="AC429" s="1825"/>
      <c r="AD429" s="1825"/>
      <c r="AE429" s="1825"/>
      <c r="AF429" s="1825"/>
      <c r="AG429" s="1825"/>
    </row>
    <row r="430" spans="1:33" s="584" customFormat="1" ht="27.75" customHeight="1">
      <c r="A430" s="597"/>
      <c r="D430" s="2556" t="s">
        <v>1841</v>
      </c>
      <c r="E430" s="1787"/>
      <c r="F430" s="1787"/>
      <c r="G430" s="1787"/>
      <c r="H430" s="1787"/>
      <c r="I430" s="1787"/>
      <c r="J430" s="1787"/>
      <c r="K430" s="1787"/>
      <c r="L430" s="1787"/>
      <c r="M430" s="1860"/>
      <c r="N430" s="1860"/>
      <c r="O430" s="1860"/>
      <c r="P430" s="1860"/>
      <c r="Q430" s="1860"/>
      <c r="R430" s="1860"/>
      <c r="S430" s="1860"/>
      <c r="T430" s="1860"/>
      <c r="U430" s="1860"/>
      <c r="V430" s="1860"/>
      <c r="W430" s="1860"/>
      <c r="X430" s="1860"/>
      <c r="Y430" s="1860"/>
      <c r="Z430" s="1860"/>
      <c r="AA430" s="1825">
        <f>'Notes- SK Template'!AA432</f>
        <v>0</v>
      </c>
      <c r="AB430" s="1825"/>
      <c r="AC430" s="1825"/>
      <c r="AD430" s="1825"/>
      <c r="AE430" s="1825"/>
      <c r="AF430" s="1825"/>
      <c r="AG430" s="1825"/>
    </row>
    <row r="431" spans="1:33" s="584" customFormat="1" ht="27.75" customHeight="1">
      <c r="A431" s="597"/>
      <c r="D431" s="2556" t="s">
        <v>1850</v>
      </c>
      <c r="E431" s="1787"/>
      <c r="F431" s="1787"/>
      <c r="G431" s="1787"/>
      <c r="H431" s="1787"/>
      <c r="I431" s="1787"/>
      <c r="J431" s="1787"/>
      <c r="K431" s="1787"/>
      <c r="L431" s="1787"/>
      <c r="M431" s="1860"/>
      <c r="N431" s="1860"/>
      <c r="O431" s="1860"/>
      <c r="P431" s="1860"/>
      <c r="Q431" s="1860"/>
      <c r="R431" s="1860"/>
      <c r="S431" s="1860"/>
      <c r="T431" s="1860"/>
      <c r="U431" s="1860"/>
      <c r="V431" s="1860"/>
      <c r="W431" s="1860"/>
      <c r="X431" s="1860"/>
      <c r="Y431" s="1860"/>
      <c r="Z431" s="1860"/>
      <c r="AA431" s="1825">
        <f>'Notes- SK Template'!AA433</f>
        <v>0</v>
      </c>
      <c r="AB431" s="1825"/>
      <c r="AC431" s="1825"/>
      <c r="AD431" s="1825"/>
      <c r="AE431" s="1825"/>
      <c r="AF431" s="1825"/>
      <c r="AG431" s="1825"/>
    </row>
    <row r="432" spans="1:33" s="584" customFormat="1" ht="27.75" customHeight="1" thickBot="1">
      <c r="A432" s="597"/>
      <c r="D432" s="2613" t="s">
        <v>1843</v>
      </c>
      <c r="E432" s="1942"/>
      <c r="F432" s="1942"/>
      <c r="G432" s="1942"/>
      <c r="H432" s="1942"/>
      <c r="I432" s="1942"/>
      <c r="J432" s="1942"/>
      <c r="K432" s="1942"/>
      <c r="L432" s="1942"/>
      <c r="M432" s="1860"/>
      <c r="N432" s="1860"/>
      <c r="O432" s="1860"/>
      <c r="P432" s="1860"/>
      <c r="Q432" s="1860"/>
      <c r="R432" s="1860"/>
      <c r="S432" s="1860"/>
      <c r="T432" s="1860"/>
      <c r="U432" s="1860"/>
      <c r="V432" s="1860"/>
      <c r="W432" s="1860"/>
      <c r="X432" s="1860"/>
      <c r="Y432" s="1860"/>
      <c r="Z432" s="1860"/>
      <c r="AA432" s="1825">
        <f>'Notes- SK Template'!AA434</f>
        <v>0</v>
      </c>
      <c r="AB432" s="1825"/>
      <c r="AC432" s="1825"/>
      <c r="AD432" s="1825"/>
      <c r="AE432" s="1825"/>
      <c r="AF432" s="1825"/>
      <c r="AG432" s="1825"/>
    </row>
    <row r="433" spans="1:33" s="584" customFormat="1" ht="27.75" customHeight="1" thickBot="1">
      <c r="A433" s="597"/>
      <c r="D433" s="1972" t="s">
        <v>1851</v>
      </c>
      <c r="E433" s="1972"/>
      <c r="F433" s="1972"/>
      <c r="G433" s="1972"/>
      <c r="H433" s="1972"/>
      <c r="I433" s="1972"/>
      <c r="J433" s="1972"/>
      <c r="K433" s="1972"/>
      <c r="L433" s="1972"/>
      <c r="M433" s="1971">
        <f>'Notes- SK Template'!M435</f>
        <v>0</v>
      </c>
      <c r="N433" s="1971"/>
      <c r="O433" s="1971"/>
      <c r="P433" s="1971"/>
      <c r="Q433" s="1971"/>
      <c r="R433" s="1971"/>
      <c r="S433" s="1971"/>
      <c r="T433" s="1971">
        <f>'Notes- SK Template'!T435</f>
        <v>0</v>
      </c>
      <c r="U433" s="1971"/>
      <c r="V433" s="1971"/>
      <c r="W433" s="1971"/>
      <c r="X433" s="1971"/>
      <c r="Y433" s="1971"/>
      <c r="Z433" s="1971"/>
      <c r="AA433" s="1971">
        <f>'Notes- SK Template'!AA435</f>
        <v>0</v>
      </c>
      <c r="AB433" s="1971"/>
      <c r="AC433" s="1971"/>
      <c r="AD433" s="1971"/>
      <c r="AE433" s="1971"/>
      <c r="AF433" s="1971"/>
      <c r="AG433" s="1971"/>
    </row>
    <row r="434" spans="1:33" s="584" customFormat="1" ht="27.75" customHeight="1" thickBot="1">
      <c r="A434" s="597"/>
      <c r="D434" s="1972" t="s">
        <v>1852</v>
      </c>
      <c r="E434" s="1972"/>
      <c r="F434" s="1972"/>
      <c r="G434" s="1972"/>
      <c r="H434" s="1972"/>
      <c r="I434" s="1972"/>
      <c r="J434" s="1972"/>
      <c r="K434" s="1972"/>
      <c r="L434" s="1972"/>
      <c r="M434" s="1972"/>
      <c r="N434" s="1972"/>
      <c r="O434" s="1972"/>
      <c r="P434" s="1972"/>
      <c r="Q434" s="1972"/>
      <c r="R434" s="1972"/>
      <c r="S434" s="1972"/>
      <c r="T434" s="1972"/>
      <c r="U434" s="1972"/>
      <c r="V434" s="1972"/>
      <c r="W434" s="1972"/>
      <c r="X434" s="1972"/>
      <c r="Y434" s="1972"/>
      <c r="Z434" s="1972"/>
      <c r="AA434" s="1972"/>
      <c r="AB434" s="1972"/>
      <c r="AC434" s="1972"/>
      <c r="AD434" s="1972"/>
      <c r="AE434" s="1972"/>
      <c r="AF434" s="1972"/>
      <c r="AG434" s="1972"/>
    </row>
    <row r="435" spans="1:33" s="584" customFormat="1" ht="27.75" customHeight="1">
      <c r="A435" s="597"/>
      <c r="D435" s="2604" t="s">
        <v>1839</v>
      </c>
      <c r="E435" s="1791"/>
      <c r="F435" s="1791"/>
      <c r="G435" s="1791"/>
      <c r="H435" s="1791"/>
      <c r="I435" s="1791"/>
      <c r="J435" s="1791"/>
      <c r="K435" s="1791"/>
      <c r="L435" s="1791"/>
      <c r="M435" s="1837">
        <f>'Notes- SK Template'!M437</f>
        <v>1002788</v>
      </c>
      <c r="N435" s="1837"/>
      <c r="O435" s="1837"/>
      <c r="P435" s="1837"/>
      <c r="Q435" s="1837"/>
      <c r="R435" s="1837"/>
      <c r="S435" s="1837"/>
      <c r="T435" s="1837">
        <f>'Notes- SK Template'!T437</f>
        <v>258368</v>
      </c>
      <c r="U435" s="1837"/>
      <c r="V435" s="1837"/>
      <c r="W435" s="1837"/>
      <c r="X435" s="1837"/>
      <c r="Y435" s="1837"/>
      <c r="Z435" s="1837"/>
      <c r="AA435" s="1867">
        <f>'Notes- SK Template'!AA437</f>
        <v>1261156</v>
      </c>
      <c r="AB435" s="1867"/>
      <c r="AC435" s="1867"/>
      <c r="AD435" s="1867"/>
      <c r="AE435" s="1867"/>
      <c r="AF435" s="1867"/>
      <c r="AG435" s="1867"/>
    </row>
    <row r="436" spans="1:33" s="584" customFormat="1" ht="27.75" customHeight="1">
      <c r="A436" s="597"/>
      <c r="D436" s="2556" t="s">
        <v>1849</v>
      </c>
      <c r="E436" s="1787"/>
      <c r="F436" s="1787"/>
      <c r="G436" s="1787"/>
      <c r="H436" s="1787"/>
      <c r="I436" s="1787"/>
      <c r="J436" s="1787"/>
      <c r="K436" s="1787"/>
      <c r="L436" s="1787"/>
      <c r="M436" s="1860">
        <f>'Notes- SK Template'!M438</f>
        <v>95180</v>
      </c>
      <c r="N436" s="1860"/>
      <c r="O436" s="1860"/>
      <c r="P436" s="1860"/>
      <c r="Q436" s="1860"/>
      <c r="R436" s="1860"/>
      <c r="S436" s="1860"/>
      <c r="T436" s="1860">
        <f>AA436-M436</f>
        <v>39162</v>
      </c>
      <c r="U436" s="1860"/>
      <c r="V436" s="1860"/>
      <c r="W436" s="1860"/>
      <c r="X436" s="1860"/>
      <c r="Y436" s="1860"/>
      <c r="Z436" s="1860"/>
      <c r="AA436" s="1825">
        <f>'Notes- SK Template'!AA438</f>
        <v>134342</v>
      </c>
      <c r="AB436" s="1825"/>
      <c r="AC436" s="1825"/>
      <c r="AD436" s="1825"/>
      <c r="AE436" s="1825"/>
      <c r="AF436" s="1825"/>
      <c r="AG436" s="1825"/>
    </row>
    <row r="437" spans="1:33" s="584" customFormat="1" ht="27.75" customHeight="1">
      <c r="A437" s="597"/>
      <c r="D437" s="2556" t="s">
        <v>1841</v>
      </c>
      <c r="E437" s="1787"/>
      <c r="F437" s="1787"/>
      <c r="G437" s="1787"/>
      <c r="H437" s="1787"/>
      <c r="I437" s="1787"/>
      <c r="J437" s="1787"/>
      <c r="K437" s="1787"/>
      <c r="L437" s="1787"/>
      <c r="M437" s="1860"/>
      <c r="N437" s="1860"/>
      <c r="O437" s="1860"/>
      <c r="P437" s="1860"/>
      <c r="Q437" s="1860"/>
      <c r="R437" s="1860"/>
      <c r="S437" s="1860"/>
      <c r="T437" s="1860"/>
      <c r="U437" s="1860"/>
      <c r="V437" s="1860"/>
      <c r="W437" s="1860"/>
      <c r="X437" s="1860"/>
      <c r="Y437" s="1860"/>
      <c r="Z437" s="1860"/>
      <c r="AA437" s="1825">
        <f>'Notes- SK Template'!AA439</f>
        <v>0</v>
      </c>
      <c r="AB437" s="1825"/>
      <c r="AC437" s="1825"/>
      <c r="AD437" s="1825"/>
      <c r="AE437" s="1825"/>
      <c r="AF437" s="1825"/>
      <c r="AG437" s="1825"/>
    </row>
    <row r="438" spans="1:33" s="584" customFormat="1" ht="27.75" customHeight="1">
      <c r="A438" s="597"/>
      <c r="D438" s="2556" t="s">
        <v>1850</v>
      </c>
      <c r="E438" s="1787"/>
      <c r="F438" s="1787"/>
      <c r="G438" s="1787"/>
      <c r="H438" s="1787"/>
      <c r="I438" s="1787"/>
      <c r="J438" s="1787"/>
      <c r="K438" s="1787"/>
      <c r="L438" s="1787"/>
      <c r="M438" s="1860"/>
      <c r="N438" s="1860"/>
      <c r="O438" s="1860"/>
      <c r="P438" s="1860"/>
      <c r="Q438" s="1860"/>
      <c r="R438" s="1860"/>
      <c r="S438" s="1860"/>
      <c r="T438" s="1860"/>
      <c r="U438" s="1860"/>
      <c r="V438" s="1860"/>
      <c r="W438" s="1860"/>
      <c r="X438" s="1860"/>
      <c r="Y438" s="1860"/>
      <c r="Z438" s="1860"/>
      <c r="AA438" s="1825">
        <f>'Notes- SK Template'!AA440</f>
        <v>0</v>
      </c>
      <c r="AB438" s="1825"/>
      <c r="AC438" s="1825"/>
      <c r="AD438" s="1825"/>
      <c r="AE438" s="1825"/>
      <c r="AF438" s="1825"/>
      <c r="AG438" s="1825"/>
    </row>
    <row r="439" spans="1:33" s="584" customFormat="1" ht="27.75" customHeight="1">
      <c r="A439" s="597"/>
      <c r="D439" s="2556" t="s">
        <v>1853</v>
      </c>
      <c r="E439" s="1787"/>
      <c r="F439" s="1787"/>
      <c r="G439" s="1787"/>
      <c r="H439" s="1787"/>
      <c r="I439" s="1787"/>
      <c r="J439" s="1787"/>
      <c r="K439" s="1787"/>
      <c r="L439" s="1787"/>
      <c r="M439" s="1773"/>
      <c r="N439" s="1773"/>
      <c r="O439" s="1773"/>
      <c r="P439" s="1773"/>
      <c r="Q439" s="1773"/>
      <c r="R439" s="1773"/>
      <c r="S439" s="1773"/>
      <c r="T439" s="1860"/>
      <c r="U439" s="1860"/>
      <c r="V439" s="1860"/>
      <c r="W439" s="1860"/>
      <c r="X439" s="1860"/>
      <c r="Y439" s="1860"/>
      <c r="Z439" s="1860"/>
      <c r="AA439" s="1825">
        <f>'Notes- SK Template'!AA441</f>
        <v>0</v>
      </c>
      <c r="AB439" s="1825"/>
      <c r="AC439" s="1825"/>
      <c r="AD439" s="1825"/>
      <c r="AE439" s="1825"/>
      <c r="AF439" s="1825"/>
      <c r="AG439" s="1825"/>
    </row>
    <row r="440" spans="1:33" s="584" customFormat="1" ht="27.75" customHeight="1">
      <c r="A440" s="597"/>
      <c r="D440" s="2556" t="s">
        <v>1854</v>
      </c>
      <c r="E440" s="1787"/>
      <c r="F440" s="1787"/>
      <c r="G440" s="1787"/>
      <c r="H440" s="1787"/>
      <c r="I440" s="1787"/>
      <c r="J440" s="1787"/>
      <c r="K440" s="1787"/>
      <c r="L440" s="1787"/>
      <c r="M440" s="1860">
        <f>'Notes- SK Template'!M442</f>
        <v>41600</v>
      </c>
      <c r="N440" s="1860"/>
      <c r="O440" s="1860"/>
      <c r="P440" s="1860"/>
      <c r="Q440" s="1860"/>
      <c r="R440" s="1860"/>
      <c r="S440" s="1860"/>
      <c r="T440" s="1860"/>
      <c r="U440" s="1860"/>
      <c r="V440" s="1860"/>
      <c r="W440" s="1860"/>
      <c r="X440" s="1860"/>
      <c r="Y440" s="1860"/>
      <c r="Z440" s="1860"/>
      <c r="AA440" s="1825">
        <f>'Notes- SK Template'!AA442</f>
        <v>41600</v>
      </c>
      <c r="AB440" s="1825"/>
      <c r="AC440" s="1825"/>
      <c r="AD440" s="1825"/>
      <c r="AE440" s="1825"/>
      <c r="AF440" s="1825"/>
      <c r="AG440" s="1825"/>
    </row>
    <row r="441" spans="1:33" s="584" customFormat="1" ht="27.75" customHeight="1" thickBot="1">
      <c r="A441" s="597"/>
      <c r="D441" s="2613" t="s">
        <v>1843</v>
      </c>
      <c r="E441" s="1942"/>
      <c r="F441" s="1942"/>
      <c r="G441" s="1942"/>
      <c r="H441" s="1942"/>
      <c r="I441" s="1942"/>
      <c r="J441" s="1942"/>
      <c r="K441" s="1942"/>
      <c r="L441" s="1942"/>
      <c r="M441" s="1860">
        <f>'Notes- SK Template'!M443</f>
        <v>13355</v>
      </c>
      <c r="N441" s="1860"/>
      <c r="O441" s="1860"/>
      <c r="P441" s="1860"/>
      <c r="Q441" s="1860"/>
      <c r="R441" s="1860"/>
      <c r="S441" s="1860"/>
      <c r="T441" s="1860"/>
      <c r="U441" s="1860"/>
      <c r="V441" s="1860"/>
      <c r="W441" s="1860"/>
      <c r="X441" s="1860"/>
      <c r="Y441" s="1860"/>
      <c r="Z441" s="1860"/>
      <c r="AA441" s="1825">
        <f>'Notes- SK Template'!AA443</f>
        <v>13355</v>
      </c>
      <c r="AB441" s="1825"/>
      <c r="AC441" s="1825"/>
      <c r="AD441" s="1825"/>
      <c r="AE441" s="1825"/>
      <c r="AF441" s="1825"/>
      <c r="AG441" s="1825"/>
    </row>
    <row r="442" spans="1:33" s="584" customFormat="1" ht="27.75" customHeight="1" thickBot="1">
      <c r="A442" s="597"/>
      <c r="D442" s="1941" t="s">
        <v>1855</v>
      </c>
      <c r="E442" s="1941"/>
      <c r="F442" s="1941"/>
      <c r="G442" s="1941"/>
      <c r="H442" s="1941"/>
      <c r="I442" s="1941"/>
      <c r="J442" s="1941"/>
      <c r="K442" s="1941"/>
      <c r="L442" s="1941"/>
      <c r="M442" s="1971">
        <f>'Notes- SK Template'!M444</f>
        <v>1152923</v>
      </c>
      <c r="N442" s="1971"/>
      <c r="O442" s="1971"/>
      <c r="P442" s="1971"/>
      <c r="Q442" s="1971"/>
      <c r="R442" s="1971"/>
      <c r="S442" s="1971"/>
      <c r="T442" s="1971">
        <f>'Notes- SK Template'!T444</f>
        <v>297530</v>
      </c>
      <c r="U442" s="1971"/>
      <c r="V442" s="1971"/>
      <c r="W442" s="1971"/>
      <c r="X442" s="1971"/>
      <c r="Y442" s="1971"/>
      <c r="Z442" s="1971"/>
      <c r="AA442" s="1971">
        <f>'Notes- SK Template'!AA444</f>
        <v>1450453</v>
      </c>
      <c r="AB442" s="1971"/>
      <c r="AC442" s="1971"/>
      <c r="AD442" s="1971"/>
      <c r="AE442" s="1971"/>
      <c r="AF442" s="1971"/>
      <c r="AG442" s="1971"/>
    </row>
    <row r="443" spans="1:33" s="584" customFormat="1">
      <c r="A443" s="597"/>
    </row>
    <row r="444" spans="1:33" s="584" customFormat="1">
      <c r="A444" s="597"/>
    </row>
    <row r="445" spans="1:33" s="584" customFormat="1">
      <c r="A445" s="597"/>
      <c r="D445" s="2090" t="s">
        <v>2958</v>
      </c>
      <c r="E445" s="2091"/>
      <c r="F445" s="2091"/>
      <c r="G445" s="2091"/>
      <c r="H445" s="2091"/>
      <c r="I445" s="2091"/>
      <c r="J445" s="2091"/>
      <c r="K445" s="2091"/>
      <c r="L445" s="2091"/>
      <c r="M445" s="2091"/>
      <c r="N445" s="2091"/>
      <c r="O445" s="2091"/>
      <c r="P445" s="2091"/>
      <c r="Q445" s="2091"/>
      <c r="R445" s="2091"/>
      <c r="S445" s="2091"/>
      <c r="T445" s="2091"/>
      <c r="U445" s="2091"/>
      <c r="V445" s="2091"/>
      <c r="W445" s="2091"/>
      <c r="X445" s="2091"/>
      <c r="Y445" s="2091"/>
      <c r="Z445" s="2091"/>
      <c r="AA445" s="2091"/>
      <c r="AB445" s="2091"/>
      <c r="AC445" s="2091"/>
      <c r="AD445" s="2091"/>
      <c r="AE445" s="2091"/>
      <c r="AF445" s="2091"/>
      <c r="AG445" s="2091"/>
    </row>
    <row r="446" spans="1:33" s="584" customFormat="1" ht="15" thickBot="1">
      <c r="A446" s="597"/>
    </row>
    <row r="447" spans="1:33" s="584" customFormat="1" ht="15" thickBot="1">
      <c r="A447" s="597"/>
      <c r="D447" s="1859" t="s">
        <v>1740</v>
      </c>
      <c r="E447" s="1859"/>
      <c r="F447" s="1859"/>
      <c r="G447" s="1859"/>
      <c r="H447" s="1859"/>
      <c r="I447" s="1859"/>
      <c r="J447" s="1859"/>
      <c r="K447" s="1859"/>
      <c r="L447" s="1859"/>
      <c r="M447" s="1859" t="s">
        <v>1845</v>
      </c>
      <c r="N447" s="1859"/>
      <c r="O447" s="1859"/>
      <c r="P447" s="1859"/>
      <c r="Q447" s="1859"/>
      <c r="R447" s="1859"/>
      <c r="S447" s="1859"/>
      <c r="T447" s="1859" t="s">
        <v>1846</v>
      </c>
      <c r="U447" s="1859"/>
      <c r="V447" s="1859"/>
      <c r="W447" s="1859"/>
      <c r="X447" s="1859"/>
      <c r="Y447" s="1859"/>
      <c r="Z447" s="1859"/>
      <c r="AA447" s="1859" t="s">
        <v>1847</v>
      </c>
      <c r="AB447" s="1859"/>
      <c r="AC447" s="1859"/>
      <c r="AD447" s="1859"/>
      <c r="AE447" s="1859"/>
      <c r="AF447" s="1859"/>
      <c r="AG447" s="1859"/>
    </row>
    <row r="448" spans="1:33" s="584" customFormat="1" ht="15" thickBot="1">
      <c r="A448" s="597"/>
      <c r="D448" s="1972" t="s">
        <v>1848</v>
      </c>
      <c r="E448" s="1972"/>
      <c r="F448" s="1972"/>
      <c r="G448" s="1972"/>
      <c r="H448" s="1972"/>
      <c r="I448" s="1972"/>
      <c r="J448" s="1972"/>
      <c r="K448" s="1972"/>
      <c r="L448" s="1972"/>
      <c r="M448" s="1972"/>
      <c r="N448" s="1972"/>
      <c r="O448" s="1972"/>
      <c r="P448" s="1972"/>
      <c r="Q448" s="1972"/>
      <c r="R448" s="1972"/>
      <c r="S448" s="1972"/>
      <c r="T448" s="1972"/>
      <c r="U448" s="1972"/>
      <c r="V448" s="1972"/>
      <c r="W448" s="1972"/>
      <c r="X448" s="1972"/>
      <c r="Y448" s="1972"/>
      <c r="Z448" s="1972"/>
      <c r="AA448" s="1972"/>
      <c r="AB448" s="1972"/>
      <c r="AC448" s="1972"/>
      <c r="AD448" s="1972"/>
      <c r="AE448" s="1972"/>
      <c r="AF448" s="1972"/>
      <c r="AG448" s="1972"/>
    </row>
    <row r="449" spans="1:33" s="584" customFormat="1" ht="23.25" customHeight="1">
      <c r="A449" s="597"/>
      <c r="D449" s="2604" t="s">
        <v>1839</v>
      </c>
      <c r="E449" s="1791"/>
      <c r="F449" s="1791"/>
      <c r="G449" s="1791"/>
      <c r="H449" s="1791"/>
      <c r="I449" s="1791"/>
      <c r="J449" s="1791"/>
      <c r="K449" s="1791"/>
      <c r="L449" s="1791"/>
      <c r="M449" s="1775"/>
      <c r="N449" s="1775"/>
      <c r="O449" s="1775"/>
      <c r="P449" s="1775"/>
      <c r="Q449" s="1775"/>
      <c r="R449" s="1775"/>
      <c r="S449" s="1775"/>
      <c r="T449" s="1775"/>
      <c r="U449" s="1775"/>
      <c r="V449" s="1775"/>
      <c r="W449" s="1775"/>
      <c r="X449" s="1775"/>
      <c r="Y449" s="1775"/>
      <c r="Z449" s="1775"/>
      <c r="AA449" s="1867">
        <f>'Notes- SK Template'!AA450</f>
        <v>0</v>
      </c>
      <c r="AB449" s="1867"/>
      <c r="AC449" s="1867"/>
      <c r="AD449" s="1867"/>
      <c r="AE449" s="1867"/>
      <c r="AF449" s="1867"/>
      <c r="AG449" s="1867"/>
    </row>
    <row r="450" spans="1:33" s="584" customFormat="1" ht="23.25" customHeight="1">
      <c r="A450" s="597"/>
      <c r="D450" s="2556" t="s">
        <v>1849</v>
      </c>
      <c r="E450" s="1787"/>
      <c r="F450" s="1787"/>
      <c r="G450" s="1787"/>
      <c r="H450" s="1787"/>
      <c r="I450" s="1787"/>
      <c r="J450" s="1787"/>
      <c r="K450" s="1787"/>
      <c r="L450" s="1787"/>
      <c r="M450" s="1860"/>
      <c r="N450" s="1860"/>
      <c r="O450" s="1860"/>
      <c r="P450" s="1860"/>
      <c r="Q450" s="1860"/>
      <c r="R450" s="1860"/>
      <c r="S450" s="1860"/>
      <c r="T450" s="1860"/>
      <c r="U450" s="1860"/>
      <c r="V450" s="1860"/>
      <c r="W450" s="1860"/>
      <c r="X450" s="1860"/>
      <c r="Y450" s="1860"/>
      <c r="Z450" s="1860"/>
      <c r="AA450" s="1825">
        <f>'Notes- SK Template'!AA451</f>
        <v>0</v>
      </c>
      <c r="AB450" s="1825"/>
      <c r="AC450" s="1825"/>
      <c r="AD450" s="1825"/>
      <c r="AE450" s="1825"/>
      <c r="AF450" s="1825"/>
      <c r="AG450" s="1825"/>
    </row>
    <row r="451" spans="1:33" s="584" customFormat="1" ht="23.25" customHeight="1">
      <c r="A451" s="597"/>
      <c r="D451" s="2556" t="s">
        <v>1841</v>
      </c>
      <c r="E451" s="1787"/>
      <c r="F451" s="1787"/>
      <c r="G451" s="1787"/>
      <c r="H451" s="1787"/>
      <c r="I451" s="1787"/>
      <c r="J451" s="1787"/>
      <c r="K451" s="1787"/>
      <c r="L451" s="1787"/>
      <c r="M451" s="1860"/>
      <c r="N451" s="1860"/>
      <c r="O451" s="1860"/>
      <c r="P451" s="1860"/>
      <c r="Q451" s="1860"/>
      <c r="R451" s="1860"/>
      <c r="S451" s="1860"/>
      <c r="T451" s="1860"/>
      <c r="U451" s="1860"/>
      <c r="V451" s="1860"/>
      <c r="W451" s="1860"/>
      <c r="X451" s="1860"/>
      <c r="Y451" s="1860"/>
      <c r="Z451" s="1860"/>
      <c r="AA451" s="1825">
        <f>'Notes- SK Template'!AA452</f>
        <v>0</v>
      </c>
      <c r="AB451" s="1825"/>
      <c r="AC451" s="1825"/>
      <c r="AD451" s="1825"/>
      <c r="AE451" s="1825"/>
      <c r="AF451" s="1825"/>
      <c r="AG451" s="1825"/>
    </row>
    <row r="452" spans="1:33" s="584" customFormat="1" ht="23.25" customHeight="1">
      <c r="A452" s="597"/>
      <c r="D452" s="2556" t="s">
        <v>1850</v>
      </c>
      <c r="E452" s="1787"/>
      <c r="F452" s="1787"/>
      <c r="G452" s="1787"/>
      <c r="H452" s="1787"/>
      <c r="I452" s="1787"/>
      <c r="J452" s="1787"/>
      <c r="K452" s="1787"/>
      <c r="L452" s="1787"/>
      <c r="M452" s="1860"/>
      <c r="N452" s="1860"/>
      <c r="O452" s="1860"/>
      <c r="P452" s="1860"/>
      <c r="Q452" s="1860"/>
      <c r="R452" s="1860"/>
      <c r="S452" s="1860"/>
      <c r="T452" s="1860"/>
      <c r="U452" s="1860"/>
      <c r="V452" s="1860"/>
      <c r="W452" s="1860"/>
      <c r="X452" s="1860"/>
      <c r="Y452" s="1860"/>
      <c r="Z452" s="1860"/>
      <c r="AA452" s="1825">
        <f>'Notes- SK Template'!AA453</f>
        <v>0</v>
      </c>
      <c r="AB452" s="1825"/>
      <c r="AC452" s="1825"/>
      <c r="AD452" s="1825"/>
      <c r="AE452" s="1825"/>
      <c r="AF452" s="1825"/>
      <c r="AG452" s="1825"/>
    </row>
    <row r="453" spans="1:33" s="584" customFormat="1" ht="23.25" customHeight="1" thickBot="1">
      <c r="A453" s="597"/>
      <c r="D453" s="2613" t="s">
        <v>1843</v>
      </c>
      <c r="E453" s="1942"/>
      <c r="F453" s="1942"/>
      <c r="G453" s="1942"/>
      <c r="H453" s="1942"/>
      <c r="I453" s="1942"/>
      <c r="J453" s="1942"/>
      <c r="K453" s="1942"/>
      <c r="L453" s="1942"/>
      <c r="M453" s="1860"/>
      <c r="N453" s="1860"/>
      <c r="O453" s="1860"/>
      <c r="P453" s="1860"/>
      <c r="Q453" s="1860"/>
      <c r="R453" s="1860"/>
      <c r="S453" s="1860"/>
      <c r="T453" s="1860"/>
      <c r="U453" s="1860"/>
      <c r="V453" s="1860"/>
      <c r="W453" s="1860"/>
      <c r="X453" s="1860"/>
      <c r="Y453" s="1860"/>
      <c r="Z453" s="1860"/>
      <c r="AA453" s="1825">
        <f>'Notes- SK Template'!AA454</f>
        <v>0</v>
      </c>
      <c r="AB453" s="1825"/>
      <c r="AC453" s="1825"/>
      <c r="AD453" s="1825"/>
      <c r="AE453" s="1825"/>
      <c r="AF453" s="1825"/>
      <c r="AG453" s="1825"/>
    </row>
    <row r="454" spans="1:33" s="584" customFormat="1" ht="23.25" customHeight="1" thickBot="1">
      <c r="A454" s="597"/>
      <c r="D454" s="1972" t="s">
        <v>1851</v>
      </c>
      <c r="E454" s="1972"/>
      <c r="F454" s="1972"/>
      <c r="G454" s="1972"/>
      <c r="H454" s="1972"/>
      <c r="I454" s="1972"/>
      <c r="J454" s="1972"/>
      <c r="K454" s="1972"/>
      <c r="L454" s="1972"/>
      <c r="M454" s="1971">
        <f>'Notes- SK Template'!M455</f>
        <v>0</v>
      </c>
      <c r="N454" s="1971"/>
      <c r="O454" s="1971"/>
      <c r="P454" s="1971"/>
      <c r="Q454" s="1971"/>
      <c r="R454" s="1971"/>
      <c r="S454" s="1971"/>
      <c r="T454" s="1971">
        <f>'Notes- SK Template'!T455</f>
        <v>0</v>
      </c>
      <c r="U454" s="1971"/>
      <c r="V454" s="1971"/>
      <c r="W454" s="1971"/>
      <c r="X454" s="1971"/>
      <c r="Y454" s="1971"/>
      <c r="Z454" s="1971"/>
      <c r="AA454" s="1971">
        <f>'Notes- SK Template'!AA455</f>
        <v>0</v>
      </c>
      <c r="AB454" s="1971"/>
      <c r="AC454" s="1971"/>
      <c r="AD454" s="1971"/>
      <c r="AE454" s="1971"/>
      <c r="AF454" s="1971"/>
      <c r="AG454" s="1971"/>
    </row>
    <row r="455" spans="1:33" s="584" customFormat="1" ht="23.25" customHeight="1" thickBot="1">
      <c r="A455" s="597"/>
      <c r="D455" s="1972" t="s">
        <v>1852</v>
      </c>
      <c r="E455" s="1972"/>
      <c r="F455" s="1972"/>
      <c r="G455" s="1972"/>
      <c r="H455" s="1972"/>
      <c r="I455" s="1972"/>
      <c r="J455" s="1972"/>
      <c r="K455" s="1972"/>
      <c r="L455" s="1972"/>
      <c r="M455" s="1972"/>
      <c r="N455" s="1972"/>
      <c r="O455" s="1972"/>
      <c r="P455" s="1972"/>
      <c r="Q455" s="1972"/>
      <c r="R455" s="1972"/>
      <c r="S455" s="1972"/>
      <c r="T455" s="1972"/>
      <c r="U455" s="1972"/>
      <c r="V455" s="1972"/>
      <c r="W455" s="1972"/>
      <c r="X455" s="1972"/>
      <c r="Y455" s="1972"/>
      <c r="Z455" s="1972"/>
      <c r="AA455" s="1972"/>
      <c r="AB455" s="1972"/>
      <c r="AC455" s="1972"/>
      <c r="AD455" s="1972"/>
      <c r="AE455" s="1972"/>
      <c r="AF455" s="1972"/>
      <c r="AG455" s="1972"/>
    </row>
    <row r="456" spans="1:33" s="584" customFormat="1" ht="23.25" customHeight="1">
      <c r="A456" s="597"/>
      <c r="D456" s="2604" t="s">
        <v>1839</v>
      </c>
      <c r="E456" s="1791"/>
      <c r="F456" s="1791"/>
      <c r="G456" s="1791"/>
      <c r="H456" s="1791"/>
      <c r="I456" s="1791"/>
      <c r="J456" s="1791"/>
      <c r="K456" s="1791"/>
      <c r="L456" s="1791"/>
      <c r="M456" s="1837">
        <f>'Notes- SK Template'!M457</f>
        <v>795999</v>
      </c>
      <c r="N456" s="1837"/>
      <c r="O456" s="1837"/>
      <c r="P456" s="1837"/>
      <c r="Q456" s="1837"/>
      <c r="R456" s="1837"/>
      <c r="S456" s="1837"/>
      <c r="T456" s="1837">
        <f>'Notes- SK Template'!T457</f>
        <v>146856</v>
      </c>
      <c r="U456" s="1837"/>
      <c r="V456" s="1837"/>
      <c r="W456" s="1837"/>
      <c r="X456" s="1837"/>
      <c r="Y456" s="1837"/>
      <c r="Z456" s="1837"/>
      <c r="AA456" s="1867">
        <f>'Notes- SK Template'!AA457</f>
        <v>942855</v>
      </c>
      <c r="AB456" s="1867"/>
      <c r="AC456" s="1867"/>
      <c r="AD456" s="1867"/>
      <c r="AE456" s="1867"/>
      <c r="AF456" s="1867"/>
      <c r="AG456" s="1867"/>
    </row>
    <row r="457" spans="1:33" s="584" customFormat="1" ht="23.25" customHeight="1">
      <c r="A457" s="597"/>
      <c r="D457" s="2556" t="s">
        <v>1849</v>
      </c>
      <c r="E457" s="1787"/>
      <c r="F457" s="1787"/>
      <c r="G457" s="1787"/>
      <c r="H457" s="1787"/>
      <c r="I457" s="1787"/>
      <c r="J457" s="1787"/>
      <c r="K457" s="1787"/>
      <c r="L457" s="1787"/>
      <c r="M457" s="1860">
        <f>'Notes- SK Template'!M458</f>
        <v>83568</v>
      </c>
      <c r="N457" s="1860"/>
      <c r="O457" s="1860"/>
      <c r="P457" s="1860"/>
      <c r="Q457" s="1860"/>
      <c r="R457" s="1860"/>
      <c r="S457" s="1860"/>
      <c r="T457" s="1860">
        <f>'Notes- SK Template'!T458</f>
        <v>0</v>
      </c>
      <c r="U457" s="1860"/>
      <c r="V457" s="1860"/>
      <c r="W457" s="1860"/>
      <c r="X457" s="1860"/>
      <c r="Y457" s="1860"/>
      <c r="Z457" s="1860"/>
      <c r="AA457" s="1825">
        <f>'Notes- SK Template'!AA458</f>
        <v>83568</v>
      </c>
      <c r="AB457" s="1825"/>
      <c r="AC457" s="1825"/>
      <c r="AD457" s="1825"/>
      <c r="AE457" s="1825"/>
      <c r="AF457" s="1825"/>
      <c r="AG457" s="1825"/>
    </row>
    <row r="458" spans="1:33" s="584" customFormat="1" ht="23.25" customHeight="1">
      <c r="A458" s="597"/>
      <c r="D458" s="2556" t="s">
        <v>1841</v>
      </c>
      <c r="E458" s="1787"/>
      <c r="F458" s="1787"/>
      <c r="G458" s="1787"/>
      <c r="H458" s="1787"/>
      <c r="I458" s="1787"/>
      <c r="J458" s="1787"/>
      <c r="K458" s="1787"/>
      <c r="L458" s="1787"/>
      <c r="M458" s="1860">
        <f>'Notes- SK Template'!M459</f>
        <v>0</v>
      </c>
      <c r="N458" s="1860"/>
      <c r="O458" s="1860"/>
      <c r="P458" s="1860"/>
      <c r="Q458" s="1860"/>
      <c r="R458" s="1860"/>
      <c r="S458" s="1860"/>
      <c r="T458" s="1860">
        <f>'Notes- SK Template'!T459</f>
        <v>0</v>
      </c>
      <c r="U458" s="1860"/>
      <c r="V458" s="1860"/>
      <c r="W458" s="1860"/>
      <c r="X458" s="1860"/>
      <c r="Y458" s="1860"/>
      <c r="Z458" s="1860"/>
      <c r="AA458" s="1825">
        <f>'Notes- SK Template'!AA459</f>
        <v>0</v>
      </c>
      <c r="AB458" s="1825"/>
      <c r="AC458" s="1825"/>
      <c r="AD458" s="1825"/>
      <c r="AE458" s="1825"/>
      <c r="AF458" s="1825"/>
      <c r="AG458" s="1825"/>
    </row>
    <row r="459" spans="1:33" s="584" customFormat="1" ht="23.25" customHeight="1">
      <c r="A459" s="597"/>
      <c r="D459" s="2556" t="s">
        <v>1850</v>
      </c>
      <c r="E459" s="1787"/>
      <c r="F459" s="1787"/>
      <c r="G459" s="1787"/>
      <c r="H459" s="1787"/>
      <c r="I459" s="1787"/>
      <c r="J459" s="1787"/>
      <c r="K459" s="1787"/>
      <c r="L459" s="1787"/>
      <c r="M459" s="1860">
        <f>'Notes- SK Template'!M460</f>
        <v>0</v>
      </c>
      <c r="N459" s="1860"/>
      <c r="O459" s="1860"/>
      <c r="P459" s="1860"/>
      <c r="Q459" s="1860"/>
      <c r="R459" s="1860"/>
      <c r="S459" s="1860"/>
      <c r="T459" s="1860">
        <f>'Notes- SK Template'!T460</f>
        <v>0</v>
      </c>
      <c r="U459" s="1860"/>
      <c r="V459" s="1860"/>
      <c r="W459" s="1860"/>
      <c r="X459" s="1860"/>
      <c r="Y459" s="1860"/>
      <c r="Z459" s="1860"/>
      <c r="AA459" s="1825">
        <f>'Notes- SK Template'!AA460</f>
        <v>0</v>
      </c>
      <c r="AB459" s="1825"/>
      <c r="AC459" s="1825"/>
      <c r="AD459" s="1825"/>
      <c r="AE459" s="1825"/>
      <c r="AF459" s="1825"/>
      <c r="AG459" s="1825"/>
    </row>
    <row r="460" spans="1:33" s="584" customFormat="1" ht="23.25" customHeight="1">
      <c r="A460" s="597"/>
      <c r="D460" s="2556" t="s">
        <v>1853</v>
      </c>
      <c r="E460" s="1787"/>
      <c r="F460" s="1787"/>
      <c r="G460" s="1787"/>
      <c r="H460" s="1787"/>
      <c r="I460" s="1787"/>
      <c r="J460" s="1787"/>
      <c r="K460" s="1787"/>
      <c r="L460" s="1787"/>
      <c r="M460" s="1773">
        <f>'Notes- SK Template'!M461</f>
        <v>0</v>
      </c>
      <c r="N460" s="1773"/>
      <c r="O460" s="1773"/>
      <c r="P460" s="1773"/>
      <c r="Q460" s="1773"/>
      <c r="R460" s="1773"/>
      <c r="S460" s="1773"/>
      <c r="T460" s="1860">
        <f>'Notes- SK Template'!T461</f>
        <v>0</v>
      </c>
      <c r="U460" s="1860"/>
      <c r="V460" s="1860"/>
      <c r="W460" s="1860"/>
      <c r="X460" s="1860"/>
      <c r="Y460" s="1860"/>
      <c r="Z460" s="1860"/>
      <c r="AA460" s="1825">
        <f>'Notes- SK Template'!AA461</f>
        <v>0</v>
      </c>
      <c r="AB460" s="1825"/>
      <c r="AC460" s="1825"/>
      <c r="AD460" s="1825"/>
      <c r="AE460" s="1825"/>
      <c r="AF460" s="1825"/>
      <c r="AG460" s="1825"/>
    </row>
    <row r="461" spans="1:33" s="584" customFormat="1" ht="23.25" customHeight="1">
      <c r="A461" s="597"/>
      <c r="D461" s="2556" t="s">
        <v>1854</v>
      </c>
      <c r="E461" s="1787"/>
      <c r="F461" s="1787"/>
      <c r="G461" s="1787"/>
      <c r="H461" s="1787"/>
      <c r="I461" s="1787"/>
      <c r="J461" s="1787"/>
      <c r="K461" s="1787"/>
      <c r="L461" s="1787"/>
      <c r="M461" s="1860">
        <f>'Notes- SK Template'!M462</f>
        <v>34426</v>
      </c>
      <c r="N461" s="1860"/>
      <c r="O461" s="1860"/>
      <c r="P461" s="1860"/>
      <c r="Q461" s="1860"/>
      <c r="R461" s="1860"/>
      <c r="S461" s="1860"/>
      <c r="T461" s="1860">
        <f>'Notes- SK Template'!T462</f>
        <v>0</v>
      </c>
      <c r="U461" s="1860"/>
      <c r="V461" s="1860"/>
      <c r="W461" s="1860"/>
      <c r="X461" s="1860"/>
      <c r="Y461" s="1860"/>
      <c r="Z461" s="1860"/>
      <c r="AA461" s="1825">
        <f>'Notes- SK Template'!AA462</f>
        <v>34426</v>
      </c>
      <c r="AB461" s="1825"/>
      <c r="AC461" s="1825"/>
      <c r="AD461" s="1825"/>
      <c r="AE461" s="1825"/>
      <c r="AF461" s="1825"/>
      <c r="AG461" s="1825"/>
    </row>
    <row r="462" spans="1:33" s="584" customFormat="1" ht="23.25" customHeight="1" thickBot="1">
      <c r="A462" s="597"/>
      <c r="D462" s="2613" t="s">
        <v>1843</v>
      </c>
      <c r="E462" s="1942"/>
      <c r="F462" s="1942"/>
      <c r="G462" s="1942"/>
      <c r="H462" s="1942"/>
      <c r="I462" s="1942"/>
      <c r="J462" s="1942"/>
      <c r="K462" s="1942"/>
      <c r="L462" s="1942"/>
      <c r="M462" s="1860">
        <f>'Notes- SK Template'!M463</f>
        <v>11370</v>
      </c>
      <c r="N462" s="1860"/>
      <c r="O462" s="1860"/>
      <c r="P462" s="1860"/>
      <c r="Q462" s="1860"/>
      <c r="R462" s="1860"/>
      <c r="S462" s="1860"/>
      <c r="T462" s="1860">
        <f>'Notes- SK Template'!T463</f>
        <v>0</v>
      </c>
      <c r="U462" s="1860"/>
      <c r="V462" s="1860"/>
      <c r="W462" s="1860"/>
      <c r="X462" s="1860"/>
      <c r="Y462" s="1860"/>
      <c r="Z462" s="1860"/>
      <c r="AA462" s="1825">
        <f>'Notes- SK Template'!AA463</f>
        <v>11370</v>
      </c>
      <c r="AB462" s="1825"/>
      <c r="AC462" s="1825"/>
      <c r="AD462" s="1825"/>
      <c r="AE462" s="1825"/>
      <c r="AF462" s="1825"/>
      <c r="AG462" s="1825"/>
    </row>
    <row r="463" spans="1:33" s="584" customFormat="1" ht="23.25" customHeight="1" thickBot="1">
      <c r="A463" s="597"/>
      <c r="D463" s="1941" t="s">
        <v>1855</v>
      </c>
      <c r="E463" s="1941"/>
      <c r="F463" s="1941"/>
      <c r="G463" s="1941"/>
      <c r="H463" s="1941"/>
      <c r="I463" s="1941"/>
      <c r="J463" s="1941"/>
      <c r="K463" s="1941"/>
      <c r="L463" s="1941"/>
      <c r="M463" s="1971">
        <f>'Notes- SK Template'!M464</f>
        <v>925363</v>
      </c>
      <c r="N463" s="1971"/>
      <c r="O463" s="1971"/>
      <c r="P463" s="1971"/>
      <c r="Q463" s="1971"/>
      <c r="R463" s="1971"/>
      <c r="S463" s="1971"/>
      <c r="T463" s="1971">
        <f>'Notes- SK Template'!T464</f>
        <v>146856</v>
      </c>
      <c r="U463" s="1971"/>
      <c r="V463" s="1971"/>
      <c r="W463" s="1971"/>
      <c r="X463" s="1971"/>
      <c r="Y463" s="1971"/>
      <c r="Z463" s="1971"/>
      <c r="AA463" s="1971">
        <f>'Notes- SK Template'!AA464</f>
        <v>1072219</v>
      </c>
      <c r="AB463" s="1971"/>
      <c r="AC463" s="1971"/>
      <c r="AD463" s="1971"/>
      <c r="AE463" s="1971"/>
      <c r="AF463" s="1971"/>
      <c r="AG463" s="1971"/>
    </row>
    <row r="464" spans="1:33" s="584" customFormat="1">
      <c r="A464" s="597"/>
    </row>
    <row r="465" spans="1:33" s="584" customFormat="1">
      <c r="A465" s="597"/>
      <c r="D465" s="1809" t="s">
        <v>1856</v>
      </c>
      <c r="E465" s="1963"/>
      <c r="F465" s="1963"/>
      <c r="G465" s="1963"/>
      <c r="H465" s="1963"/>
      <c r="I465" s="1963"/>
      <c r="J465" s="1963"/>
      <c r="K465" s="1963"/>
      <c r="L465" s="1963"/>
      <c r="M465" s="1963"/>
      <c r="N465" s="1963"/>
      <c r="O465" s="1963"/>
      <c r="P465" s="1963"/>
      <c r="Q465" s="1963"/>
      <c r="R465" s="1963"/>
      <c r="S465" s="1963"/>
      <c r="T465" s="1963"/>
      <c r="U465" s="1963"/>
      <c r="V465" s="1963"/>
      <c r="W465" s="1963"/>
      <c r="X465" s="1963"/>
      <c r="Y465" s="1963"/>
      <c r="Z465" s="1963"/>
      <c r="AA465" s="1963"/>
      <c r="AB465" s="1963"/>
      <c r="AC465" s="1963"/>
      <c r="AD465" s="1963"/>
      <c r="AE465" s="1963"/>
      <c r="AF465" s="1963"/>
      <c r="AG465" s="1963"/>
    </row>
    <row r="466" spans="1:33" s="584" customFormat="1" ht="15" thickBot="1">
      <c r="A466" s="597"/>
      <c r="D466" s="913"/>
      <c r="E466" s="913"/>
      <c r="F466" s="913"/>
      <c r="G466" s="913"/>
      <c r="H466" s="913"/>
      <c r="I466" s="913"/>
      <c r="J466" s="913"/>
      <c r="K466" s="913"/>
      <c r="L466" s="913"/>
      <c r="M466" s="913"/>
      <c r="N466" s="913"/>
      <c r="O466" s="913"/>
      <c r="P466" s="913"/>
      <c r="Q466" s="913"/>
      <c r="R466" s="913"/>
      <c r="S466" s="913"/>
      <c r="T466" s="913"/>
      <c r="U466" s="913"/>
      <c r="V466" s="913"/>
      <c r="W466" s="913"/>
      <c r="X466" s="913"/>
      <c r="Y466" s="913"/>
      <c r="Z466" s="913"/>
      <c r="AA466" s="913"/>
      <c r="AB466" s="913"/>
      <c r="AC466" s="913"/>
      <c r="AD466" s="913"/>
      <c r="AE466" s="913"/>
      <c r="AF466" s="913"/>
      <c r="AG466" s="913"/>
    </row>
    <row r="467" spans="1:33" s="584" customFormat="1" ht="15.75" customHeight="1" thickBot="1">
      <c r="A467" s="597">
        <v>17</v>
      </c>
      <c r="D467" s="1799" t="s">
        <v>1857</v>
      </c>
      <c r="E467" s="1800"/>
      <c r="F467" s="1800"/>
      <c r="G467" s="1800"/>
      <c r="H467" s="1800"/>
      <c r="I467" s="1800"/>
      <c r="J467" s="1800"/>
      <c r="K467" s="1800"/>
      <c r="L467" s="1800"/>
      <c r="M467" s="1800"/>
      <c r="N467" s="1995" t="s">
        <v>1741</v>
      </c>
      <c r="O467" s="1996"/>
      <c r="P467" s="1996"/>
      <c r="Q467" s="1996"/>
      <c r="R467" s="1996"/>
      <c r="S467" s="1996"/>
      <c r="T467" s="1996"/>
      <c r="U467" s="1996"/>
      <c r="V467" s="1996"/>
      <c r="W467" s="1996"/>
      <c r="X467" s="1996"/>
      <c r="Y467" s="1996"/>
      <c r="Z467" s="1996"/>
      <c r="AA467" s="1996"/>
      <c r="AB467" s="1996"/>
      <c r="AC467" s="1996"/>
      <c r="AD467" s="1996"/>
      <c r="AE467" s="1996"/>
      <c r="AF467" s="1996"/>
      <c r="AG467" s="1997"/>
    </row>
    <row r="468" spans="1:33" s="584" customFormat="1" ht="35.25" customHeight="1" thickBot="1">
      <c r="A468" s="597"/>
      <c r="D468" s="1801"/>
      <c r="E468" s="1802"/>
      <c r="F468" s="1802"/>
      <c r="G468" s="1802"/>
      <c r="H468" s="1802"/>
      <c r="I468" s="1802"/>
      <c r="J468" s="1802"/>
      <c r="K468" s="1802"/>
      <c r="L468" s="1802"/>
      <c r="M468" s="1802"/>
      <c r="N468" s="1838" t="s">
        <v>2002</v>
      </c>
      <c r="O468" s="1838"/>
      <c r="P468" s="1838"/>
      <c r="Q468" s="1838"/>
      <c r="R468" s="1838"/>
      <c r="S468" s="1838"/>
      <c r="T468" s="1838"/>
      <c r="U468" s="1838"/>
      <c r="V468" s="1838"/>
      <c r="W468" s="1838"/>
      <c r="X468" s="1838" t="s">
        <v>1858</v>
      </c>
      <c r="Y468" s="1838"/>
      <c r="Z468" s="1838"/>
      <c r="AA468" s="1838"/>
      <c r="AB468" s="1838"/>
      <c r="AC468" s="1838"/>
      <c r="AD468" s="1838"/>
      <c r="AE468" s="1838"/>
      <c r="AF468" s="1838"/>
      <c r="AG468" s="1838"/>
    </row>
    <row r="469" spans="1:33" s="584" customFormat="1" ht="27" customHeight="1">
      <c r="A469" s="597"/>
      <c r="D469" s="2610" t="s">
        <v>1859</v>
      </c>
      <c r="E469" s="2086"/>
      <c r="F469" s="2086"/>
      <c r="G469" s="2086"/>
      <c r="H469" s="2086"/>
      <c r="I469" s="2086"/>
      <c r="J469" s="2086"/>
      <c r="K469" s="2086"/>
      <c r="L469" s="2086"/>
      <c r="M469" s="2086"/>
      <c r="N469" s="2611" t="str">
        <f>'Notes- SK Template'!N469</f>
        <v>-</v>
      </c>
      <c r="O469" s="2612"/>
      <c r="P469" s="2612"/>
      <c r="Q469" s="2612"/>
      <c r="R469" s="2612"/>
      <c r="S469" s="2612"/>
      <c r="T469" s="2612"/>
      <c r="U469" s="2612"/>
      <c r="V469" s="2612"/>
      <c r="W469" s="2612"/>
      <c r="X469" s="2612" t="str">
        <f>'Notes- SK Template'!X469</f>
        <v>-</v>
      </c>
      <c r="Y469" s="2612"/>
      <c r="Z469" s="2612"/>
      <c r="AA469" s="2612"/>
      <c r="AB469" s="2612"/>
      <c r="AC469" s="2612"/>
      <c r="AD469" s="2612"/>
      <c r="AE469" s="2612"/>
      <c r="AF469" s="2612"/>
      <c r="AG469" s="2612"/>
    </row>
    <row r="470" spans="1:33" s="584" customFormat="1" ht="27" customHeight="1">
      <c r="A470" s="597"/>
      <c r="D470" s="2513" t="s">
        <v>1860</v>
      </c>
      <c r="E470" s="1762"/>
      <c r="F470" s="1762"/>
      <c r="G470" s="1762"/>
      <c r="H470" s="1762"/>
      <c r="I470" s="1762"/>
      <c r="J470" s="1762"/>
      <c r="K470" s="1762"/>
      <c r="L470" s="1762"/>
      <c r="M470" s="1763"/>
      <c r="N470" s="2608" t="str">
        <f>'Notes- SK Template'!N470</f>
        <v>-</v>
      </c>
      <c r="O470" s="2537"/>
      <c r="P470" s="2537"/>
      <c r="Q470" s="2537"/>
      <c r="R470" s="2537"/>
      <c r="S470" s="2537"/>
      <c r="T470" s="2537"/>
      <c r="U470" s="2537"/>
      <c r="V470" s="2537"/>
      <c r="W470" s="2537"/>
      <c r="X470" s="2609" t="str">
        <f>'Notes- SK Template'!X470</f>
        <v>-</v>
      </c>
      <c r="Y470" s="2609"/>
      <c r="Z470" s="2609"/>
      <c r="AA470" s="2609"/>
      <c r="AB470" s="2609"/>
      <c r="AC470" s="2609"/>
      <c r="AD470" s="2609"/>
      <c r="AE470" s="2609"/>
      <c r="AF470" s="2609"/>
      <c r="AG470" s="2609"/>
    </row>
    <row r="471" spans="1:33" s="584" customFormat="1" ht="27" customHeight="1" thickBot="1">
      <c r="A471" s="597"/>
      <c r="D471" s="2514" t="s">
        <v>1861</v>
      </c>
      <c r="E471" s="2027"/>
      <c r="F471" s="2027"/>
      <c r="G471" s="2027"/>
      <c r="H471" s="2027"/>
      <c r="I471" s="2027"/>
      <c r="J471" s="2027"/>
      <c r="K471" s="2027"/>
      <c r="L471" s="2027"/>
      <c r="M471" s="2028"/>
      <c r="N471" s="1796" t="str">
        <f>'Notes- SK Template'!N471</f>
        <v>-</v>
      </c>
      <c r="O471" s="1797"/>
      <c r="P471" s="1797"/>
      <c r="Q471" s="1797"/>
      <c r="R471" s="1797"/>
      <c r="S471" s="1797"/>
      <c r="T471" s="1797"/>
      <c r="U471" s="1797"/>
      <c r="V471" s="1797"/>
      <c r="W471" s="1797"/>
      <c r="X471" s="2246" t="str">
        <f>'Notes- SK Template'!X471</f>
        <v>-</v>
      </c>
      <c r="Y471" s="2246"/>
      <c r="Z471" s="2246"/>
      <c r="AA471" s="2246"/>
      <c r="AB471" s="2246"/>
      <c r="AC471" s="2246"/>
      <c r="AD471" s="2246"/>
      <c r="AE471" s="2246"/>
      <c r="AF471" s="2246"/>
      <c r="AG471" s="2246"/>
    </row>
    <row r="472" spans="1:33" s="584" customFormat="1">
      <c r="A472" s="597"/>
    </row>
    <row r="473" spans="1:33" s="584" customFormat="1">
      <c r="A473" s="597"/>
    </row>
    <row r="474" spans="1:33" s="584" customFormat="1">
      <c r="A474" s="597"/>
      <c r="D474" s="582" t="s">
        <v>3056</v>
      </c>
    </row>
    <row r="475" spans="1:33" s="584" customFormat="1">
      <c r="A475" s="597"/>
    </row>
    <row r="476" spans="1:33" s="584" customFormat="1">
      <c r="A476" s="18"/>
      <c r="D476" s="1809" t="s">
        <v>1862</v>
      </c>
      <c r="E476" s="1963"/>
      <c r="F476" s="1963"/>
      <c r="G476" s="1963"/>
      <c r="H476" s="1963"/>
      <c r="I476" s="1963"/>
      <c r="J476" s="1963"/>
      <c r="K476" s="1963"/>
      <c r="L476" s="1963"/>
      <c r="M476" s="1963"/>
      <c r="N476" s="1963"/>
      <c r="O476" s="1963"/>
      <c r="P476" s="1963"/>
      <c r="Q476" s="1963"/>
      <c r="R476" s="1963"/>
      <c r="S476" s="1963"/>
      <c r="T476" s="1963"/>
      <c r="U476" s="1963"/>
      <c r="V476" s="1963"/>
      <c r="W476" s="1963"/>
      <c r="X476" s="1963"/>
      <c r="Y476" s="1963"/>
      <c r="Z476" s="1963"/>
      <c r="AA476" s="1963"/>
      <c r="AB476" s="1963"/>
      <c r="AC476" s="1963"/>
      <c r="AD476" s="1963"/>
      <c r="AE476" s="1963"/>
      <c r="AF476" s="1963"/>
      <c r="AG476" s="1963"/>
    </row>
    <row r="477" spans="1:33" s="584" customFormat="1" ht="15" thickBot="1">
      <c r="A477" s="597"/>
    </row>
    <row r="478" spans="1:33" s="584" customFormat="1" ht="31.5" customHeight="1" thickBot="1">
      <c r="A478" s="597">
        <v>18</v>
      </c>
      <c r="D478" s="1995" t="s">
        <v>1740</v>
      </c>
      <c r="E478" s="1996"/>
      <c r="F478" s="1996"/>
      <c r="G478" s="1996"/>
      <c r="H478" s="1996"/>
      <c r="I478" s="1996"/>
      <c r="J478" s="1996"/>
      <c r="K478" s="1996"/>
      <c r="L478" s="1996"/>
      <c r="M478" s="1997"/>
      <c r="N478" s="1995" t="s">
        <v>1741</v>
      </c>
      <c r="O478" s="1996"/>
      <c r="P478" s="1996"/>
      <c r="Q478" s="1996"/>
      <c r="R478" s="1996"/>
      <c r="S478" s="1996"/>
      <c r="T478" s="1996"/>
      <c r="U478" s="1996"/>
      <c r="V478" s="1996"/>
      <c r="W478" s="1997"/>
      <c r="X478" s="1995" t="s">
        <v>1863</v>
      </c>
      <c r="Y478" s="1996"/>
      <c r="Z478" s="1996"/>
      <c r="AA478" s="1996"/>
      <c r="AB478" s="1996"/>
      <c r="AC478" s="1996"/>
      <c r="AD478" s="1996"/>
      <c r="AE478" s="1996"/>
      <c r="AF478" s="1996"/>
      <c r="AG478" s="1997"/>
    </row>
    <row r="479" spans="1:33" s="584" customFormat="1" ht="23.25" customHeight="1">
      <c r="A479" s="597"/>
      <c r="D479" s="2512" t="s">
        <v>1864</v>
      </c>
      <c r="E479" s="1987"/>
      <c r="F479" s="1987"/>
      <c r="G479" s="1987"/>
      <c r="H479" s="1987"/>
      <c r="I479" s="1987"/>
      <c r="J479" s="1987"/>
      <c r="K479" s="1987"/>
      <c r="L479" s="1987"/>
      <c r="M479" s="1988"/>
      <c r="N479" s="2005">
        <f>'Notes- SK Template'!N480</f>
        <v>1088</v>
      </c>
      <c r="O479" s="2006"/>
      <c r="P479" s="2006"/>
      <c r="Q479" s="2006"/>
      <c r="R479" s="2006"/>
      <c r="S479" s="2006"/>
      <c r="T479" s="2006"/>
      <c r="U479" s="2006"/>
      <c r="V479" s="2006"/>
      <c r="W479" s="2006"/>
      <c r="X479" s="2006">
        <f>'Notes- SK Template'!X480</f>
        <v>961</v>
      </c>
      <c r="Y479" s="2006"/>
      <c r="Z479" s="2006"/>
      <c r="AA479" s="2006"/>
      <c r="AB479" s="2006"/>
      <c r="AC479" s="2006"/>
      <c r="AD479" s="2006"/>
      <c r="AE479" s="2006"/>
      <c r="AF479" s="2006"/>
      <c r="AG479" s="2006"/>
    </row>
    <row r="480" spans="1:33" s="584" customFormat="1" ht="23.25" customHeight="1">
      <c r="A480" s="597"/>
      <c r="D480" s="2513" t="s">
        <v>1865</v>
      </c>
      <c r="E480" s="1762"/>
      <c r="F480" s="1762"/>
      <c r="G480" s="1762"/>
      <c r="H480" s="1762"/>
      <c r="I480" s="1762"/>
      <c r="J480" s="1762"/>
      <c r="K480" s="1762"/>
      <c r="L480" s="1762"/>
      <c r="M480" s="1763"/>
      <c r="N480" s="1914">
        <f>'Notes- SK Template'!N481</f>
        <v>298825</v>
      </c>
      <c r="O480" s="1860"/>
      <c r="P480" s="1860"/>
      <c r="Q480" s="1860"/>
      <c r="R480" s="1860"/>
      <c r="S480" s="1860"/>
      <c r="T480" s="1860"/>
      <c r="U480" s="1860"/>
      <c r="V480" s="1860"/>
      <c r="W480" s="1860"/>
      <c r="X480" s="1860">
        <f>'Notes- SK Template'!X481</f>
        <v>767349</v>
      </c>
      <c r="Y480" s="1860"/>
      <c r="Z480" s="1860"/>
      <c r="AA480" s="1860"/>
      <c r="AB480" s="1860"/>
      <c r="AC480" s="1860"/>
      <c r="AD480" s="1860"/>
      <c r="AE480" s="1860"/>
      <c r="AF480" s="1860"/>
      <c r="AG480" s="1860"/>
    </row>
    <row r="481" spans="1:33" s="584" customFormat="1" ht="23.25" customHeight="1">
      <c r="A481" s="597"/>
      <c r="D481" s="2513" t="s">
        <v>1866</v>
      </c>
      <c r="E481" s="1762"/>
      <c r="F481" s="1762"/>
      <c r="G481" s="1762"/>
      <c r="H481" s="1762"/>
      <c r="I481" s="1762"/>
      <c r="J481" s="1762"/>
      <c r="K481" s="1762"/>
      <c r="L481" s="1762"/>
      <c r="M481" s="1763"/>
      <c r="N481" s="1914"/>
      <c r="O481" s="1860"/>
      <c r="P481" s="1860"/>
      <c r="Q481" s="1860"/>
      <c r="R481" s="1860"/>
      <c r="S481" s="1860"/>
      <c r="T481" s="1860"/>
      <c r="U481" s="1860"/>
      <c r="V481" s="1860"/>
      <c r="W481" s="1860"/>
      <c r="X481" s="1860"/>
      <c r="Y481" s="1860"/>
      <c r="Z481" s="1860"/>
      <c r="AA481" s="1860"/>
      <c r="AB481" s="1860"/>
      <c r="AC481" s="1860"/>
      <c r="AD481" s="1860"/>
      <c r="AE481" s="1860"/>
      <c r="AF481" s="1860"/>
      <c r="AG481" s="1860"/>
    </row>
    <row r="482" spans="1:33" s="584" customFormat="1" ht="23.25" customHeight="1">
      <c r="A482" s="597"/>
      <c r="D482" s="2513" t="s">
        <v>1867</v>
      </c>
      <c r="E482" s="1762"/>
      <c r="F482" s="1762"/>
      <c r="G482" s="1762"/>
      <c r="H482" s="1762"/>
      <c r="I482" s="1762"/>
      <c r="J482" s="1762"/>
      <c r="K482" s="1762"/>
      <c r="L482" s="1762"/>
      <c r="M482" s="1763"/>
      <c r="N482" s="1914"/>
      <c r="O482" s="1860"/>
      <c r="P482" s="1860"/>
      <c r="Q482" s="1860"/>
      <c r="R482" s="1860"/>
      <c r="S482" s="1860"/>
      <c r="T482" s="1860"/>
      <c r="U482" s="1860"/>
      <c r="V482" s="1860"/>
      <c r="W482" s="1860"/>
      <c r="X482" s="1860"/>
      <c r="Y482" s="1860"/>
      <c r="Z482" s="1860"/>
      <c r="AA482" s="1860"/>
      <c r="AB482" s="1860"/>
      <c r="AC482" s="1860"/>
      <c r="AD482" s="1860"/>
      <c r="AE482" s="1860"/>
      <c r="AF482" s="1860"/>
      <c r="AG482" s="1860"/>
    </row>
    <row r="483" spans="1:33" s="584" customFormat="1" ht="23.25" customHeight="1" thickBot="1">
      <c r="A483" s="597"/>
      <c r="D483" s="1899" t="s">
        <v>1752</v>
      </c>
      <c r="E483" s="1900"/>
      <c r="F483" s="1900"/>
      <c r="G483" s="1900"/>
      <c r="H483" s="1900"/>
      <c r="I483" s="1900"/>
      <c r="J483" s="1900"/>
      <c r="K483" s="1900"/>
      <c r="L483" s="1900"/>
      <c r="M483" s="1901"/>
      <c r="N483" s="1970">
        <f>'Notes- SK Template'!N484</f>
        <v>299913</v>
      </c>
      <c r="O483" s="1971"/>
      <c r="P483" s="1971"/>
      <c r="Q483" s="1971"/>
      <c r="R483" s="1971"/>
      <c r="S483" s="1971"/>
      <c r="T483" s="1971"/>
      <c r="U483" s="1971"/>
      <c r="V483" s="1971"/>
      <c r="W483" s="1971"/>
      <c r="X483" s="1970">
        <f>'Notes- SK Template'!X484</f>
        <v>768310</v>
      </c>
      <c r="Y483" s="1971"/>
      <c r="Z483" s="1971"/>
      <c r="AA483" s="1971"/>
      <c r="AB483" s="1971"/>
      <c r="AC483" s="1971"/>
      <c r="AD483" s="1971"/>
      <c r="AE483" s="1971"/>
      <c r="AF483" s="1971"/>
      <c r="AG483" s="1971"/>
    </row>
    <row r="484" spans="1:33" s="584" customFormat="1">
      <c r="A484" s="597"/>
    </row>
    <row r="485" spans="1:33" s="584" customFormat="1">
      <c r="A485" s="597"/>
      <c r="D485" s="2058"/>
      <c r="E485" s="2058"/>
      <c r="F485" s="2058"/>
      <c r="G485" s="2058"/>
      <c r="H485" s="2058"/>
      <c r="I485" s="2058"/>
      <c r="J485" s="2058"/>
      <c r="K485" s="2058"/>
      <c r="L485" s="2058"/>
      <c r="M485" s="2058"/>
      <c r="N485" s="2058"/>
      <c r="O485" s="2058"/>
      <c r="P485" s="2058"/>
      <c r="Q485" s="2058"/>
      <c r="R485" s="2058"/>
      <c r="S485" s="2058"/>
      <c r="T485" s="2058"/>
      <c r="U485" s="2058"/>
      <c r="V485" s="2058"/>
      <c r="W485" s="2058"/>
      <c r="X485" s="2058"/>
      <c r="Y485" s="2058"/>
      <c r="Z485" s="2058"/>
      <c r="AA485" s="2058"/>
      <c r="AB485" s="2058"/>
      <c r="AC485" s="2058"/>
      <c r="AD485" s="2058"/>
      <c r="AE485" s="2058"/>
      <c r="AF485" s="2058"/>
      <c r="AG485" s="2058"/>
    </row>
    <row r="486" spans="1:33" ht="14.25" customHeight="1">
      <c r="D486" s="582" t="s">
        <v>2837</v>
      </c>
    </row>
    <row r="488" spans="1:33" ht="14.25" customHeight="1">
      <c r="D488" s="1809" t="s">
        <v>1868</v>
      </c>
      <c r="E488" s="1963"/>
      <c r="F488" s="1963"/>
      <c r="G488" s="1963"/>
      <c r="H488" s="1963"/>
      <c r="I488" s="1963"/>
      <c r="J488" s="1963"/>
      <c r="K488" s="1963"/>
      <c r="L488" s="1963"/>
      <c r="M488" s="1963"/>
      <c r="N488" s="1963"/>
      <c r="O488" s="1963"/>
      <c r="P488" s="1963"/>
      <c r="Q488" s="1963"/>
      <c r="R488" s="1963"/>
      <c r="S488" s="1963"/>
      <c r="T488" s="1963"/>
      <c r="U488" s="1963"/>
      <c r="V488" s="1963"/>
      <c r="W488" s="1963"/>
      <c r="X488" s="1963"/>
      <c r="Y488" s="1963"/>
      <c r="Z488" s="1963"/>
      <c r="AA488" s="1963"/>
      <c r="AB488" s="1963"/>
      <c r="AC488" s="1963"/>
      <c r="AD488" s="1963"/>
      <c r="AE488" s="1963"/>
      <c r="AF488" s="1963"/>
      <c r="AG488" s="1963"/>
    </row>
    <row r="489" spans="1:33" ht="14.25" customHeight="1" thickBot="1"/>
    <row r="490" spans="1:33" ht="28.5" customHeight="1" thickBot="1">
      <c r="A490" s="597">
        <v>22</v>
      </c>
      <c r="D490" s="2146" t="s">
        <v>1740</v>
      </c>
      <c r="E490" s="2146"/>
      <c r="F490" s="2146"/>
      <c r="G490" s="2146"/>
      <c r="H490" s="2146"/>
      <c r="I490" s="2146"/>
      <c r="J490" s="2146"/>
      <c r="K490" s="2146"/>
      <c r="L490" s="2146"/>
      <c r="M490" s="2146"/>
      <c r="N490" s="2146"/>
      <c r="O490" s="2146"/>
      <c r="P490" s="2146" t="s">
        <v>1741</v>
      </c>
      <c r="Q490" s="2146"/>
      <c r="R490" s="2146"/>
      <c r="S490" s="2146"/>
      <c r="T490" s="2146"/>
      <c r="U490" s="2146"/>
      <c r="V490" s="2146"/>
      <c r="W490" s="2146"/>
      <c r="X490" s="2146"/>
      <c r="Y490" s="2146" t="s">
        <v>1802</v>
      </c>
      <c r="Z490" s="2146"/>
      <c r="AA490" s="2146"/>
      <c r="AB490" s="2146"/>
      <c r="AC490" s="2146"/>
      <c r="AD490" s="2146"/>
      <c r="AE490" s="2146"/>
      <c r="AF490" s="2146"/>
      <c r="AG490" s="2146"/>
    </row>
    <row r="491" spans="1:33" ht="16.5" customHeight="1" thickBot="1">
      <c r="D491" s="1941" t="s">
        <v>1869</v>
      </c>
      <c r="E491" s="1941"/>
      <c r="F491" s="1941"/>
      <c r="G491" s="1941"/>
      <c r="H491" s="1941"/>
      <c r="I491" s="1941"/>
      <c r="J491" s="1941"/>
      <c r="K491" s="1941"/>
      <c r="L491" s="1941"/>
      <c r="M491" s="1941"/>
      <c r="N491" s="1941"/>
      <c r="O491" s="1941"/>
      <c r="P491" s="1954">
        <v>0</v>
      </c>
      <c r="Q491" s="1954"/>
      <c r="R491" s="1954"/>
      <c r="S491" s="1954"/>
      <c r="T491" s="1954"/>
      <c r="U491" s="1954"/>
      <c r="V491" s="1954"/>
      <c r="W491" s="1954"/>
      <c r="X491" s="2597"/>
      <c r="Y491" s="2071">
        <v>0</v>
      </c>
      <c r="Z491" s="1954"/>
      <c r="AA491" s="1954"/>
      <c r="AB491" s="1954"/>
      <c r="AC491" s="1954"/>
      <c r="AD491" s="1954"/>
      <c r="AE491" s="1954"/>
      <c r="AF491" s="1954"/>
      <c r="AG491" s="1954"/>
    </row>
    <row r="492" spans="1:33" ht="16.5" customHeight="1">
      <c r="D492" s="2560"/>
      <c r="E492" s="2560"/>
      <c r="F492" s="2560"/>
      <c r="G492" s="2560"/>
      <c r="H492" s="2560"/>
      <c r="I492" s="2560"/>
      <c r="J492" s="2560"/>
      <c r="K492" s="2560"/>
      <c r="L492" s="2560"/>
      <c r="M492" s="2560"/>
      <c r="N492" s="2560"/>
      <c r="O492" s="2560"/>
      <c r="P492" s="2635"/>
      <c r="Q492" s="2635"/>
      <c r="R492" s="2635"/>
      <c r="S492" s="2635"/>
      <c r="T492" s="2635"/>
      <c r="U492" s="2635"/>
      <c r="V492" s="2635"/>
      <c r="W492" s="2635"/>
      <c r="X492" s="2636"/>
      <c r="Y492" s="2637"/>
      <c r="Z492" s="2635"/>
      <c r="AA492" s="2635"/>
      <c r="AB492" s="2635"/>
      <c r="AC492" s="2635"/>
      <c r="AD492" s="2635"/>
      <c r="AE492" s="2635"/>
      <c r="AF492" s="2635"/>
      <c r="AG492" s="2635"/>
    </row>
    <row r="493" spans="1:33" ht="16.5" customHeight="1" thickBot="1">
      <c r="D493" s="2593"/>
      <c r="E493" s="2593"/>
      <c r="F493" s="2593"/>
      <c r="G493" s="2593"/>
      <c r="H493" s="2593"/>
      <c r="I493" s="2593"/>
      <c r="J493" s="2593"/>
      <c r="K493" s="2593"/>
      <c r="L493" s="2593"/>
      <c r="M493" s="2593"/>
      <c r="N493" s="2593"/>
      <c r="O493" s="2593"/>
      <c r="P493" s="2605"/>
      <c r="Q493" s="2605"/>
      <c r="R493" s="2605"/>
      <c r="S493" s="2605"/>
      <c r="T493" s="2605"/>
      <c r="U493" s="2605"/>
      <c r="V493" s="2605"/>
      <c r="W493" s="2605"/>
      <c r="X493" s="2606"/>
      <c r="Y493" s="2607"/>
      <c r="Z493" s="2605"/>
      <c r="AA493" s="2605"/>
      <c r="AB493" s="2605"/>
      <c r="AC493" s="2605"/>
      <c r="AD493" s="2605"/>
      <c r="AE493" s="2605"/>
      <c r="AF493" s="2605"/>
      <c r="AG493" s="2605"/>
    </row>
    <row r="494" spans="1:33" ht="16.5" customHeight="1" thickBot="1">
      <c r="D494" s="1941" t="s">
        <v>1870</v>
      </c>
      <c r="E494" s="1941"/>
      <c r="F494" s="1941"/>
      <c r="G494" s="1941"/>
      <c r="H494" s="1941"/>
      <c r="I494" s="1941"/>
      <c r="J494" s="1941"/>
      <c r="K494" s="1941"/>
      <c r="L494" s="1941"/>
      <c r="M494" s="1941"/>
      <c r="N494" s="1941"/>
      <c r="O494" s="1941"/>
      <c r="P494" s="1954">
        <f>P495+P496</f>
        <v>6058</v>
      </c>
      <c r="Q494" s="1954"/>
      <c r="R494" s="1954"/>
      <c r="S494" s="1954"/>
      <c r="T494" s="1954"/>
      <c r="U494" s="1954"/>
      <c r="V494" s="1954"/>
      <c r="W494" s="1954"/>
      <c r="X494" s="2597"/>
      <c r="Y494" s="2071">
        <f>SUM(Y495:AG496)</f>
        <v>4637</v>
      </c>
      <c r="Z494" s="1954"/>
      <c r="AA494" s="1954"/>
      <c r="AB494" s="1954"/>
      <c r="AC494" s="1954"/>
      <c r="AD494" s="1954"/>
      <c r="AE494" s="1954"/>
      <c r="AF494" s="1954"/>
      <c r="AG494" s="1954"/>
    </row>
    <row r="495" spans="1:33" ht="16.5" customHeight="1">
      <c r="D495" s="2638" t="s">
        <v>2838</v>
      </c>
      <c r="E495" s="2560">
        <f>'Notes- SK Template'!E497</f>
        <v>0</v>
      </c>
      <c r="F495" s="2560">
        <f>'Notes- SK Template'!F497</f>
        <v>0</v>
      </c>
      <c r="G495" s="2560">
        <f>'Notes- SK Template'!G497</f>
        <v>0</v>
      </c>
      <c r="H495" s="2560">
        <f>'Notes- SK Template'!H497</f>
        <v>0</v>
      </c>
      <c r="I495" s="2560">
        <f>'Notes- SK Template'!I497</f>
        <v>0</v>
      </c>
      <c r="J495" s="2560">
        <f>'Notes- SK Template'!J497</f>
        <v>0</v>
      </c>
      <c r="K495" s="2560">
        <f>'Notes- SK Template'!K497</f>
        <v>0</v>
      </c>
      <c r="L495" s="2560">
        <f>'Notes- SK Template'!L497</f>
        <v>0</v>
      </c>
      <c r="M495" s="2560">
        <f>'Notes- SK Template'!M497</f>
        <v>0</v>
      </c>
      <c r="N495" s="2560">
        <f>'Notes- SK Template'!N497</f>
        <v>0</v>
      </c>
      <c r="O495" s="2560">
        <f>'Notes- SK Template'!O497</f>
        <v>0</v>
      </c>
      <c r="P495" s="2592">
        <f>'Notes- SK Template'!P497</f>
        <v>3860</v>
      </c>
      <c r="Q495" s="2592">
        <f>'Notes- SK Template'!Q497</f>
        <v>0</v>
      </c>
      <c r="R495" s="2592">
        <f>'Notes- SK Template'!R497</f>
        <v>0</v>
      </c>
      <c r="S495" s="2592">
        <f>'Notes- SK Template'!S497</f>
        <v>0</v>
      </c>
      <c r="T495" s="2592">
        <f>'Notes- SK Template'!T497</f>
        <v>0</v>
      </c>
      <c r="U495" s="2592">
        <f>'Notes- SK Template'!U497</f>
        <v>0</v>
      </c>
      <c r="V495" s="2592">
        <f>'Notes- SK Template'!V497</f>
        <v>0</v>
      </c>
      <c r="W495" s="2592">
        <f>'Notes- SK Template'!W497</f>
        <v>0</v>
      </c>
      <c r="X495" s="2639">
        <f>'Notes- SK Template'!X497</f>
        <v>0</v>
      </c>
      <c r="Y495" s="2591">
        <v>3526</v>
      </c>
      <c r="Z495" s="2592"/>
      <c r="AA495" s="2592"/>
      <c r="AB495" s="2592"/>
      <c r="AC495" s="2592"/>
      <c r="AD495" s="2592"/>
      <c r="AE495" s="2592"/>
      <c r="AF495" s="2592"/>
      <c r="AG495" s="2592"/>
    </row>
    <row r="496" spans="1:33" ht="16.5" customHeight="1" thickBot="1">
      <c r="D496" s="2593"/>
      <c r="E496" s="2593"/>
      <c r="F496" s="2593"/>
      <c r="G496" s="2593"/>
      <c r="H496" s="2593"/>
      <c r="I496" s="2593"/>
      <c r="J496" s="2593"/>
      <c r="K496" s="2593"/>
      <c r="L496" s="2593"/>
      <c r="M496" s="2593"/>
      <c r="N496" s="2593"/>
      <c r="O496" s="2593"/>
      <c r="P496" s="2594">
        <f>'Notes- SK Template'!P498</f>
        <v>2198</v>
      </c>
      <c r="Q496" s="2594">
        <f>'Notes- SK Template'!Q498</f>
        <v>0</v>
      </c>
      <c r="R496" s="2594">
        <f>'Notes- SK Template'!R498</f>
        <v>0</v>
      </c>
      <c r="S496" s="2594">
        <f>'Notes- SK Template'!S498</f>
        <v>0</v>
      </c>
      <c r="T496" s="2594">
        <f>'Notes- SK Template'!T498</f>
        <v>0</v>
      </c>
      <c r="U496" s="2594">
        <f>'Notes- SK Template'!U498</f>
        <v>0</v>
      </c>
      <c r="V496" s="2594">
        <f>'Notes- SK Template'!V498</f>
        <v>0</v>
      </c>
      <c r="W496" s="2594">
        <f>'Notes- SK Template'!W498</f>
        <v>0</v>
      </c>
      <c r="X496" s="2595">
        <f>'Notes- SK Template'!X498</f>
        <v>0</v>
      </c>
      <c r="Y496" s="2596">
        <v>1111</v>
      </c>
      <c r="Z496" s="2594"/>
      <c r="AA496" s="2594"/>
      <c r="AB496" s="2594"/>
      <c r="AC496" s="2594"/>
      <c r="AD496" s="2594"/>
      <c r="AE496" s="2594"/>
      <c r="AF496" s="2594"/>
      <c r="AG496" s="2594"/>
    </row>
    <row r="497" spans="1:33" ht="16.5" customHeight="1" thickBot="1">
      <c r="D497" s="1941" t="s">
        <v>1871</v>
      </c>
      <c r="E497" s="1941"/>
      <c r="F497" s="1941"/>
      <c r="G497" s="1941"/>
      <c r="H497" s="1941"/>
      <c r="I497" s="1941"/>
      <c r="J497" s="1941"/>
      <c r="K497" s="1941"/>
      <c r="L497" s="1941"/>
      <c r="M497" s="1941"/>
      <c r="N497" s="1941"/>
      <c r="O497" s="1941"/>
      <c r="P497" s="1954">
        <v>0</v>
      </c>
      <c r="Q497" s="1954"/>
      <c r="R497" s="1954"/>
      <c r="S497" s="1954"/>
      <c r="T497" s="1954"/>
      <c r="U497" s="1954"/>
      <c r="V497" s="1954"/>
      <c r="W497" s="1954"/>
      <c r="X497" s="2597"/>
      <c r="Y497" s="2071">
        <v>0</v>
      </c>
      <c r="Z497" s="1954"/>
      <c r="AA497" s="1954"/>
      <c r="AB497" s="1954"/>
      <c r="AC497" s="1954"/>
      <c r="AD497" s="1954"/>
      <c r="AE497" s="1954"/>
      <c r="AF497" s="1954"/>
      <c r="AG497" s="1954"/>
    </row>
    <row r="498" spans="1:33" ht="16.5" customHeight="1">
      <c r="D498" s="2560"/>
      <c r="E498" s="2560"/>
      <c r="F498" s="2560"/>
      <c r="G498" s="2560"/>
      <c r="H498" s="2560"/>
      <c r="I498" s="2560"/>
      <c r="J498" s="2560"/>
      <c r="K498" s="2560"/>
      <c r="L498" s="2560"/>
      <c r="M498" s="2560"/>
      <c r="N498" s="2560"/>
      <c r="O498" s="2560"/>
      <c r="P498" s="2592"/>
      <c r="Q498" s="2592"/>
      <c r="R498" s="2592"/>
      <c r="S498" s="2592"/>
      <c r="T498" s="2592"/>
      <c r="U498" s="2592"/>
      <c r="V498" s="2592"/>
      <c r="W498" s="2592"/>
      <c r="X498" s="2639"/>
      <c r="Y498" s="2591"/>
      <c r="Z498" s="2592"/>
      <c r="AA498" s="2592"/>
      <c r="AB498" s="2592"/>
      <c r="AC498" s="2592"/>
      <c r="AD498" s="2592"/>
      <c r="AE498" s="2592"/>
      <c r="AF498" s="2592"/>
      <c r="AG498" s="2592"/>
    </row>
    <row r="499" spans="1:33" ht="16.5" customHeight="1" thickBot="1">
      <c r="D499" s="2593"/>
      <c r="E499" s="2593"/>
      <c r="F499" s="2593"/>
      <c r="G499" s="2593"/>
      <c r="H499" s="2593"/>
      <c r="I499" s="2593"/>
      <c r="J499" s="2593"/>
      <c r="K499" s="2593"/>
      <c r="L499" s="2593"/>
      <c r="M499" s="2593"/>
      <c r="N499" s="2593"/>
      <c r="O499" s="2593"/>
      <c r="P499" s="2594"/>
      <c r="Q499" s="2594"/>
      <c r="R499" s="2594"/>
      <c r="S499" s="2594"/>
      <c r="T499" s="2594"/>
      <c r="U499" s="2594"/>
      <c r="V499" s="2594"/>
      <c r="W499" s="2594"/>
      <c r="X499" s="2595"/>
      <c r="Y499" s="2596"/>
      <c r="Z499" s="2594"/>
      <c r="AA499" s="2594"/>
      <c r="AB499" s="2594"/>
      <c r="AC499" s="2594"/>
      <c r="AD499" s="2594"/>
      <c r="AE499" s="2594"/>
      <c r="AF499" s="2594"/>
      <c r="AG499" s="2594"/>
    </row>
    <row r="500" spans="1:33" ht="16.5" customHeight="1" thickBot="1">
      <c r="D500" s="1941" t="s">
        <v>1872</v>
      </c>
      <c r="E500" s="1941"/>
      <c r="F500" s="1941"/>
      <c r="G500" s="1941"/>
      <c r="H500" s="1941"/>
      <c r="I500" s="1941"/>
      <c r="J500" s="1941"/>
      <c r="K500" s="1941"/>
      <c r="L500" s="1941"/>
      <c r="M500" s="1941"/>
      <c r="N500" s="1941"/>
      <c r="O500" s="1941"/>
      <c r="P500" s="1954">
        <v>0</v>
      </c>
      <c r="Q500" s="1954"/>
      <c r="R500" s="1954"/>
      <c r="S500" s="1954"/>
      <c r="T500" s="1954"/>
      <c r="U500" s="1954"/>
      <c r="V500" s="1954"/>
      <c r="W500" s="1954"/>
      <c r="X500" s="2597"/>
      <c r="Y500" s="2071">
        <v>0</v>
      </c>
      <c r="Z500" s="1954"/>
      <c r="AA500" s="1954"/>
      <c r="AB500" s="1954"/>
      <c r="AC500" s="1954"/>
      <c r="AD500" s="1954"/>
      <c r="AE500" s="1954"/>
      <c r="AF500" s="1954"/>
      <c r="AG500" s="1954"/>
    </row>
    <row r="501" spans="1:33" ht="16.5" customHeight="1">
      <c r="D501" s="2560"/>
      <c r="E501" s="2560"/>
      <c r="F501" s="2560"/>
      <c r="G501" s="2560"/>
      <c r="H501" s="2560"/>
      <c r="I501" s="2560"/>
      <c r="J501" s="2560"/>
      <c r="K501" s="2560"/>
      <c r="L501" s="2560"/>
      <c r="M501" s="2560"/>
      <c r="N501" s="2560"/>
      <c r="O501" s="2560"/>
      <c r="P501" s="2592"/>
      <c r="Q501" s="2592"/>
      <c r="R501" s="2592"/>
      <c r="S501" s="2592"/>
      <c r="T501" s="2592"/>
      <c r="U501" s="2592"/>
      <c r="V501" s="2592"/>
      <c r="W501" s="2592"/>
      <c r="X501" s="2639"/>
      <c r="Y501" s="2591"/>
      <c r="Z501" s="2592"/>
      <c r="AA501" s="2592"/>
      <c r="AB501" s="2592"/>
      <c r="AC501" s="2592"/>
      <c r="AD501" s="2592"/>
      <c r="AE501" s="2592"/>
      <c r="AF501" s="2592"/>
      <c r="AG501" s="2592"/>
    </row>
    <row r="502" spans="1:33" ht="16.5" customHeight="1" thickBot="1">
      <c r="D502" s="2054"/>
      <c r="E502" s="2054"/>
      <c r="F502" s="2054"/>
      <c r="G502" s="2054"/>
      <c r="H502" s="2054"/>
      <c r="I502" s="2054"/>
      <c r="J502" s="2054"/>
      <c r="K502" s="2054"/>
      <c r="L502" s="2054"/>
      <c r="M502" s="2054"/>
      <c r="N502" s="2054"/>
      <c r="O502" s="2054"/>
      <c r="P502" s="2598"/>
      <c r="Q502" s="2598"/>
      <c r="R502" s="2598"/>
      <c r="S502" s="2598"/>
      <c r="T502" s="2598"/>
      <c r="U502" s="2598"/>
      <c r="V502" s="2598"/>
      <c r="W502" s="2598"/>
      <c r="X502" s="2599"/>
      <c r="Y502" s="2600"/>
      <c r="Z502" s="2598"/>
      <c r="AA502" s="2598"/>
      <c r="AB502" s="2598"/>
      <c r="AC502" s="2598"/>
      <c r="AD502" s="2598"/>
      <c r="AE502" s="2598"/>
      <c r="AF502" s="2598"/>
      <c r="AG502" s="2598"/>
    </row>
    <row r="504" spans="1:33" ht="14.25" customHeight="1">
      <c r="D504" s="582" t="s">
        <v>3057</v>
      </c>
    </row>
    <row r="506" spans="1:33" ht="14.25" customHeight="1">
      <c r="D506" s="2057" t="s">
        <v>2839</v>
      </c>
      <c r="E506" s="2058"/>
      <c r="F506" s="2058"/>
      <c r="G506" s="2058"/>
      <c r="H506" s="2058"/>
      <c r="I506" s="2058"/>
      <c r="J506" s="2058"/>
      <c r="K506" s="2058"/>
      <c r="L506" s="2058"/>
      <c r="M506" s="2058"/>
      <c r="N506" s="2058"/>
      <c r="O506" s="2058"/>
      <c r="P506" s="2058"/>
      <c r="Q506" s="2058"/>
      <c r="R506" s="2058"/>
      <c r="S506" s="2058"/>
      <c r="T506" s="2058"/>
      <c r="U506" s="2058"/>
      <c r="V506" s="2058"/>
      <c r="W506" s="2058"/>
      <c r="X506" s="2058"/>
      <c r="Y506" s="2058"/>
      <c r="Z506" s="2058"/>
      <c r="AA506" s="2058"/>
      <c r="AB506" s="2058"/>
      <c r="AC506" s="2058"/>
      <c r="AD506" s="2058"/>
      <c r="AE506" s="2058"/>
      <c r="AF506" s="2058"/>
      <c r="AG506" s="2058"/>
    </row>
    <row r="507" spans="1:33" ht="14.25" customHeight="1">
      <c r="D507" s="2058"/>
      <c r="E507" s="2058"/>
      <c r="F507" s="2058"/>
      <c r="G507" s="2058"/>
      <c r="H507" s="2058"/>
      <c r="I507" s="2058"/>
      <c r="J507" s="2058"/>
      <c r="K507" s="2058"/>
      <c r="L507" s="2058"/>
      <c r="M507" s="2058"/>
      <c r="N507" s="2058"/>
      <c r="O507" s="2058"/>
      <c r="P507" s="2058"/>
      <c r="Q507" s="2058"/>
      <c r="R507" s="2058"/>
      <c r="S507" s="2058"/>
      <c r="T507" s="2058"/>
      <c r="U507" s="2058"/>
      <c r="V507" s="2058"/>
      <c r="W507" s="2058"/>
      <c r="X507" s="2058"/>
      <c r="Y507" s="2058"/>
      <c r="Z507" s="2058"/>
      <c r="AA507" s="2058"/>
      <c r="AB507" s="2058"/>
      <c r="AC507" s="2058"/>
      <c r="AD507" s="2058"/>
      <c r="AE507" s="2058"/>
      <c r="AF507" s="2058"/>
      <c r="AG507" s="2058"/>
    </row>
    <row r="508" spans="1:33" ht="14.25" customHeight="1">
      <c r="D508" s="2090" t="s">
        <v>2960</v>
      </c>
      <c r="E508" s="2091"/>
      <c r="F508" s="2091"/>
      <c r="G508" s="2091"/>
      <c r="H508" s="2091"/>
      <c r="I508" s="2091"/>
      <c r="J508" s="2091"/>
      <c r="K508" s="2091"/>
      <c r="L508" s="2091"/>
      <c r="M508" s="2091"/>
      <c r="N508" s="2091"/>
      <c r="O508" s="2091"/>
      <c r="P508" s="2091"/>
      <c r="Q508" s="2091"/>
      <c r="R508" s="2091"/>
      <c r="S508" s="2091"/>
      <c r="T508" s="2091"/>
      <c r="U508" s="2091"/>
      <c r="V508" s="2091"/>
      <c r="W508" s="2091"/>
      <c r="X508" s="2091"/>
      <c r="Y508" s="2091"/>
      <c r="Z508" s="2091"/>
      <c r="AA508" s="2091"/>
      <c r="AB508" s="2091"/>
      <c r="AC508" s="2091"/>
      <c r="AD508" s="2091"/>
      <c r="AE508" s="2091"/>
      <c r="AF508" s="2091"/>
      <c r="AG508" s="2091"/>
    </row>
    <row r="509" spans="1:33" ht="14.25" customHeight="1" thickBot="1"/>
    <row r="510" spans="1:33" ht="15.75" customHeight="1" thickBot="1">
      <c r="A510" s="597" t="s">
        <v>1371</v>
      </c>
      <c r="D510" s="1859" t="s">
        <v>1740</v>
      </c>
      <c r="E510" s="1859"/>
      <c r="F510" s="1859"/>
      <c r="G510" s="1859"/>
      <c r="H510" s="1859"/>
      <c r="I510" s="1859"/>
      <c r="J510" s="1859"/>
      <c r="K510" s="1859"/>
      <c r="L510" s="1859"/>
      <c r="M510" s="1859"/>
      <c r="N510" s="1859"/>
      <c r="O510" s="1859"/>
      <c r="P510" s="1859"/>
      <c r="Q510" s="1859"/>
      <c r="R510" s="1859" t="s">
        <v>1802</v>
      </c>
      <c r="S510" s="1859"/>
      <c r="T510" s="1859"/>
      <c r="U510" s="1859"/>
      <c r="V510" s="1859"/>
      <c r="W510" s="1859"/>
      <c r="X510" s="1859"/>
      <c r="Y510" s="1859"/>
      <c r="Z510" s="1859"/>
      <c r="AA510" s="1859"/>
      <c r="AB510" s="1859"/>
      <c r="AC510" s="1859"/>
      <c r="AD510" s="1859"/>
      <c r="AE510" s="1859"/>
      <c r="AF510" s="1859"/>
      <c r="AG510" s="1859"/>
    </row>
    <row r="511" spans="1:33" ht="15.75" customHeight="1" thickBot="1">
      <c r="D511" s="2584" t="s">
        <v>1873</v>
      </c>
      <c r="E511" s="2585"/>
      <c r="F511" s="2585"/>
      <c r="G511" s="2585"/>
      <c r="H511" s="2585"/>
      <c r="I511" s="2585"/>
      <c r="J511" s="2585"/>
      <c r="K511" s="2585"/>
      <c r="L511" s="2585"/>
      <c r="M511" s="2585"/>
      <c r="N511" s="2585"/>
      <c r="O511" s="2585"/>
      <c r="P511" s="2585"/>
      <c r="Q511" s="2586"/>
      <c r="R511" s="2542">
        <f>'Notes- SK Template'!R514</f>
        <v>273436</v>
      </c>
      <c r="S511" s="2578">
        <f>'Notes- SK Template'!S514</f>
        <v>0</v>
      </c>
      <c r="T511" s="2578">
        <f>'Notes- SK Template'!T514</f>
        <v>0</v>
      </c>
      <c r="U511" s="2578">
        <f>'Notes- SK Template'!U514</f>
        <v>0</v>
      </c>
      <c r="V511" s="2578">
        <f>'Notes- SK Template'!V514</f>
        <v>0</v>
      </c>
      <c r="W511" s="2578">
        <f>'Notes- SK Template'!W514</f>
        <v>0</v>
      </c>
      <c r="X511" s="2578">
        <f>'Notes- SK Template'!X514</f>
        <v>0</v>
      </c>
      <c r="Y511" s="2578">
        <f>'Notes- SK Template'!Y514</f>
        <v>0</v>
      </c>
      <c r="Z511" s="2578">
        <f>'Notes- SK Template'!Z514</f>
        <v>0</v>
      </c>
      <c r="AA511" s="2578">
        <f>'Notes- SK Template'!AA514</f>
        <v>0</v>
      </c>
      <c r="AB511" s="2578">
        <f>'Notes- SK Template'!AB514</f>
        <v>0</v>
      </c>
      <c r="AC511" s="2578">
        <f>'Notes- SK Template'!AC514</f>
        <v>0</v>
      </c>
      <c r="AD511" s="2578">
        <f>'Notes- SK Template'!AD514</f>
        <v>0</v>
      </c>
      <c r="AE511" s="2578">
        <f>'Notes- SK Template'!AE514</f>
        <v>0</v>
      </c>
      <c r="AF511" s="2578">
        <f>'Notes- SK Template'!AF514</f>
        <v>0</v>
      </c>
      <c r="AG511" s="2587">
        <f>'Notes- SK Template'!AG514</f>
        <v>0</v>
      </c>
    </row>
    <row r="512" spans="1:33" ht="15.75" customHeight="1" thickBot="1">
      <c r="D512" s="2584" t="s">
        <v>1874</v>
      </c>
      <c r="E512" s="2585"/>
      <c r="F512" s="2585"/>
      <c r="G512" s="2585"/>
      <c r="H512" s="2585"/>
      <c r="I512" s="2585"/>
      <c r="J512" s="2585"/>
      <c r="K512" s="2585"/>
      <c r="L512" s="2585"/>
      <c r="M512" s="2585"/>
      <c r="N512" s="2585"/>
      <c r="O512" s="2585"/>
      <c r="P512" s="2585"/>
      <c r="Q512" s="2586"/>
      <c r="R512" s="1859" t="s">
        <v>1741</v>
      </c>
      <c r="S512" s="1859"/>
      <c r="T512" s="1859"/>
      <c r="U512" s="1859"/>
      <c r="V512" s="1859"/>
      <c r="W512" s="1859"/>
      <c r="X512" s="1859"/>
      <c r="Y512" s="1859"/>
      <c r="Z512" s="1859"/>
      <c r="AA512" s="1859"/>
      <c r="AB512" s="1859"/>
      <c r="AC512" s="1859"/>
      <c r="AD512" s="1859"/>
      <c r="AE512" s="1859"/>
      <c r="AF512" s="1859"/>
      <c r="AG512" s="1859"/>
    </row>
    <row r="513" spans="3:33" ht="15.75" customHeight="1">
      <c r="D513" s="2601" t="s">
        <v>1875</v>
      </c>
      <c r="E513" s="2602"/>
      <c r="F513" s="2602"/>
      <c r="G513" s="2602"/>
      <c r="H513" s="2602"/>
      <c r="I513" s="2602"/>
      <c r="J513" s="2602"/>
      <c r="K513" s="2602"/>
      <c r="L513" s="2602"/>
      <c r="M513" s="2602"/>
      <c r="N513" s="2602"/>
      <c r="O513" s="2602"/>
      <c r="P513" s="2602"/>
      <c r="Q513" s="2603"/>
      <c r="R513" s="2534">
        <f>'Notes- SK Template'!R516</f>
        <v>19705</v>
      </c>
      <c r="S513" s="2534">
        <f>'Notes- SK Template'!S516</f>
        <v>0</v>
      </c>
      <c r="T513" s="2534">
        <f>'Notes- SK Template'!T516</f>
        <v>0</v>
      </c>
      <c r="U513" s="2534">
        <f>'Notes- SK Template'!U516</f>
        <v>0</v>
      </c>
      <c r="V513" s="2534">
        <f>'Notes- SK Template'!V516</f>
        <v>0</v>
      </c>
      <c r="W513" s="2534">
        <f>'Notes- SK Template'!W516</f>
        <v>0</v>
      </c>
      <c r="X513" s="2534">
        <f>'Notes- SK Template'!X516</f>
        <v>0</v>
      </c>
      <c r="Y513" s="2534">
        <f>'Notes- SK Template'!Y516</f>
        <v>0</v>
      </c>
      <c r="Z513" s="2534">
        <f>'Notes- SK Template'!Z516</f>
        <v>0</v>
      </c>
      <c r="AA513" s="2534">
        <f>'Notes- SK Template'!AA516</f>
        <v>0</v>
      </c>
      <c r="AB513" s="2534">
        <f>'Notes- SK Template'!AB516</f>
        <v>0</v>
      </c>
      <c r="AC513" s="2534">
        <f>'Notes- SK Template'!AC516</f>
        <v>0</v>
      </c>
      <c r="AD513" s="2534">
        <f>'Notes- SK Template'!AD516</f>
        <v>0</v>
      </c>
      <c r="AE513" s="2534">
        <f>'Notes- SK Template'!AE516</f>
        <v>0</v>
      </c>
      <c r="AF513" s="2534">
        <f>'Notes- SK Template'!AF516</f>
        <v>0</v>
      </c>
      <c r="AG513" s="2534">
        <f>'Notes- SK Template'!AG516</f>
        <v>0</v>
      </c>
    </row>
    <row r="514" spans="3:33" ht="15.75" customHeight="1">
      <c r="D514" s="1915" t="s">
        <v>1876</v>
      </c>
      <c r="E514" s="1916"/>
      <c r="F514" s="1916"/>
      <c r="G514" s="1916"/>
      <c r="H514" s="1916"/>
      <c r="I514" s="1916"/>
      <c r="J514" s="1916"/>
      <c r="K514" s="1916"/>
      <c r="L514" s="1916"/>
      <c r="M514" s="1916"/>
      <c r="N514" s="1916"/>
      <c r="O514" s="1916"/>
      <c r="P514" s="1916"/>
      <c r="Q514" s="1917"/>
      <c r="R514" s="1860"/>
      <c r="S514" s="1860"/>
      <c r="T514" s="1860"/>
      <c r="U514" s="1860"/>
      <c r="V514" s="1860"/>
      <c r="W514" s="1860"/>
      <c r="X514" s="1860"/>
      <c r="Y514" s="1860"/>
      <c r="Z514" s="1860"/>
      <c r="AA514" s="1860"/>
      <c r="AB514" s="1860"/>
      <c r="AC514" s="1860"/>
      <c r="AD514" s="1860"/>
      <c r="AE514" s="1860"/>
      <c r="AF514" s="1860"/>
      <c r="AG514" s="1860"/>
    </row>
    <row r="515" spans="3:33" ht="15.75" customHeight="1">
      <c r="D515" s="1915" t="s">
        <v>1877</v>
      </c>
      <c r="E515" s="1916"/>
      <c r="F515" s="1916"/>
      <c r="G515" s="1916"/>
      <c r="H515" s="1916"/>
      <c r="I515" s="1916"/>
      <c r="J515" s="1916"/>
      <c r="K515" s="1916"/>
      <c r="L515" s="1916"/>
      <c r="M515" s="1916"/>
      <c r="N515" s="1916"/>
      <c r="O515" s="1916"/>
      <c r="P515" s="1916"/>
      <c r="Q515" s="1917"/>
      <c r="R515" s="1860"/>
      <c r="S515" s="1860"/>
      <c r="T515" s="1860"/>
      <c r="U515" s="1860"/>
      <c r="V515" s="1860"/>
      <c r="W515" s="1860"/>
      <c r="X515" s="1860"/>
      <c r="Y515" s="1860"/>
      <c r="Z515" s="1860"/>
      <c r="AA515" s="1860"/>
      <c r="AB515" s="1860"/>
      <c r="AC515" s="1860"/>
      <c r="AD515" s="1860"/>
      <c r="AE515" s="1860"/>
      <c r="AF515" s="1860"/>
      <c r="AG515" s="1860"/>
    </row>
    <row r="516" spans="3:33" ht="15.75" customHeight="1">
      <c r="D516" s="1915" t="s">
        <v>1878</v>
      </c>
      <c r="E516" s="1916"/>
      <c r="F516" s="1916"/>
      <c r="G516" s="1916"/>
      <c r="H516" s="1916"/>
      <c r="I516" s="1916"/>
      <c r="J516" s="1916"/>
      <c r="K516" s="1916"/>
      <c r="L516" s="1916"/>
      <c r="M516" s="1916"/>
      <c r="N516" s="1916"/>
      <c r="O516" s="1916"/>
      <c r="P516" s="1916"/>
      <c r="Q516" s="1917"/>
      <c r="R516" s="1860"/>
      <c r="S516" s="1860"/>
      <c r="T516" s="1860"/>
      <c r="U516" s="1860"/>
      <c r="V516" s="1860"/>
      <c r="W516" s="1860"/>
      <c r="X516" s="1860"/>
      <c r="Y516" s="1860"/>
      <c r="Z516" s="1860"/>
      <c r="AA516" s="1860"/>
      <c r="AB516" s="1860"/>
      <c r="AC516" s="1860"/>
      <c r="AD516" s="1860"/>
      <c r="AE516" s="1860"/>
      <c r="AF516" s="1860"/>
      <c r="AG516" s="1860"/>
    </row>
    <row r="517" spans="3:33" ht="15.75" customHeight="1">
      <c r="D517" s="1915" t="s">
        <v>1879</v>
      </c>
      <c r="E517" s="1916"/>
      <c r="F517" s="1916"/>
      <c r="G517" s="1916"/>
      <c r="H517" s="1916"/>
      <c r="I517" s="1916"/>
      <c r="J517" s="1916"/>
      <c r="K517" s="1916"/>
      <c r="L517" s="1916"/>
      <c r="M517" s="1916"/>
      <c r="N517" s="1916"/>
      <c r="O517" s="1916"/>
      <c r="P517" s="1916"/>
      <c r="Q517" s="1917"/>
      <c r="R517" s="1860"/>
      <c r="S517" s="1860"/>
      <c r="T517" s="1860"/>
      <c r="U517" s="1860"/>
      <c r="V517" s="1860"/>
      <c r="W517" s="1860"/>
      <c r="X517" s="1860"/>
      <c r="Y517" s="1860"/>
      <c r="Z517" s="1860"/>
      <c r="AA517" s="1860"/>
      <c r="AB517" s="1860"/>
      <c r="AC517" s="1860"/>
      <c r="AD517" s="1860"/>
      <c r="AE517" s="1860"/>
      <c r="AF517" s="1860"/>
      <c r="AG517" s="1860"/>
    </row>
    <row r="518" spans="3:33" ht="15.75" customHeight="1">
      <c r="D518" s="1915" t="s">
        <v>1880</v>
      </c>
      <c r="E518" s="1916"/>
      <c r="F518" s="1916"/>
      <c r="G518" s="1916"/>
      <c r="H518" s="1916"/>
      <c r="I518" s="1916"/>
      <c r="J518" s="1916"/>
      <c r="K518" s="1916"/>
      <c r="L518" s="1916"/>
      <c r="M518" s="1916"/>
      <c r="N518" s="1916"/>
      <c r="O518" s="1916"/>
      <c r="P518" s="1916"/>
      <c r="Q518" s="1917"/>
      <c r="R518" s="1860">
        <f>'Notes- SK Template'!R521</f>
        <v>139095</v>
      </c>
      <c r="S518" s="1860">
        <f>'Notes- SK Template'!S521</f>
        <v>0</v>
      </c>
      <c r="T518" s="1860">
        <f>'Notes- SK Template'!T521</f>
        <v>0</v>
      </c>
      <c r="U518" s="1860">
        <f>'Notes- SK Template'!U521</f>
        <v>0</v>
      </c>
      <c r="V518" s="1860">
        <f>'Notes- SK Template'!V521</f>
        <v>0</v>
      </c>
      <c r="W518" s="1860">
        <f>'Notes- SK Template'!W521</f>
        <v>0</v>
      </c>
      <c r="X518" s="1860">
        <f>'Notes- SK Template'!X521</f>
        <v>0</v>
      </c>
      <c r="Y518" s="1860">
        <f>'Notes- SK Template'!Y521</f>
        <v>0</v>
      </c>
      <c r="Z518" s="1860">
        <f>'Notes- SK Template'!Z521</f>
        <v>0</v>
      </c>
      <c r="AA518" s="1860">
        <f>'Notes- SK Template'!AA521</f>
        <v>0</v>
      </c>
      <c r="AB518" s="1860">
        <f>'Notes- SK Template'!AB521</f>
        <v>0</v>
      </c>
      <c r="AC518" s="1860">
        <f>'Notes- SK Template'!AC521</f>
        <v>0</v>
      </c>
      <c r="AD518" s="1860">
        <f>'Notes- SK Template'!AD521</f>
        <v>0</v>
      </c>
      <c r="AE518" s="1860">
        <f>'Notes- SK Template'!AE521</f>
        <v>0</v>
      </c>
      <c r="AF518" s="1860">
        <f>'Notes- SK Template'!AF521</f>
        <v>0</v>
      </c>
      <c r="AG518" s="1860">
        <f>'Notes- SK Template'!AG521</f>
        <v>0</v>
      </c>
    </row>
    <row r="519" spans="3:33" ht="15.75" customHeight="1">
      <c r="D519" s="1915" t="s">
        <v>1881</v>
      </c>
      <c r="E519" s="1916"/>
      <c r="F519" s="1916"/>
      <c r="G519" s="1916"/>
      <c r="H519" s="1916"/>
      <c r="I519" s="1916"/>
      <c r="J519" s="1916"/>
      <c r="K519" s="1916"/>
      <c r="L519" s="1916"/>
      <c r="M519" s="1916"/>
      <c r="N519" s="1916"/>
      <c r="O519" s="1916"/>
      <c r="P519" s="1916"/>
      <c r="Q519" s="1917"/>
      <c r="R519" s="1860">
        <f>'Notes- SK Template'!R522</f>
        <v>114636</v>
      </c>
      <c r="S519" s="1860">
        <f>'Notes- SK Template'!S522</f>
        <v>0</v>
      </c>
      <c r="T519" s="1860">
        <f>'Notes- SK Template'!T522</f>
        <v>0</v>
      </c>
      <c r="U519" s="1860">
        <f>'Notes- SK Template'!U522</f>
        <v>0</v>
      </c>
      <c r="V519" s="1860">
        <f>'Notes- SK Template'!V522</f>
        <v>0</v>
      </c>
      <c r="W519" s="1860">
        <f>'Notes- SK Template'!W522</f>
        <v>0</v>
      </c>
      <c r="X519" s="1860">
        <f>'Notes- SK Template'!X522</f>
        <v>0</v>
      </c>
      <c r="Y519" s="1860">
        <f>'Notes- SK Template'!Y522</f>
        <v>0</v>
      </c>
      <c r="Z519" s="1860">
        <f>'Notes- SK Template'!Z522</f>
        <v>0</v>
      </c>
      <c r="AA519" s="1860">
        <f>'Notes- SK Template'!AA522</f>
        <v>0</v>
      </c>
      <c r="AB519" s="1860">
        <f>'Notes- SK Template'!AB522</f>
        <v>0</v>
      </c>
      <c r="AC519" s="1860">
        <f>'Notes- SK Template'!AC522</f>
        <v>0</v>
      </c>
      <c r="AD519" s="1860">
        <f>'Notes- SK Template'!AD522</f>
        <v>0</v>
      </c>
      <c r="AE519" s="1860">
        <f>'Notes- SK Template'!AE522</f>
        <v>0</v>
      </c>
      <c r="AF519" s="1860">
        <f>'Notes- SK Template'!AF522</f>
        <v>0</v>
      </c>
      <c r="AG519" s="1860">
        <f>'Notes- SK Template'!AG522</f>
        <v>0</v>
      </c>
    </row>
    <row r="520" spans="3:33" ht="15.75" customHeight="1">
      <c r="D520" s="1915" t="s">
        <v>1882</v>
      </c>
      <c r="E520" s="1916"/>
      <c r="F520" s="1916"/>
      <c r="G520" s="1916"/>
      <c r="H520" s="1916"/>
      <c r="I520" s="1916"/>
      <c r="J520" s="1916"/>
      <c r="K520" s="1916"/>
      <c r="L520" s="1916"/>
      <c r="M520" s="1916"/>
      <c r="N520" s="1916"/>
      <c r="O520" s="1916"/>
      <c r="P520" s="1916"/>
      <c r="Q520" s="1917"/>
      <c r="R520" s="1860"/>
      <c r="S520" s="1860"/>
      <c r="T520" s="1860"/>
      <c r="U520" s="1860"/>
      <c r="V520" s="1860"/>
      <c r="W520" s="1860"/>
      <c r="X520" s="1860"/>
      <c r="Y520" s="1860"/>
      <c r="Z520" s="1860"/>
      <c r="AA520" s="1860"/>
      <c r="AB520" s="1860"/>
      <c r="AC520" s="1860"/>
      <c r="AD520" s="1860"/>
      <c r="AE520" s="1860"/>
      <c r="AF520" s="1860"/>
      <c r="AG520" s="1860"/>
    </row>
    <row r="521" spans="3:33" ht="15.75" customHeight="1" thickBot="1">
      <c r="D521" s="1967" t="s">
        <v>1752</v>
      </c>
      <c r="E521" s="1968"/>
      <c r="F521" s="1968"/>
      <c r="G521" s="1968"/>
      <c r="H521" s="1968"/>
      <c r="I521" s="1968"/>
      <c r="J521" s="1968"/>
      <c r="K521" s="1968"/>
      <c r="L521" s="1968"/>
      <c r="M521" s="1968"/>
      <c r="N521" s="1968"/>
      <c r="O521" s="1968"/>
      <c r="P521" s="1968"/>
      <c r="Q521" s="1969"/>
      <c r="R521" s="2588">
        <f>'Notes- SK Template'!R524</f>
        <v>273436</v>
      </c>
      <c r="S521" s="2589">
        <f>'Notes- SK Template'!S524</f>
        <v>0</v>
      </c>
      <c r="T521" s="2589">
        <f>'Notes- SK Template'!T524</f>
        <v>0</v>
      </c>
      <c r="U521" s="2589">
        <f>'Notes- SK Template'!U524</f>
        <v>0</v>
      </c>
      <c r="V521" s="2589">
        <f>'Notes- SK Template'!V524</f>
        <v>0</v>
      </c>
      <c r="W521" s="2589">
        <f>'Notes- SK Template'!W524</f>
        <v>0</v>
      </c>
      <c r="X521" s="2589">
        <f>'Notes- SK Template'!X524</f>
        <v>0</v>
      </c>
      <c r="Y521" s="2589">
        <f>'Notes- SK Template'!Y524</f>
        <v>0</v>
      </c>
      <c r="Z521" s="2589">
        <f>'Notes- SK Template'!Z524</f>
        <v>0</v>
      </c>
      <c r="AA521" s="2589">
        <f>'Notes- SK Template'!AA524</f>
        <v>0</v>
      </c>
      <c r="AB521" s="2589">
        <f>'Notes- SK Template'!AB524</f>
        <v>0</v>
      </c>
      <c r="AC521" s="2589">
        <f>'Notes- SK Template'!AC524</f>
        <v>0</v>
      </c>
      <c r="AD521" s="2589">
        <f>'Notes- SK Template'!AD524</f>
        <v>0</v>
      </c>
      <c r="AE521" s="2589">
        <f>'Notes- SK Template'!AE524</f>
        <v>0</v>
      </c>
      <c r="AF521" s="2589">
        <f>'Notes- SK Template'!AF524</f>
        <v>0</v>
      </c>
      <c r="AG521" s="2590">
        <f>'Notes- SK Template'!AG524</f>
        <v>0</v>
      </c>
    </row>
    <row r="522" spans="3:33" ht="15.75" customHeight="1">
      <c r="C522" s="786"/>
      <c r="D522" s="1517"/>
      <c r="E522" s="1517"/>
      <c r="F522" s="1517"/>
      <c r="G522" s="1517"/>
      <c r="H522" s="1517"/>
      <c r="I522" s="1517"/>
      <c r="J522" s="1517"/>
      <c r="K522" s="1517"/>
      <c r="L522" s="1517"/>
      <c r="M522" s="1517"/>
      <c r="N522" s="1517"/>
      <c r="O522" s="1517"/>
      <c r="P522" s="1517"/>
      <c r="Q522" s="1517"/>
      <c r="R522" s="1518"/>
      <c r="S522" s="1518"/>
      <c r="T522" s="1518"/>
      <c r="U522" s="1518"/>
      <c r="V522" s="1518"/>
      <c r="W522" s="1518"/>
      <c r="X522" s="1518"/>
      <c r="Y522" s="1518"/>
      <c r="Z522" s="1518"/>
      <c r="AA522" s="1518"/>
      <c r="AB522" s="1518"/>
      <c r="AC522" s="1518"/>
      <c r="AD522" s="1518"/>
      <c r="AE522" s="1518"/>
      <c r="AF522" s="1518"/>
      <c r="AG522" s="1518"/>
    </row>
    <row r="523" spans="3:33" ht="15.75" customHeight="1">
      <c r="C523" s="786"/>
      <c r="D523" s="1519" t="s">
        <v>3049</v>
      </c>
      <c r="E523" s="1517"/>
      <c r="F523" s="1517"/>
      <c r="G523" s="1517"/>
      <c r="H523" s="1517"/>
      <c r="I523" s="1517"/>
      <c r="J523" s="1517"/>
      <c r="K523" s="1517"/>
      <c r="L523" s="1517"/>
      <c r="M523" s="1517"/>
      <c r="N523" s="1517"/>
      <c r="O523" s="1517"/>
      <c r="P523" s="1517"/>
      <c r="Q523" s="1517"/>
      <c r="R523" s="1518"/>
      <c r="S523" s="1518"/>
      <c r="T523" s="1518"/>
      <c r="U523" s="1518"/>
      <c r="V523" s="1518"/>
      <c r="W523" s="1518"/>
      <c r="X523" s="1518"/>
      <c r="Y523" s="1518"/>
      <c r="Z523" s="1518"/>
      <c r="AA523" s="1518"/>
      <c r="AB523" s="1518"/>
      <c r="AC523" s="1518"/>
      <c r="AD523" s="1518"/>
      <c r="AE523" s="1518"/>
      <c r="AF523" s="1518"/>
      <c r="AG523" s="1518"/>
    </row>
    <row r="524" spans="3:33" ht="15.75" customHeight="1">
      <c r="C524" s="786"/>
      <c r="D524" s="1519" t="s">
        <v>3050</v>
      </c>
      <c r="E524" s="1517"/>
      <c r="F524" s="1517"/>
      <c r="G524" s="1517"/>
      <c r="H524" s="1517"/>
      <c r="I524" s="1517"/>
      <c r="J524" s="1517"/>
      <c r="K524" s="1517"/>
      <c r="L524" s="1517"/>
      <c r="M524" s="1517"/>
      <c r="N524" s="1517"/>
      <c r="O524" s="1517"/>
      <c r="P524" s="1517"/>
      <c r="Q524" s="1517"/>
      <c r="R524" s="1518"/>
      <c r="S524" s="1518"/>
      <c r="T524" s="1518"/>
      <c r="U524" s="1518"/>
      <c r="V524" s="1518"/>
      <c r="W524" s="1518"/>
      <c r="X524" s="1518"/>
      <c r="Y524" s="1518"/>
      <c r="Z524" s="1518"/>
      <c r="AA524" s="1518"/>
      <c r="AB524" s="1518"/>
      <c r="AC524" s="1518"/>
      <c r="AD524" s="1518"/>
      <c r="AE524" s="1518"/>
      <c r="AF524" s="1518"/>
      <c r="AG524" s="1518"/>
    </row>
    <row r="525" spans="3:33" ht="15.75" customHeight="1">
      <c r="C525" s="786"/>
      <c r="D525" s="1519" t="s">
        <v>2908</v>
      </c>
      <c r="E525" s="1517"/>
      <c r="F525" s="1517"/>
      <c r="G525" s="1517"/>
      <c r="H525" s="1517"/>
      <c r="I525" s="1517"/>
      <c r="J525" s="1517"/>
      <c r="K525" s="1517"/>
      <c r="L525" s="1517"/>
      <c r="M525" s="1517"/>
      <c r="N525" s="1517"/>
      <c r="O525" s="1517"/>
      <c r="P525" s="1517"/>
      <c r="Q525" s="1517"/>
      <c r="R525" s="1518"/>
      <c r="S525" s="1518"/>
      <c r="T525" s="1518"/>
      <c r="U525" s="1518"/>
      <c r="V525" s="1518"/>
      <c r="W525" s="1518"/>
      <c r="X525" s="1518"/>
      <c r="Y525" s="1518"/>
      <c r="Z525" s="1518"/>
      <c r="AA525" s="1518"/>
      <c r="AB525" s="1518"/>
      <c r="AC525" s="1518"/>
      <c r="AD525" s="1518"/>
      <c r="AE525" s="1518"/>
      <c r="AF525" s="1518"/>
      <c r="AG525" s="1518"/>
    </row>
    <row r="526" spans="3:33" ht="14.25" customHeight="1">
      <c r="C526" s="786"/>
      <c r="D526" s="786"/>
      <c r="E526" s="786"/>
      <c r="F526" s="786"/>
      <c r="G526" s="786"/>
      <c r="H526" s="786"/>
      <c r="I526" s="786"/>
      <c r="J526" s="786"/>
      <c r="K526" s="786"/>
      <c r="L526" s="786"/>
      <c r="M526" s="786"/>
      <c r="N526" s="786"/>
      <c r="O526" s="786"/>
      <c r="P526" s="786"/>
      <c r="Q526" s="786"/>
      <c r="R526" s="786"/>
      <c r="S526" s="786"/>
      <c r="T526" s="786"/>
      <c r="U526" s="786"/>
      <c r="V526" s="786"/>
      <c r="W526" s="786"/>
      <c r="X526" s="786"/>
      <c r="Y526" s="786"/>
      <c r="Z526" s="786"/>
      <c r="AA526" s="786"/>
      <c r="AB526" s="786"/>
      <c r="AC526" s="786"/>
      <c r="AD526" s="786"/>
      <c r="AE526" s="786"/>
      <c r="AF526" s="786"/>
      <c r="AG526" s="786"/>
    </row>
    <row r="527" spans="3:33" ht="14.25" customHeight="1">
      <c r="C527" s="786"/>
      <c r="D527" s="1520" t="s">
        <v>3058</v>
      </c>
      <c r="E527" s="786"/>
      <c r="F527" s="786"/>
      <c r="G527" s="786"/>
      <c r="H527" s="786"/>
      <c r="I527" s="786"/>
      <c r="J527" s="786"/>
      <c r="K527" s="786"/>
      <c r="L527" s="786"/>
      <c r="M527" s="786"/>
      <c r="N527" s="786"/>
      <c r="O527" s="786"/>
      <c r="P527" s="786"/>
      <c r="Q527" s="786"/>
      <c r="R527" s="786"/>
      <c r="S527" s="786"/>
      <c r="T527" s="786"/>
      <c r="U527" s="786"/>
      <c r="V527" s="786"/>
      <c r="W527" s="786"/>
      <c r="X527" s="786"/>
      <c r="Y527" s="786"/>
      <c r="Z527" s="786"/>
      <c r="AA527" s="786"/>
      <c r="AB527" s="786"/>
      <c r="AC527" s="786"/>
      <c r="AD527" s="786"/>
      <c r="AE527" s="786"/>
      <c r="AF527" s="786"/>
      <c r="AG527" s="786"/>
    </row>
    <row r="529" spans="1:33" ht="14.25" customHeight="1">
      <c r="D529" s="1809" t="s">
        <v>1883</v>
      </c>
      <c r="E529" s="1963"/>
      <c r="F529" s="1963"/>
      <c r="G529" s="1963"/>
      <c r="H529" s="1963"/>
      <c r="I529" s="1963"/>
      <c r="J529" s="1963"/>
      <c r="K529" s="1963"/>
      <c r="L529" s="1963"/>
      <c r="M529" s="1963"/>
      <c r="N529" s="1963"/>
      <c r="O529" s="1963"/>
      <c r="P529" s="1963"/>
      <c r="Q529" s="1963"/>
      <c r="R529" s="1963"/>
      <c r="S529" s="1963"/>
      <c r="T529" s="1963"/>
      <c r="U529" s="1963"/>
      <c r="V529" s="1963"/>
      <c r="W529" s="1963"/>
      <c r="X529" s="1963"/>
      <c r="Y529" s="1963"/>
      <c r="Z529" s="1963"/>
      <c r="AA529" s="1963"/>
      <c r="AB529" s="1963"/>
      <c r="AC529" s="1963"/>
      <c r="AD529" s="1963"/>
      <c r="AE529" s="1963"/>
      <c r="AF529" s="1963"/>
      <c r="AG529" s="1963"/>
    </row>
    <row r="530" spans="1:33" ht="14.25" customHeight="1" thickBot="1"/>
    <row r="531" spans="1:33" ht="14.25" customHeight="1" thickBot="1">
      <c r="A531" s="597" t="s">
        <v>1373</v>
      </c>
      <c r="D531" s="2233" t="s">
        <v>1740</v>
      </c>
      <c r="E531" s="2234"/>
      <c r="F531" s="2234"/>
      <c r="G531" s="2234"/>
      <c r="H531" s="2235"/>
      <c r="I531" s="1811" t="s">
        <v>1741</v>
      </c>
      <c r="J531" s="1812"/>
      <c r="K531" s="1812"/>
      <c r="L531" s="1812"/>
      <c r="M531" s="1812"/>
      <c r="N531" s="1812"/>
      <c r="O531" s="1812"/>
      <c r="P531" s="1812"/>
      <c r="Q531" s="1812"/>
      <c r="R531" s="1812"/>
      <c r="S531" s="1812"/>
      <c r="T531" s="1812"/>
      <c r="U531" s="1812"/>
      <c r="V531" s="1812"/>
      <c r="W531" s="1812"/>
      <c r="X531" s="1812"/>
      <c r="Y531" s="1812"/>
      <c r="Z531" s="1812"/>
      <c r="AA531" s="1812"/>
      <c r="AB531" s="1812"/>
      <c r="AC531" s="1812"/>
      <c r="AD531" s="1812"/>
      <c r="AE531" s="1812"/>
      <c r="AF531" s="1812"/>
      <c r="AG531" s="1813"/>
    </row>
    <row r="532" spans="1:33" ht="30.75" customHeight="1" thickBot="1">
      <c r="D532" s="2236"/>
      <c r="E532" s="2237"/>
      <c r="F532" s="2237"/>
      <c r="G532" s="2237"/>
      <c r="H532" s="2238"/>
      <c r="I532" s="1995" t="s">
        <v>1794</v>
      </c>
      <c r="J532" s="1996"/>
      <c r="K532" s="1996"/>
      <c r="L532" s="1996"/>
      <c r="M532" s="1997"/>
      <c r="N532" s="1995" t="s">
        <v>1886</v>
      </c>
      <c r="O532" s="1996"/>
      <c r="P532" s="1996"/>
      <c r="Q532" s="1996"/>
      <c r="R532" s="1997"/>
      <c r="S532" s="1995" t="s">
        <v>1887</v>
      </c>
      <c r="T532" s="1996"/>
      <c r="U532" s="1996"/>
      <c r="V532" s="1996"/>
      <c r="W532" s="1997"/>
      <c r="X532" s="1995" t="s">
        <v>1888</v>
      </c>
      <c r="Y532" s="1996"/>
      <c r="Z532" s="1996"/>
      <c r="AA532" s="1996"/>
      <c r="AB532" s="1997"/>
      <c r="AC532" s="1995" t="s">
        <v>1798</v>
      </c>
      <c r="AD532" s="1996"/>
      <c r="AE532" s="1996"/>
      <c r="AF532" s="1996"/>
      <c r="AG532" s="1997"/>
    </row>
    <row r="533" spans="1:33" ht="35.25" customHeight="1" thickBot="1">
      <c r="D533" s="2014" t="s">
        <v>1884</v>
      </c>
      <c r="E533" s="2015"/>
      <c r="F533" s="2015"/>
      <c r="G533" s="2015"/>
      <c r="H533" s="2016"/>
      <c r="I533" s="2580">
        <f>'Notes- SK Template'!I535</f>
        <v>0</v>
      </c>
      <c r="J533" s="2578">
        <f>'Notes- SK Template'!J535</f>
        <v>0</v>
      </c>
      <c r="K533" s="2578">
        <f>'Notes- SK Template'!K535</f>
        <v>0</v>
      </c>
      <c r="L533" s="2578">
        <f>'Notes- SK Template'!L535</f>
        <v>0</v>
      </c>
      <c r="M533" s="2579">
        <f>'Notes- SK Template'!M535</f>
        <v>0</v>
      </c>
      <c r="N533" s="2580">
        <f>'Notes- SK Template'!N535</f>
        <v>0</v>
      </c>
      <c r="O533" s="2578">
        <f>'Notes- SK Template'!O535</f>
        <v>0</v>
      </c>
      <c r="P533" s="2578">
        <f>'Notes- SK Template'!P535</f>
        <v>0</v>
      </c>
      <c r="Q533" s="2578">
        <f>'Notes- SK Template'!Q535</f>
        <v>0</v>
      </c>
      <c r="R533" s="2579">
        <f>'Notes- SK Template'!R535</f>
        <v>0</v>
      </c>
      <c r="S533" s="2580">
        <f>'Notes- SK Template'!S535</f>
        <v>0</v>
      </c>
      <c r="T533" s="2578">
        <f>'Notes- SK Template'!T535</f>
        <v>0</v>
      </c>
      <c r="U533" s="2578">
        <f>'Notes- SK Template'!U535</f>
        <v>0</v>
      </c>
      <c r="V533" s="2578">
        <f>'Notes- SK Template'!V535</f>
        <v>0</v>
      </c>
      <c r="W533" s="2579">
        <f>'Notes- SK Template'!W535</f>
        <v>0</v>
      </c>
      <c r="X533" s="2580">
        <f>'Notes- SK Template'!X535</f>
        <v>0</v>
      </c>
      <c r="Y533" s="2578">
        <f>'Notes- SK Template'!Y535</f>
        <v>0</v>
      </c>
      <c r="Z533" s="2578">
        <f>'Notes- SK Template'!Z535</f>
        <v>0</v>
      </c>
      <c r="AA533" s="2578">
        <f>'Notes- SK Template'!AA535</f>
        <v>0</v>
      </c>
      <c r="AB533" s="2579">
        <f>'Notes- SK Template'!AB535</f>
        <v>0</v>
      </c>
      <c r="AC533" s="2581">
        <f>'Notes- SK Template'!AC535</f>
        <v>0</v>
      </c>
      <c r="AD533" s="2582">
        <f>'Notes- SK Template'!AD535</f>
        <v>0</v>
      </c>
      <c r="AE533" s="2582">
        <f>'Notes- SK Template'!AE535</f>
        <v>0</v>
      </c>
      <c r="AF533" s="2582">
        <f>'Notes- SK Template'!AF535</f>
        <v>0</v>
      </c>
      <c r="AG533" s="2583">
        <f>'Notes- SK Template'!AG535</f>
        <v>0</v>
      </c>
    </row>
    <row r="534" spans="1:33" ht="21.75" customHeight="1" thickBot="1">
      <c r="D534" s="1960"/>
      <c r="E534" s="1961"/>
      <c r="F534" s="1961"/>
      <c r="G534" s="1961"/>
      <c r="H534" s="1962"/>
      <c r="I534" s="1960"/>
      <c r="J534" s="1961"/>
      <c r="K534" s="1961"/>
      <c r="L534" s="1961"/>
      <c r="M534" s="1962"/>
      <c r="N534" s="1960"/>
      <c r="O534" s="1961"/>
      <c r="P534" s="1961"/>
      <c r="Q534" s="1961"/>
      <c r="R534" s="1962"/>
      <c r="S534" s="1960"/>
      <c r="T534" s="1961"/>
      <c r="U534" s="1961"/>
      <c r="V534" s="1961"/>
      <c r="W534" s="1962"/>
      <c r="X534" s="1960"/>
      <c r="Y534" s="1961"/>
      <c r="Z534" s="1961"/>
      <c r="AA534" s="1961"/>
      <c r="AB534" s="1962"/>
      <c r="AC534" s="2581">
        <f>'Notes- SK Template'!AC536</f>
        <v>0</v>
      </c>
      <c r="AD534" s="2582">
        <f>'Notes- SK Template'!AD536</f>
        <v>0</v>
      </c>
      <c r="AE534" s="2582">
        <f>'Notes- SK Template'!AE536</f>
        <v>0</v>
      </c>
      <c r="AF534" s="2582">
        <f>'Notes- SK Template'!AF536</f>
        <v>0</v>
      </c>
      <c r="AG534" s="2583">
        <f>'Notes- SK Template'!AG536</f>
        <v>0</v>
      </c>
    </row>
    <row r="535" spans="1:33" ht="33.75" customHeight="1" thickBot="1">
      <c r="D535" s="2014" t="s">
        <v>1885</v>
      </c>
      <c r="E535" s="2015"/>
      <c r="F535" s="2015"/>
      <c r="G535" s="2015"/>
      <c r="H535" s="2016"/>
      <c r="I535" s="2542">
        <f>'Notes- SK Template'!I537</f>
        <v>102437</v>
      </c>
      <c r="J535" s="2578">
        <f>'Notes- SK Template'!J537</f>
        <v>0</v>
      </c>
      <c r="K535" s="2578">
        <f>'Notes- SK Template'!K537</f>
        <v>0</v>
      </c>
      <c r="L535" s="2578">
        <f>'Notes- SK Template'!L537</f>
        <v>0</v>
      </c>
      <c r="M535" s="2579">
        <f>'Notes- SK Template'!M537</f>
        <v>0</v>
      </c>
      <c r="N535" s="2580">
        <f>'Notes- SK Template'!N537</f>
        <v>113122</v>
      </c>
      <c r="O535" s="2578">
        <f>'Notes- SK Template'!O537</f>
        <v>0</v>
      </c>
      <c r="P535" s="2578">
        <f>'Notes- SK Template'!P537</f>
        <v>0</v>
      </c>
      <c r="Q535" s="2578">
        <f>'Notes- SK Template'!Q537</f>
        <v>0</v>
      </c>
      <c r="R535" s="2579">
        <f>'Notes- SK Template'!R537</f>
        <v>0</v>
      </c>
      <c r="S535" s="2580">
        <f>'Notes- SK Template'!S537</f>
        <v>-102437</v>
      </c>
      <c r="T535" s="2578">
        <f>'Notes- SK Template'!T537</f>
        <v>0</v>
      </c>
      <c r="U535" s="2578">
        <f>'Notes- SK Template'!U537</f>
        <v>0</v>
      </c>
      <c r="V535" s="2578">
        <f>'Notes- SK Template'!V537</f>
        <v>0</v>
      </c>
      <c r="W535" s="2579">
        <f>'Notes- SK Template'!W537</f>
        <v>0</v>
      </c>
      <c r="X535" s="2580">
        <f>'Notes- SK Template'!X537</f>
        <v>0</v>
      </c>
      <c r="Y535" s="2578">
        <f>'Notes- SK Template'!Y537</f>
        <v>0</v>
      </c>
      <c r="Z535" s="2578">
        <f>'Notes- SK Template'!Z537</f>
        <v>0</v>
      </c>
      <c r="AA535" s="2578">
        <f>'Notes- SK Template'!AA537</f>
        <v>0</v>
      </c>
      <c r="AB535" s="2579">
        <f>'Notes- SK Template'!AB537</f>
        <v>0</v>
      </c>
      <c r="AC535" s="2581">
        <f>'Notes- SK Template'!AC537</f>
        <v>113122</v>
      </c>
      <c r="AD535" s="2582">
        <f>'Notes- SK Template'!AD537</f>
        <v>0</v>
      </c>
      <c r="AE535" s="2582">
        <f>'Notes- SK Template'!AE537</f>
        <v>0</v>
      </c>
      <c r="AF535" s="2582">
        <f>'Notes- SK Template'!AF537</f>
        <v>0</v>
      </c>
      <c r="AG535" s="2583">
        <f>'Notes- SK Template'!AG537</f>
        <v>0</v>
      </c>
    </row>
    <row r="536" spans="1:33" ht="32.450000000000003" customHeight="1">
      <c r="D536" s="2021" t="s">
        <v>2840</v>
      </c>
      <c r="E536" s="1961">
        <f>'Notes- SK Template'!E538</f>
        <v>0</v>
      </c>
      <c r="F536" s="1961">
        <f>'Notes- SK Template'!F538</f>
        <v>0</v>
      </c>
      <c r="G536" s="1961">
        <f>'Notes- SK Template'!G538</f>
        <v>0</v>
      </c>
      <c r="H536" s="1962">
        <f>'Notes- SK Template'!H538</f>
        <v>0</v>
      </c>
      <c r="I536" s="1921">
        <f>'Notes- SK Template'!I538</f>
        <v>34294</v>
      </c>
      <c r="J536" s="1922">
        <f>'Notes- SK Template'!J538</f>
        <v>0</v>
      </c>
      <c r="K536" s="1922">
        <f>'Notes- SK Template'!K538</f>
        <v>0</v>
      </c>
      <c r="L536" s="1922">
        <f>'Notes- SK Template'!L538</f>
        <v>0</v>
      </c>
      <c r="M536" s="2034">
        <f>'Notes- SK Template'!M538</f>
        <v>0</v>
      </c>
      <c r="N536" s="2035">
        <f>'Notes- SK Template'!N538</f>
        <v>42770</v>
      </c>
      <c r="O536" s="1922">
        <f>'Notes- SK Template'!O538</f>
        <v>0</v>
      </c>
      <c r="P536" s="1922">
        <f>'Notes- SK Template'!P538</f>
        <v>0</v>
      </c>
      <c r="Q536" s="1922">
        <f>'Notes- SK Template'!Q538</f>
        <v>0</v>
      </c>
      <c r="R536" s="2034">
        <f>'Notes- SK Template'!R538</f>
        <v>0</v>
      </c>
      <c r="S536" s="2035">
        <f>'Notes- SK Template'!S538</f>
        <v>-34294</v>
      </c>
      <c r="T536" s="1922">
        <f>'Notes- SK Template'!T538</f>
        <v>0</v>
      </c>
      <c r="U536" s="1922">
        <f>'Notes- SK Template'!U538</f>
        <v>0</v>
      </c>
      <c r="V536" s="1922">
        <f>'Notes- SK Template'!V538</f>
        <v>0</v>
      </c>
      <c r="W536" s="2034">
        <f>'Notes- SK Template'!W538</f>
        <v>0</v>
      </c>
      <c r="X536" s="2035">
        <f>'Notes- SK Template'!X538</f>
        <v>0</v>
      </c>
      <c r="Y536" s="1922">
        <f>'Notes- SK Template'!Y538</f>
        <v>0</v>
      </c>
      <c r="Z536" s="1922">
        <f>'Notes- SK Template'!Z538</f>
        <v>0</v>
      </c>
      <c r="AA536" s="1922">
        <f>'Notes- SK Template'!AA538</f>
        <v>0</v>
      </c>
      <c r="AB536" s="2034">
        <f>'Notes- SK Template'!AB538</f>
        <v>0</v>
      </c>
      <c r="AC536" s="2036">
        <f>'Notes- SK Template'!AC538</f>
        <v>42770</v>
      </c>
      <c r="AD536" s="1840">
        <f>'Notes- SK Template'!AD538</f>
        <v>0</v>
      </c>
      <c r="AE536" s="1840">
        <f>'Notes- SK Template'!AE538</f>
        <v>0</v>
      </c>
      <c r="AF536" s="1840">
        <f>'Notes- SK Template'!AF538</f>
        <v>0</v>
      </c>
      <c r="AG536" s="1841">
        <f>'Notes- SK Template'!AG538</f>
        <v>0</v>
      </c>
    </row>
    <row r="537" spans="1:33" ht="21.75" customHeight="1">
      <c r="D537" s="1846" t="s">
        <v>2841</v>
      </c>
      <c r="E537" s="1762">
        <f>'Notes- SK Template'!E539</f>
        <v>0</v>
      </c>
      <c r="F537" s="1762">
        <f>'Notes- SK Template'!F539</f>
        <v>0</v>
      </c>
      <c r="G537" s="1762">
        <f>'Notes- SK Template'!G539</f>
        <v>0</v>
      </c>
      <c r="H537" s="1763">
        <f>'Notes- SK Template'!H539</f>
        <v>0</v>
      </c>
      <c r="I537" s="1912">
        <f>'Notes- SK Template'!I539</f>
        <v>9747</v>
      </c>
      <c r="J537" s="1913">
        <f>'Notes- SK Template'!J539</f>
        <v>0</v>
      </c>
      <c r="K537" s="1913">
        <f>'Notes- SK Template'!K539</f>
        <v>0</v>
      </c>
      <c r="L537" s="1913">
        <f>'Notes- SK Template'!L539</f>
        <v>0</v>
      </c>
      <c r="M537" s="1777">
        <f>'Notes- SK Template'!M539</f>
        <v>0</v>
      </c>
      <c r="N537" s="1937">
        <f>'Notes- SK Template'!N539</f>
        <v>19700</v>
      </c>
      <c r="O537" s="1913">
        <f>'Notes- SK Template'!O539</f>
        <v>0</v>
      </c>
      <c r="P537" s="1913">
        <f>'Notes- SK Template'!P539</f>
        <v>0</v>
      </c>
      <c r="Q537" s="1913">
        <f>'Notes- SK Template'!Q539</f>
        <v>0</v>
      </c>
      <c r="R537" s="1777">
        <f>'Notes- SK Template'!R539</f>
        <v>0</v>
      </c>
      <c r="S537" s="1937">
        <f>'Notes- SK Template'!S539</f>
        <v>-9747</v>
      </c>
      <c r="T537" s="1913">
        <f>'Notes- SK Template'!T539</f>
        <v>0</v>
      </c>
      <c r="U537" s="1913">
        <f>'Notes- SK Template'!U539</f>
        <v>0</v>
      </c>
      <c r="V537" s="1913">
        <f>'Notes- SK Template'!V539</f>
        <v>0</v>
      </c>
      <c r="W537" s="1777">
        <f>'Notes- SK Template'!W539</f>
        <v>0</v>
      </c>
      <c r="X537" s="1937">
        <f>'Notes- SK Template'!X539</f>
        <v>0</v>
      </c>
      <c r="Y537" s="1913">
        <f>'Notes- SK Template'!Y539</f>
        <v>0</v>
      </c>
      <c r="Z537" s="1913">
        <f>'Notes- SK Template'!Z539</f>
        <v>0</v>
      </c>
      <c r="AA537" s="1913">
        <f>'Notes- SK Template'!AA539</f>
        <v>0</v>
      </c>
      <c r="AB537" s="1777">
        <f>'Notes- SK Template'!AB539</f>
        <v>0</v>
      </c>
      <c r="AC537" s="2572">
        <f>'Notes- SK Template'!AC539</f>
        <v>19700</v>
      </c>
      <c r="AD537" s="1919">
        <f>'Notes- SK Template'!AD539</f>
        <v>0</v>
      </c>
      <c r="AE537" s="1919">
        <f>'Notes- SK Template'!AE539</f>
        <v>0</v>
      </c>
      <c r="AF537" s="1919">
        <f>'Notes- SK Template'!AF539</f>
        <v>0</v>
      </c>
      <c r="AG537" s="1920">
        <f>'Notes- SK Template'!AG539</f>
        <v>0</v>
      </c>
    </row>
    <row r="538" spans="1:33" ht="21.75" customHeight="1">
      <c r="D538" s="1846" t="s">
        <v>2842</v>
      </c>
      <c r="E538" s="1762" t="e">
        <f>'Notes- SK Template'!#REF!</f>
        <v>#REF!</v>
      </c>
      <c r="F538" s="1762" t="e">
        <f>'Notes- SK Template'!#REF!</f>
        <v>#REF!</v>
      </c>
      <c r="G538" s="1762" t="e">
        <f>'Notes- SK Template'!#REF!</f>
        <v>#REF!</v>
      </c>
      <c r="H538" s="1763" t="e">
        <f>'Notes- SK Template'!#REF!</f>
        <v>#REF!</v>
      </c>
      <c r="I538" s="1912">
        <f>'Notes- SK Template'!I540</f>
        <v>58396</v>
      </c>
      <c r="J538" s="1913">
        <f>'Notes- SK Template'!J540</f>
        <v>0</v>
      </c>
      <c r="K538" s="1913">
        <f>'Notes- SK Template'!K540</f>
        <v>0</v>
      </c>
      <c r="L538" s="1913">
        <f>'Notes- SK Template'!L540</f>
        <v>0</v>
      </c>
      <c r="M538" s="1777">
        <f>'Notes- SK Template'!M540</f>
        <v>0</v>
      </c>
      <c r="N538" s="1937">
        <f>'Notes- SK Template'!N540</f>
        <v>50652</v>
      </c>
      <c r="O538" s="1913">
        <f>'Notes- SK Template'!O540</f>
        <v>0</v>
      </c>
      <c r="P538" s="1913">
        <f>'Notes- SK Template'!P540</f>
        <v>0</v>
      </c>
      <c r="Q538" s="1913">
        <f>'Notes- SK Template'!Q540</f>
        <v>0</v>
      </c>
      <c r="R538" s="1777">
        <f>'Notes- SK Template'!R540</f>
        <v>0</v>
      </c>
      <c r="S538" s="1937">
        <f>'Notes- SK Template'!S540</f>
        <v>-58396</v>
      </c>
      <c r="T538" s="1913">
        <f>'Notes- SK Template'!T540</f>
        <v>0</v>
      </c>
      <c r="U538" s="1913">
        <f>'Notes- SK Template'!U540</f>
        <v>0</v>
      </c>
      <c r="V538" s="1913">
        <f>'Notes- SK Template'!V540</f>
        <v>0</v>
      </c>
      <c r="W538" s="1777">
        <f>'Notes- SK Template'!W540</f>
        <v>0</v>
      </c>
      <c r="X538" s="2634">
        <f>'Notes- SK Template'!X540</f>
        <v>0</v>
      </c>
      <c r="Y538" s="2634">
        <f>'Notes- SK Template'!Y540</f>
        <v>0</v>
      </c>
      <c r="Z538" s="2634">
        <f>'Notes- SK Template'!Z540</f>
        <v>0</v>
      </c>
      <c r="AA538" s="2634">
        <f>'Notes- SK Template'!AA540</f>
        <v>0</v>
      </c>
      <c r="AB538" s="2634">
        <f>'Notes- SK Template'!AB540</f>
        <v>0</v>
      </c>
      <c r="AC538" s="2572">
        <f>'Notes- SK Template'!AC540</f>
        <v>50652</v>
      </c>
      <c r="AD538" s="1919">
        <f>'Notes- SK Template'!AD540</f>
        <v>0</v>
      </c>
      <c r="AE538" s="1919">
        <f>'Notes- SK Template'!AE540</f>
        <v>0</v>
      </c>
      <c r="AF538" s="1919">
        <f>'Notes- SK Template'!AF540</f>
        <v>0</v>
      </c>
      <c r="AG538" s="1920">
        <f>'Notes- SK Template'!AG540</f>
        <v>0</v>
      </c>
    </row>
    <row r="539" spans="1:33" ht="14.25" customHeight="1">
      <c r="D539" s="786"/>
      <c r="E539" s="786"/>
      <c r="F539" s="786"/>
      <c r="G539" s="786"/>
      <c r="H539" s="786"/>
      <c r="I539" s="786"/>
      <c r="J539" s="786"/>
      <c r="K539" s="786"/>
      <c r="L539" s="786"/>
      <c r="M539" s="786"/>
      <c r="N539" s="786"/>
      <c r="O539" s="786"/>
      <c r="P539" s="786"/>
      <c r="Q539" s="786"/>
      <c r="R539" s="786"/>
      <c r="S539" s="786"/>
      <c r="T539" s="786"/>
      <c r="U539" s="786"/>
      <c r="V539" s="786"/>
      <c r="W539" s="786"/>
      <c r="X539" s="786"/>
      <c r="Y539" s="786"/>
      <c r="Z539" s="786"/>
      <c r="AA539" s="786"/>
      <c r="AB539" s="786"/>
      <c r="AC539" s="786"/>
      <c r="AD539" s="786"/>
      <c r="AE539" s="786"/>
      <c r="AF539" s="786"/>
    </row>
    <row r="540" spans="1:33" ht="14.25" customHeight="1">
      <c r="D540" s="1521" t="s">
        <v>2873</v>
      </c>
      <c r="E540" s="786"/>
      <c r="F540" s="786"/>
      <c r="G540" s="786"/>
      <c r="H540" s="786"/>
      <c r="I540" s="786"/>
      <c r="J540" s="786"/>
      <c r="K540" s="786"/>
      <c r="L540" s="786"/>
      <c r="M540" s="786"/>
      <c r="N540" s="786"/>
      <c r="O540" s="786"/>
      <c r="P540" s="786"/>
      <c r="Q540" s="786"/>
      <c r="R540" s="786"/>
      <c r="S540" s="786"/>
      <c r="T540" s="786"/>
      <c r="U540" s="786"/>
      <c r="V540" s="786"/>
      <c r="W540" s="786"/>
      <c r="X540" s="786"/>
      <c r="Y540" s="786"/>
      <c r="Z540" s="786"/>
      <c r="AA540" s="786"/>
      <c r="AB540" s="786"/>
      <c r="AC540" s="786"/>
      <c r="AD540" s="786"/>
      <c r="AE540" s="786"/>
      <c r="AF540" s="786"/>
    </row>
    <row r="541" spans="1:33" ht="14.25" customHeight="1" thickBot="1">
      <c r="D541" s="786"/>
      <c r="E541" s="786"/>
      <c r="F541" s="786"/>
      <c r="G541" s="786"/>
      <c r="H541" s="786"/>
      <c r="I541" s="786"/>
      <c r="J541" s="786"/>
      <c r="K541" s="786"/>
      <c r="L541" s="786"/>
      <c r="M541" s="786"/>
      <c r="N541" s="786"/>
      <c r="O541" s="786"/>
      <c r="P541" s="786"/>
      <c r="Q541" s="786"/>
      <c r="R541" s="786"/>
      <c r="S541" s="786"/>
      <c r="T541" s="786"/>
      <c r="U541" s="786"/>
      <c r="V541" s="786"/>
      <c r="W541" s="786"/>
      <c r="X541" s="786"/>
      <c r="Y541" s="786"/>
      <c r="Z541" s="786"/>
      <c r="AA541" s="786"/>
      <c r="AB541" s="786"/>
      <c r="AC541" s="786"/>
      <c r="AD541" s="786"/>
      <c r="AE541" s="786"/>
      <c r="AF541" s="786"/>
    </row>
    <row r="542" spans="1:33" ht="14.25" customHeight="1" thickBot="1">
      <c r="A542" s="597" t="s">
        <v>1374</v>
      </c>
      <c r="D542" s="2233" t="s">
        <v>1740</v>
      </c>
      <c r="E542" s="2234"/>
      <c r="F542" s="2234"/>
      <c r="G542" s="2234"/>
      <c r="H542" s="2235"/>
      <c r="I542" s="1811" t="s">
        <v>1802</v>
      </c>
      <c r="J542" s="1812"/>
      <c r="K542" s="1812"/>
      <c r="L542" s="1812"/>
      <c r="M542" s="1812"/>
      <c r="N542" s="1812"/>
      <c r="O542" s="1812"/>
      <c r="P542" s="1812"/>
      <c r="Q542" s="1812"/>
      <c r="R542" s="1812"/>
      <c r="S542" s="1812"/>
      <c r="T542" s="1812"/>
      <c r="U542" s="1812"/>
      <c r="V542" s="1812"/>
      <c r="W542" s="1812"/>
      <c r="X542" s="1812"/>
      <c r="Y542" s="1812"/>
      <c r="Z542" s="1812"/>
      <c r="AA542" s="1812"/>
      <c r="AB542" s="1812"/>
      <c r="AC542" s="1812"/>
      <c r="AD542" s="1812"/>
      <c r="AE542" s="1812"/>
      <c r="AF542" s="1812"/>
      <c r="AG542" s="1813"/>
    </row>
    <row r="543" spans="1:33" ht="30.75" customHeight="1" thickBot="1">
      <c r="D543" s="2236"/>
      <c r="E543" s="2237"/>
      <c r="F543" s="2237"/>
      <c r="G543" s="2237"/>
      <c r="H543" s="2238"/>
      <c r="I543" s="1995" t="s">
        <v>1794</v>
      </c>
      <c r="J543" s="1996"/>
      <c r="K543" s="1996"/>
      <c r="L543" s="1996"/>
      <c r="M543" s="1997"/>
      <c r="N543" s="1995" t="s">
        <v>1886</v>
      </c>
      <c r="O543" s="1996"/>
      <c r="P543" s="1996"/>
      <c r="Q543" s="1996"/>
      <c r="R543" s="1997"/>
      <c r="S543" s="1995" t="s">
        <v>1887</v>
      </c>
      <c r="T543" s="1996"/>
      <c r="U543" s="1996"/>
      <c r="V543" s="1996"/>
      <c r="W543" s="1997"/>
      <c r="X543" s="1995" t="s">
        <v>1888</v>
      </c>
      <c r="Y543" s="1996"/>
      <c r="Z543" s="1996"/>
      <c r="AA543" s="1996"/>
      <c r="AB543" s="1997"/>
      <c r="AC543" s="1995" t="s">
        <v>1798</v>
      </c>
      <c r="AD543" s="1996"/>
      <c r="AE543" s="1996"/>
      <c r="AF543" s="1996"/>
      <c r="AG543" s="1997"/>
    </row>
    <row r="544" spans="1:33" ht="34.5" customHeight="1" thickBot="1">
      <c r="D544" s="2014" t="s">
        <v>1884</v>
      </c>
      <c r="E544" s="2015"/>
      <c r="F544" s="2015"/>
      <c r="G544" s="2015"/>
      <c r="H544" s="2016"/>
      <c r="I544" s="2542">
        <f>'Notes- SK Template'!I546</f>
        <v>0</v>
      </c>
      <c r="J544" s="2578">
        <f>'Notes- SK Template'!J546</f>
        <v>0</v>
      </c>
      <c r="K544" s="2578">
        <f>'Notes- SK Template'!K546</f>
        <v>0</v>
      </c>
      <c r="L544" s="2578">
        <f>'Notes- SK Template'!L546</f>
        <v>0</v>
      </c>
      <c r="M544" s="2579">
        <f>'Notes- SK Template'!M546</f>
        <v>0</v>
      </c>
      <c r="N544" s="2580">
        <f>'Notes- SK Template'!N546</f>
        <v>0</v>
      </c>
      <c r="O544" s="2578">
        <f>'Notes- SK Template'!O546</f>
        <v>0</v>
      </c>
      <c r="P544" s="2578">
        <f>'Notes- SK Template'!P546</f>
        <v>0</v>
      </c>
      <c r="Q544" s="2578">
        <f>'Notes- SK Template'!Q546</f>
        <v>0</v>
      </c>
      <c r="R544" s="2579">
        <f>'Notes- SK Template'!R546</f>
        <v>0</v>
      </c>
      <c r="S544" s="2580">
        <f>'Notes- SK Template'!S546</f>
        <v>0</v>
      </c>
      <c r="T544" s="2578">
        <f>'Notes- SK Template'!T546</f>
        <v>0</v>
      </c>
      <c r="U544" s="2578">
        <f>'Notes- SK Template'!U546</f>
        <v>0</v>
      </c>
      <c r="V544" s="2578">
        <f>'Notes- SK Template'!V546</f>
        <v>0</v>
      </c>
      <c r="W544" s="2579">
        <f>'Notes- SK Template'!W546</f>
        <v>0</v>
      </c>
      <c r="X544" s="2580">
        <f>'Notes- SK Template'!X546</f>
        <v>0</v>
      </c>
      <c r="Y544" s="2578">
        <f>'Notes- SK Template'!Y546</f>
        <v>0</v>
      </c>
      <c r="Z544" s="2578">
        <f>'Notes- SK Template'!Z546</f>
        <v>0</v>
      </c>
      <c r="AA544" s="2578">
        <f>'Notes- SK Template'!AA546</f>
        <v>0</v>
      </c>
      <c r="AB544" s="2579">
        <f>'Notes- SK Template'!AB546</f>
        <v>0</v>
      </c>
      <c r="AC544" s="2581">
        <f>'Notes- SK Template'!AC546</f>
        <v>0</v>
      </c>
      <c r="AD544" s="2582">
        <f>'Notes- SK Template'!AD546</f>
        <v>0</v>
      </c>
      <c r="AE544" s="2582">
        <f>'Notes- SK Template'!AE546</f>
        <v>0</v>
      </c>
      <c r="AF544" s="2582">
        <f>'Notes- SK Template'!AF546</f>
        <v>0</v>
      </c>
      <c r="AG544" s="2583">
        <f>'Notes- SK Template'!AG546</f>
        <v>0</v>
      </c>
    </row>
    <row r="545" spans="4:33" ht="21.75" customHeight="1" thickBot="1">
      <c r="D545" s="1960"/>
      <c r="E545" s="1961"/>
      <c r="F545" s="1961"/>
      <c r="G545" s="1961"/>
      <c r="H545" s="1962"/>
      <c r="I545" s="1921"/>
      <c r="J545" s="1922"/>
      <c r="K545" s="1922"/>
      <c r="L545" s="1922"/>
      <c r="M545" s="2034"/>
      <c r="N545" s="2035"/>
      <c r="O545" s="1922"/>
      <c r="P545" s="1922"/>
      <c r="Q545" s="1922"/>
      <c r="R545" s="2034"/>
      <c r="S545" s="2035"/>
      <c r="T545" s="1922"/>
      <c r="U545" s="1922"/>
      <c r="V545" s="1922"/>
      <c r="W545" s="2034"/>
      <c r="X545" s="2035"/>
      <c r="Y545" s="1922"/>
      <c r="Z545" s="1922"/>
      <c r="AA545" s="1922"/>
      <c r="AB545" s="2034"/>
      <c r="AC545" s="2036"/>
      <c r="AD545" s="1840"/>
      <c r="AE545" s="1840"/>
      <c r="AF545" s="1840"/>
      <c r="AG545" s="1841"/>
    </row>
    <row r="546" spans="4:33" ht="33.75" customHeight="1" thickBot="1">
      <c r="D546" s="2014" t="s">
        <v>1885</v>
      </c>
      <c r="E546" s="2015"/>
      <c r="F546" s="2015"/>
      <c r="G546" s="2015"/>
      <c r="H546" s="2016"/>
      <c r="I546" s="2542">
        <f>'Notes- SK Template'!I548</f>
        <v>80606</v>
      </c>
      <c r="J546" s="2578">
        <f>'Notes- SK Template'!J548</f>
        <v>0</v>
      </c>
      <c r="K546" s="2578">
        <f>'Notes- SK Template'!K548</f>
        <v>0</v>
      </c>
      <c r="L546" s="2578">
        <f>'Notes- SK Template'!L548</f>
        <v>0</v>
      </c>
      <c r="M546" s="2579">
        <f>'Notes- SK Template'!M548</f>
        <v>0</v>
      </c>
      <c r="N546" s="2580">
        <f>'Notes- SK Template'!N548</f>
        <v>94629</v>
      </c>
      <c r="O546" s="2578">
        <f>'Notes- SK Template'!O548</f>
        <v>0</v>
      </c>
      <c r="P546" s="2578">
        <f>'Notes- SK Template'!P548</f>
        <v>0</v>
      </c>
      <c r="Q546" s="2578">
        <f>'Notes- SK Template'!Q548</f>
        <v>0</v>
      </c>
      <c r="R546" s="2579">
        <f>'Notes- SK Template'!R548</f>
        <v>0</v>
      </c>
      <c r="S546" s="2580">
        <f>'Notes- SK Template'!S548</f>
        <v>-72798</v>
      </c>
      <c r="T546" s="2578">
        <f>'Notes- SK Template'!T548</f>
        <v>0</v>
      </c>
      <c r="U546" s="2578">
        <f>'Notes- SK Template'!U548</f>
        <v>0</v>
      </c>
      <c r="V546" s="2578">
        <f>'Notes- SK Template'!V548</f>
        <v>0</v>
      </c>
      <c r="W546" s="2579">
        <f>'Notes- SK Template'!W548</f>
        <v>0</v>
      </c>
      <c r="X546" s="2580">
        <f>'Notes- SK Template'!X548</f>
        <v>0</v>
      </c>
      <c r="Y546" s="2578">
        <f>'Notes- SK Template'!Y548</f>
        <v>0</v>
      </c>
      <c r="Z546" s="2578">
        <f>'Notes- SK Template'!Z548</f>
        <v>0</v>
      </c>
      <c r="AA546" s="2578">
        <f>'Notes- SK Template'!AA548</f>
        <v>0</v>
      </c>
      <c r="AB546" s="2579">
        <f>'Notes- SK Template'!AB548</f>
        <v>0</v>
      </c>
      <c r="AC546" s="2581">
        <f>'Notes- SK Template'!AC548</f>
        <v>102437</v>
      </c>
      <c r="AD546" s="2582">
        <f>'Notes- SK Template'!AD548</f>
        <v>0</v>
      </c>
      <c r="AE546" s="2582">
        <f>'Notes- SK Template'!AE548</f>
        <v>0</v>
      </c>
      <c r="AF546" s="2582">
        <f>'Notes- SK Template'!AF548</f>
        <v>0</v>
      </c>
      <c r="AG546" s="2583">
        <f>'Notes- SK Template'!AG548</f>
        <v>0</v>
      </c>
    </row>
    <row r="547" spans="4:33" ht="33.75" customHeight="1">
      <c r="D547" s="2021" t="s">
        <v>2840</v>
      </c>
      <c r="E547" s="1961">
        <f>'Notes- SK Template'!E549</f>
        <v>0</v>
      </c>
      <c r="F547" s="1961">
        <f>'Notes- SK Template'!F549</f>
        <v>0</v>
      </c>
      <c r="G547" s="1961">
        <f>'Notes- SK Template'!G549</f>
        <v>0</v>
      </c>
      <c r="H547" s="1962">
        <f>'Notes- SK Template'!H549</f>
        <v>0</v>
      </c>
      <c r="I547" s="1921">
        <f>'Notes- SK Template'!I549</f>
        <v>39227</v>
      </c>
      <c r="J547" s="1922">
        <f>'Notes- SK Template'!J549</f>
        <v>0</v>
      </c>
      <c r="K547" s="1922">
        <f>'Notes- SK Template'!K549</f>
        <v>0</v>
      </c>
      <c r="L547" s="1922">
        <f>'Notes- SK Template'!L549</f>
        <v>0</v>
      </c>
      <c r="M547" s="2034">
        <f>'Notes- SK Template'!M549</f>
        <v>0</v>
      </c>
      <c r="N547" s="2035">
        <f>'Notes- SK Template'!N549</f>
        <v>34294</v>
      </c>
      <c r="O547" s="1922">
        <f>'Notes- SK Template'!O549</f>
        <v>0</v>
      </c>
      <c r="P547" s="1922">
        <f>'Notes- SK Template'!P549</f>
        <v>0</v>
      </c>
      <c r="Q547" s="1922">
        <f>'Notes- SK Template'!Q549</f>
        <v>0</v>
      </c>
      <c r="R547" s="2034">
        <f>'Notes- SK Template'!R549</f>
        <v>0</v>
      </c>
      <c r="S547" s="2035">
        <f>'Notes- SK Template'!S549</f>
        <v>-39227</v>
      </c>
      <c r="T547" s="1922">
        <f>'Notes- SK Template'!T549</f>
        <v>0</v>
      </c>
      <c r="U547" s="1922">
        <f>'Notes- SK Template'!U549</f>
        <v>0</v>
      </c>
      <c r="V547" s="1922">
        <f>'Notes- SK Template'!V549</f>
        <v>0</v>
      </c>
      <c r="W547" s="2034">
        <f>'Notes- SK Template'!W549</f>
        <v>0</v>
      </c>
      <c r="X547" s="2035">
        <f>'Notes- SK Template'!X549</f>
        <v>0</v>
      </c>
      <c r="Y547" s="1922">
        <f>'Notes- SK Template'!Y549</f>
        <v>0</v>
      </c>
      <c r="Z547" s="1922">
        <f>'Notes- SK Template'!Z549</f>
        <v>0</v>
      </c>
      <c r="AA547" s="1922">
        <f>'Notes- SK Template'!AA549</f>
        <v>0</v>
      </c>
      <c r="AB547" s="2034">
        <f>'Notes- SK Template'!AB549</f>
        <v>0</v>
      </c>
      <c r="AC547" s="2036">
        <f>'Notes- SK Template'!AC549</f>
        <v>34294</v>
      </c>
      <c r="AD547" s="1840">
        <f>'Notes- SK Template'!AD549</f>
        <v>0</v>
      </c>
      <c r="AE547" s="1840">
        <f>'Notes- SK Template'!AE549</f>
        <v>0</v>
      </c>
      <c r="AF547" s="1840">
        <f>'Notes- SK Template'!AF549</f>
        <v>0</v>
      </c>
      <c r="AG547" s="1841">
        <f>'Notes- SK Template'!AG549</f>
        <v>0</v>
      </c>
    </row>
    <row r="548" spans="4:33" ht="39.75" customHeight="1">
      <c r="D548" s="1846" t="s">
        <v>2841</v>
      </c>
      <c r="E548" s="1762">
        <f>'Notes- SK Template'!E550</f>
        <v>0</v>
      </c>
      <c r="F548" s="1762">
        <f>'Notes- SK Template'!F550</f>
        <v>0</v>
      </c>
      <c r="G548" s="1762">
        <f>'Notes- SK Template'!G550</f>
        <v>0</v>
      </c>
      <c r="H548" s="1763">
        <f>'Notes- SK Template'!H550</f>
        <v>0</v>
      </c>
      <c r="I548" s="1912">
        <f>'Notes- SK Template'!I550</f>
        <v>11080</v>
      </c>
      <c r="J548" s="1913">
        <f>'Notes- SK Template'!J550</f>
        <v>0</v>
      </c>
      <c r="K548" s="1913">
        <f>'Notes- SK Template'!K550</f>
        <v>0</v>
      </c>
      <c r="L548" s="1913">
        <f>'Notes- SK Template'!L550</f>
        <v>0</v>
      </c>
      <c r="M548" s="1777">
        <f>'Notes- SK Template'!M550</f>
        <v>0</v>
      </c>
      <c r="N548" s="1937">
        <f>'Notes- SK Template'!N550</f>
        <v>9747</v>
      </c>
      <c r="O548" s="1913">
        <f>'Notes- SK Template'!O550</f>
        <v>0</v>
      </c>
      <c r="P548" s="1913">
        <f>'Notes- SK Template'!P550</f>
        <v>0</v>
      </c>
      <c r="Q548" s="1913">
        <f>'Notes- SK Template'!Q550</f>
        <v>0</v>
      </c>
      <c r="R548" s="1777">
        <f>'Notes- SK Template'!R550</f>
        <v>0</v>
      </c>
      <c r="S548" s="1937">
        <f>'Notes- SK Template'!S550</f>
        <v>-11080</v>
      </c>
      <c r="T548" s="1913">
        <f>'Notes- SK Template'!T550</f>
        <v>0</v>
      </c>
      <c r="U548" s="1913">
        <f>'Notes- SK Template'!U550</f>
        <v>0</v>
      </c>
      <c r="V548" s="1913">
        <f>'Notes- SK Template'!V550</f>
        <v>0</v>
      </c>
      <c r="W548" s="1777">
        <f>'Notes- SK Template'!W550</f>
        <v>0</v>
      </c>
      <c r="X548" s="1937">
        <f>'Notes- SK Template'!X550</f>
        <v>0</v>
      </c>
      <c r="Y548" s="1913">
        <f>'Notes- SK Template'!Y550</f>
        <v>0</v>
      </c>
      <c r="Z548" s="1913">
        <f>'Notes- SK Template'!Z550</f>
        <v>0</v>
      </c>
      <c r="AA548" s="1913">
        <f>'Notes- SK Template'!AA550</f>
        <v>0</v>
      </c>
      <c r="AB548" s="1777">
        <f>'Notes- SK Template'!AB550</f>
        <v>0</v>
      </c>
      <c r="AC548" s="2572">
        <f>'Notes- SK Template'!AC550</f>
        <v>9747</v>
      </c>
      <c r="AD548" s="1919">
        <f>'Notes- SK Template'!AD550</f>
        <v>0</v>
      </c>
      <c r="AE548" s="1919">
        <f>'Notes- SK Template'!AE550</f>
        <v>0</v>
      </c>
      <c r="AF548" s="1919">
        <f>'Notes- SK Template'!AF550</f>
        <v>0</v>
      </c>
      <c r="AG548" s="1920">
        <f>'Notes- SK Template'!AG550</f>
        <v>0</v>
      </c>
    </row>
    <row r="549" spans="4:33" ht="21.75" customHeight="1">
      <c r="D549" s="1846" t="s">
        <v>2842</v>
      </c>
      <c r="E549" s="1762" t="e">
        <f>'Notes- SK Template'!#REF!</f>
        <v>#REF!</v>
      </c>
      <c r="F549" s="1762" t="e">
        <f>'Notes- SK Template'!#REF!</f>
        <v>#REF!</v>
      </c>
      <c r="G549" s="1762" t="e">
        <f>'Notes- SK Template'!#REF!</f>
        <v>#REF!</v>
      </c>
      <c r="H549" s="1763" t="e">
        <f>'Notes- SK Template'!#REF!</f>
        <v>#REF!</v>
      </c>
      <c r="I549" s="1912">
        <f>'Notes- SK Template'!I551</f>
        <v>30299</v>
      </c>
      <c r="J549" s="1913">
        <f>'Notes- SK Template'!J551</f>
        <v>0</v>
      </c>
      <c r="K549" s="1913">
        <f>'Notes- SK Template'!K551</f>
        <v>0</v>
      </c>
      <c r="L549" s="1913">
        <f>'Notes- SK Template'!L551</f>
        <v>0</v>
      </c>
      <c r="M549" s="1777">
        <f>'Notes- SK Template'!M551</f>
        <v>0</v>
      </c>
      <c r="N549" s="1937">
        <f>'Notes- SK Template'!N551</f>
        <v>50588</v>
      </c>
      <c r="O549" s="1913">
        <f>'Notes- SK Template'!O551</f>
        <v>0</v>
      </c>
      <c r="P549" s="1913">
        <f>'Notes- SK Template'!P551</f>
        <v>0</v>
      </c>
      <c r="Q549" s="1913">
        <f>'Notes- SK Template'!Q551</f>
        <v>0</v>
      </c>
      <c r="R549" s="1777">
        <f>'Notes- SK Template'!R551</f>
        <v>0</v>
      </c>
      <c r="S549" s="1937">
        <f>'Notes- SK Template'!S551</f>
        <v>-22491</v>
      </c>
      <c r="T549" s="1913">
        <f>'Notes- SK Template'!T551</f>
        <v>0</v>
      </c>
      <c r="U549" s="1913">
        <f>'Notes- SK Template'!U551</f>
        <v>0</v>
      </c>
      <c r="V549" s="1913">
        <f>'Notes- SK Template'!V551</f>
        <v>0</v>
      </c>
      <c r="W549" s="1777">
        <f>'Notes- SK Template'!W551</f>
        <v>0</v>
      </c>
      <c r="X549" s="2634">
        <f>'Notes- SK Template'!X551</f>
        <v>0</v>
      </c>
      <c r="Y549" s="2634">
        <f>'Notes- SK Template'!Y551</f>
        <v>0</v>
      </c>
      <c r="Z549" s="2634">
        <f>'Notes- SK Template'!Z551</f>
        <v>0</v>
      </c>
      <c r="AA549" s="2634">
        <f>'Notes- SK Template'!AA551</f>
        <v>0</v>
      </c>
      <c r="AB549" s="2634">
        <f>'Notes- SK Template'!AB551</f>
        <v>0</v>
      </c>
      <c r="AC549" s="2572">
        <f>'Notes- SK Template'!AC551</f>
        <v>58396</v>
      </c>
      <c r="AD549" s="1919">
        <f>'Notes- SK Template'!AD551</f>
        <v>0</v>
      </c>
      <c r="AE549" s="1919">
        <f>'Notes- SK Template'!AE551</f>
        <v>0</v>
      </c>
      <c r="AF549" s="1919">
        <f>'Notes- SK Template'!AF551</f>
        <v>0</v>
      </c>
      <c r="AG549" s="1920">
        <f>'Notes- SK Template'!AG551</f>
        <v>0</v>
      </c>
    </row>
    <row r="551" spans="4:33" ht="14.25" customHeight="1">
      <c r="D551" s="582" t="s">
        <v>3059</v>
      </c>
    </row>
    <row r="553" spans="4:33" ht="14.25" customHeight="1">
      <c r="D553" s="1809" t="s">
        <v>1889</v>
      </c>
      <c r="E553" s="1963"/>
      <c r="F553" s="1963"/>
      <c r="G553" s="1963"/>
      <c r="H553" s="1963"/>
      <c r="I553" s="1963"/>
      <c r="J553" s="1963"/>
      <c r="K553" s="1963"/>
      <c r="L553" s="1963"/>
      <c r="M553" s="1963"/>
      <c r="N553" s="1963"/>
      <c r="O553" s="1963"/>
      <c r="P553" s="1963"/>
      <c r="Q553" s="1963"/>
      <c r="R553" s="1963"/>
      <c r="S553" s="1963"/>
      <c r="T553" s="1963"/>
      <c r="U553" s="1963"/>
      <c r="V553" s="1963"/>
      <c r="W553" s="1963"/>
      <c r="X553" s="1963"/>
      <c r="Y553" s="1963"/>
      <c r="Z553" s="1963"/>
      <c r="AA553" s="1963"/>
      <c r="AB553" s="1963"/>
      <c r="AC553" s="1963"/>
      <c r="AD553" s="1963"/>
      <c r="AE553" s="1963"/>
      <c r="AF553" s="1963"/>
      <c r="AG553" s="1963"/>
    </row>
    <row r="554" spans="4:33" ht="14.25" customHeight="1" thickBot="1"/>
    <row r="555" spans="4:33" ht="26.25" customHeight="1" thickBot="1">
      <c r="D555" s="1995" t="s">
        <v>1740</v>
      </c>
      <c r="E555" s="1996"/>
      <c r="F555" s="1996"/>
      <c r="G555" s="1996"/>
      <c r="H555" s="1996"/>
      <c r="I555" s="1996"/>
      <c r="J555" s="1996"/>
      <c r="K555" s="1996"/>
      <c r="L555" s="1996"/>
      <c r="M555" s="1997"/>
      <c r="N555" s="1995" t="s">
        <v>1741</v>
      </c>
      <c r="O555" s="1996"/>
      <c r="P555" s="1996"/>
      <c r="Q555" s="1996"/>
      <c r="R555" s="1996"/>
      <c r="S555" s="1996"/>
      <c r="T555" s="1996"/>
      <c r="U555" s="1996"/>
      <c r="V555" s="1996"/>
      <c r="W555" s="1997"/>
      <c r="X555" s="1995" t="s">
        <v>1863</v>
      </c>
      <c r="Y555" s="1996"/>
      <c r="Z555" s="1996"/>
      <c r="AA555" s="1996"/>
      <c r="AB555" s="1996"/>
      <c r="AC555" s="1996"/>
      <c r="AD555" s="1996"/>
      <c r="AE555" s="1996"/>
      <c r="AF555" s="1996"/>
      <c r="AG555" s="1997"/>
    </row>
    <row r="556" spans="4:33" ht="26.25" customHeight="1" thickBot="1">
      <c r="D556" s="2525" t="s">
        <v>1894</v>
      </c>
      <c r="E556" s="2526"/>
      <c r="F556" s="2526"/>
      <c r="G556" s="2526"/>
      <c r="H556" s="2526"/>
      <c r="I556" s="2526"/>
      <c r="J556" s="2526"/>
      <c r="K556" s="2526"/>
      <c r="L556" s="2526"/>
      <c r="M556" s="2527"/>
      <c r="N556" s="1971">
        <f>'Notes- SK Template'!N558</f>
        <v>314230</v>
      </c>
      <c r="O556" s="1971"/>
      <c r="P556" s="1971"/>
      <c r="Q556" s="1971"/>
      <c r="R556" s="1971"/>
      <c r="S556" s="1971"/>
      <c r="T556" s="1971"/>
      <c r="U556" s="1971"/>
      <c r="V556" s="1971"/>
      <c r="W556" s="1971"/>
      <c r="X556" s="1970">
        <f>'Notes- SK Template'!X558</f>
        <v>391400</v>
      </c>
      <c r="Y556" s="1971"/>
      <c r="Z556" s="1971"/>
      <c r="AA556" s="1971"/>
      <c r="AB556" s="1971"/>
      <c r="AC556" s="1971"/>
      <c r="AD556" s="1971"/>
      <c r="AE556" s="1971"/>
      <c r="AF556" s="1971"/>
      <c r="AG556" s="1971"/>
    </row>
    <row r="557" spans="4:33" ht="26.25" customHeight="1">
      <c r="D557" s="1846" t="s">
        <v>2961</v>
      </c>
      <c r="E557" s="1847"/>
      <c r="F557" s="1847"/>
      <c r="G557" s="1847"/>
      <c r="H557" s="1847"/>
      <c r="I557" s="1847"/>
      <c r="J557" s="1847"/>
      <c r="K557" s="1847"/>
      <c r="L557" s="1847"/>
      <c r="M557" s="1848"/>
      <c r="N557" s="1914">
        <f>'Notes- SK Template'!N559</f>
        <v>279</v>
      </c>
      <c r="O557" s="1860"/>
      <c r="P557" s="1860"/>
      <c r="Q557" s="1860"/>
      <c r="R557" s="1860"/>
      <c r="S557" s="1860"/>
      <c r="T557" s="1860"/>
      <c r="U557" s="1860"/>
      <c r="V557" s="1860"/>
      <c r="W557" s="1860"/>
      <c r="X557" s="1914">
        <f>'Notes- SK Template'!X559</f>
        <v>279</v>
      </c>
      <c r="Y557" s="1860"/>
      <c r="Z557" s="1860"/>
      <c r="AA557" s="1860"/>
      <c r="AB557" s="1860"/>
      <c r="AC557" s="1860"/>
      <c r="AD557" s="1860"/>
      <c r="AE557" s="1860"/>
      <c r="AF557" s="1860"/>
      <c r="AG557" s="1860"/>
    </row>
    <row r="558" spans="4:33" ht="26.25" customHeight="1">
      <c r="D558" s="1846" t="s">
        <v>2962</v>
      </c>
      <c r="E558" s="1847"/>
      <c r="F558" s="1847"/>
      <c r="G558" s="1847"/>
      <c r="H558" s="1847"/>
      <c r="I558" s="1847"/>
      <c r="J558" s="1847"/>
      <c r="K558" s="1847"/>
      <c r="L558" s="1847"/>
      <c r="M558" s="1848"/>
      <c r="N558" s="1914">
        <f>'Notes- SK Template'!N560</f>
        <v>12927</v>
      </c>
      <c r="O558" s="1860"/>
      <c r="P558" s="1860"/>
      <c r="Q558" s="1860"/>
      <c r="R558" s="1860"/>
      <c r="S558" s="1860"/>
      <c r="T558" s="1860"/>
      <c r="U558" s="1860"/>
      <c r="V558" s="1860"/>
      <c r="W558" s="1860"/>
      <c r="X558" s="1914">
        <f>'Notes- SK Template'!X560</f>
        <v>18257</v>
      </c>
      <c r="Y558" s="1860"/>
      <c r="Z558" s="1860"/>
      <c r="AA558" s="1860"/>
      <c r="AB558" s="1860"/>
      <c r="AC558" s="1860"/>
      <c r="AD558" s="1860"/>
      <c r="AE558" s="1860"/>
      <c r="AF558" s="1860"/>
      <c r="AG558" s="1860"/>
    </row>
    <row r="559" spans="4:33" ht="26.25" customHeight="1">
      <c r="D559" s="1846" t="s">
        <v>1905</v>
      </c>
      <c r="E559" s="1847"/>
      <c r="F559" s="1847"/>
      <c r="G559" s="1847"/>
      <c r="H559" s="1847"/>
      <c r="I559" s="1847"/>
      <c r="J559" s="1847"/>
      <c r="K559" s="1847"/>
      <c r="L559" s="1847"/>
      <c r="M559" s="1848"/>
      <c r="N559" s="1914">
        <f>'Notes- SK Template'!N561</f>
        <v>301024</v>
      </c>
      <c r="O559" s="1860"/>
      <c r="P559" s="1860"/>
      <c r="Q559" s="1860"/>
      <c r="R559" s="1860"/>
      <c r="S559" s="1860"/>
      <c r="T559" s="1860"/>
      <c r="U559" s="1860"/>
      <c r="V559" s="1860"/>
      <c r="W559" s="1860"/>
      <c r="X559" s="1914">
        <f>'Notes- SK Template'!X561</f>
        <v>372864</v>
      </c>
      <c r="Y559" s="1860"/>
      <c r="Z559" s="1860"/>
      <c r="AA559" s="1860"/>
      <c r="AB559" s="1860"/>
      <c r="AC559" s="1860"/>
      <c r="AD559" s="1860"/>
      <c r="AE559" s="1860"/>
      <c r="AF559" s="1860"/>
      <c r="AG559" s="1860"/>
    </row>
    <row r="560" spans="4:33" ht="26.25" customHeight="1" thickBot="1">
      <c r="D560" s="1946" t="s">
        <v>1891</v>
      </c>
      <c r="E560" s="1947"/>
      <c r="F560" s="1947"/>
      <c r="G560" s="1947"/>
      <c r="H560" s="1947"/>
      <c r="I560" s="1947"/>
      <c r="J560" s="1947"/>
      <c r="K560" s="1947"/>
      <c r="L560" s="1947"/>
      <c r="M560" s="2511"/>
      <c r="N560" s="1971">
        <f>'Notes- SK Template'!N562</f>
        <v>1181891</v>
      </c>
      <c r="O560" s="1971"/>
      <c r="P560" s="1971"/>
      <c r="Q560" s="1971"/>
      <c r="R560" s="1971"/>
      <c r="S560" s="1971"/>
      <c r="T560" s="1971"/>
      <c r="U560" s="1971"/>
      <c r="V560" s="1971"/>
      <c r="W560" s="1971"/>
      <c r="X560" s="1970">
        <f>'Notes- SK Template'!X562</f>
        <v>988127</v>
      </c>
      <c r="Y560" s="1971"/>
      <c r="Z560" s="1971"/>
      <c r="AA560" s="1971"/>
      <c r="AB560" s="1971"/>
      <c r="AC560" s="1971"/>
      <c r="AD560" s="1971"/>
      <c r="AE560" s="1971"/>
      <c r="AF560" s="1971"/>
      <c r="AG560" s="1971"/>
    </row>
    <row r="561" spans="1:33" ht="26.25" customHeight="1">
      <c r="D561" s="1846" t="s">
        <v>2963</v>
      </c>
      <c r="E561" s="1847"/>
      <c r="F561" s="1847"/>
      <c r="G561" s="1847"/>
      <c r="H561" s="1847"/>
      <c r="I561" s="1847"/>
      <c r="J561" s="1847"/>
      <c r="K561" s="1847"/>
      <c r="L561" s="1847"/>
      <c r="M561" s="1848"/>
      <c r="N561" s="1914">
        <f>'Notes- SK Template'!N563</f>
        <v>19992</v>
      </c>
      <c r="O561" s="1860"/>
      <c r="P561" s="1860"/>
      <c r="Q561" s="1860"/>
      <c r="R561" s="1860"/>
      <c r="S561" s="1860"/>
      <c r="T561" s="1860"/>
      <c r="U561" s="1860"/>
      <c r="V561" s="1860"/>
      <c r="W561" s="1860"/>
      <c r="X561" s="1914">
        <f>'Notes- SK Template'!X563</f>
        <v>4427</v>
      </c>
      <c r="Y561" s="1860"/>
      <c r="Z561" s="1860"/>
      <c r="AA561" s="1860"/>
      <c r="AB561" s="1860"/>
      <c r="AC561" s="1860"/>
      <c r="AD561" s="1860"/>
      <c r="AE561" s="1860"/>
      <c r="AF561" s="1860"/>
      <c r="AG561" s="1860"/>
    </row>
    <row r="562" spans="1:33" ht="26.25" customHeight="1">
      <c r="D562" s="1846" t="s">
        <v>2964</v>
      </c>
      <c r="E562" s="1847"/>
      <c r="F562" s="1847"/>
      <c r="G562" s="1847"/>
      <c r="H562" s="1847"/>
      <c r="I562" s="1847"/>
      <c r="J562" s="1847"/>
      <c r="K562" s="1847"/>
      <c r="L562" s="1847"/>
      <c r="M562" s="1848"/>
      <c r="N562" s="1914">
        <f>'Notes- SK Template'!N564</f>
        <v>1059744</v>
      </c>
      <c r="O562" s="1860"/>
      <c r="P562" s="1860"/>
      <c r="Q562" s="1860"/>
      <c r="R562" s="1860"/>
      <c r="S562" s="1860"/>
      <c r="T562" s="1860"/>
      <c r="U562" s="1860"/>
      <c r="V562" s="1860"/>
      <c r="W562" s="1860"/>
      <c r="X562" s="1914">
        <f>'Notes- SK Template'!X564</f>
        <v>763340</v>
      </c>
      <c r="Y562" s="1860"/>
      <c r="Z562" s="1860"/>
      <c r="AA562" s="1860"/>
      <c r="AB562" s="1860"/>
      <c r="AC562" s="1860"/>
      <c r="AD562" s="1860"/>
      <c r="AE562" s="1860"/>
      <c r="AF562" s="1860"/>
      <c r="AG562" s="1860"/>
    </row>
    <row r="563" spans="1:33" ht="26.25" customHeight="1">
      <c r="D563" s="1846" t="s">
        <v>2965</v>
      </c>
      <c r="E563" s="1847"/>
      <c r="F563" s="1847"/>
      <c r="G563" s="1847"/>
      <c r="H563" s="1847"/>
      <c r="I563" s="1847"/>
      <c r="J563" s="1847"/>
      <c r="K563" s="1847"/>
      <c r="L563" s="1847"/>
      <c r="M563" s="1848"/>
      <c r="N563" s="1914">
        <f>'Notes- SK Template'!N565</f>
        <v>47382</v>
      </c>
      <c r="O563" s="1860"/>
      <c r="P563" s="1860"/>
      <c r="Q563" s="1860"/>
      <c r="R563" s="1860"/>
      <c r="S563" s="1860"/>
      <c r="T563" s="1860"/>
      <c r="U563" s="1860"/>
      <c r="V563" s="1860"/>
      <c r="W563" s="1860"/>
      <c r="X563" s="1914">
        <f>'Notes- SK Template'!X565</f>
        <v>46090</v>
      </c>
      <c r="Y563" s="1860"/>
      <c r="Z563" s="1860"/>
      <c r="AA563" s="1860"/>
      <c r="AB563" s="1860"/>
      <c r="AC563" s="1860"/>
      <c r="AD563" s="1860"/>
      <c r="AE563" s="1860"/>
      <c r="AF563" s="1860"/>
      <c r="AG563" s="1860"/>
    </row>
    <row r="564" spans="1:33" ht="26.25" customHeight="1">
      <c r="D564" s="1846" t="s">
        <v>2966</v>
      </c>
      <c r="E564" s="1847"/>
      <c r="F564" s="1847"/>
      <c r="G564" s="1847"/>
      <c r="H564" s="1847"/>
      <c r="I564" s="1847"/>
      <c r="J564" s="1847"/>
      <c r="K564" s="1847"/>
      <c r="L564" s="1847"/>
      <c r="M564" s="1848"/>
      <c r="N564" s="1914">
        <f>'Notes- SK Template'!N566</f>
        <v>31104</v>
      </c>
      <c r="O564" s="1860"/>
      <c r="P564" s="1860"/>
      <c r="Q564" s="1860"/>
      <c r="R564" s="1860"/>
      <c r="S564" s="1860"/>
      <c r="T564" s="1860"/>
      <c r="U564" s="1860"/>
      <c r="V564" s="1860"/>
      <c r="W564" s="1860"/>
      <c r="X564" s="1914">
        <f>'Notes- SK Template'!X566</f>
        <v>28038</v>
      </c>
      <c r="Y564" s="1860"/>
      <c r="Z564" s="1860"/>
      <c r="AA564" s="1860"/>
      <c r="AB564" s="1860"/>
      <c r="AC564" s="1860"/>
      <c r="AD564" s="1860"/>
      <c r="AE564" s="1860"/>
      <c r="AF564" s="1860"/>
      <c r="AG564" s="1860"/>
    </row>
    <row r="565" spans="1:33" ht="26.25" customHeight="1">
      <c r="D565" s="1846" t="s">
        <v>2967</v>
      </c>
      <c r="E565" s="1847"/>
      <c r="F565" s="1847"/>
      <c r="G565" s="1847"/>
      <c r="H565" s="1847"/>
      <c r="I565" s="1847"/>
      <c r="J565" s="1847"/>
      <c r="K565" s="1847"/>
      <c r="L565" s="1847"/>
      <c r="M565" s="1848"/>
      <c r="N565" s="1914">
        <f>'Notes- SK Template'!N567</f>
        <v>8319</v>
      </c>
      <c r="O565" s="1860"/>
      <c r="P565" s="1860"/>
      <c r="Q565" s="1860"/>
      <c r="R565" s="1860"/>
      <c r="S565" s="1860"/>
      <c r="T565" s="1860"/>
      <c r="U565" s="1860"/>
      <c r="V565" s="1860"/>
      <c r="W565" s="1860"/>
      <c r="X565" s="1914">
        <f>'Notes- SK Template'!X567</f>
        <v>142188</v>
      </c>
      <c r="Y565" s="1860"/>
      <c r="Z565" s="1860"/>
      <c r="AA565" s="1860"/>
      <c r="AB565" s="1860"/>
      <c r="AC565" s="1860"/>
      <c r="AD565" s="1860"/>
      <c r="AE565" s="1860"/>
      <c r="AF565" s="1860"/>
      <c r="AG565" s="1860"/>
    </row>
    <row r="566" spans="1:33" ht="26.25" customHeight="1" thickBot="1">
      <c r="D566" s="2011" t="s">
        <v>2968</v>
      </c>
      <c r="E566" s="2012"/>
      <c r="F566" s="2012"/>
      <c r="G566" s="2012"/>
      <c r="H566" s="2012"/>
      <c r="I566" s="2012"/>
      <c r="J566" s="2012"/>
      <c r="K566" s="2012"/>
      <c r="L566" s="2012"/>
      <c r="M566" s="2013"/>
      <c r="N566" s="2010">
        <f>'Notes- SK Template'!N568</f>
        <v>15350</v>
      </c>
      <c r="O566" s="2294"/>
      <c r="P566" s="2294"/>
      <c r="Q566" s="2294"/>
      <c r="R566" s="2294"/>
      <c r="S566" s="2294"/>
      <c r="T566" s="2294"/>
      <c r="U566" s="2294"/>
      <c r="V566" s="2294"/>
      <c r="W566" s="2294"/>
      <c r="X566" s="2010">
        <f>'Notes- SK Template'!X568</f>
        <v>4044</v>
      </c>
      <c r="Y566" s="2294"/>
      <c r="Z566" s="2294"/>
      <c r="AA566" s="2294"/>
      <c r="AB566" s="2294"/>
      <c r="AC566" s="2294"/>
      <c r="AD566" s="2294"/>
      <c r="AE566" s="2294"/>
      <c r="AF566" s="2294"/>
      <c r="AG566" s="2294"/>
    </row>
    <row r="567" spans="1:33" ht="19.5" customHeight="1" thickBot="1"/>
    <row r="568" spans="1:33" ht="28.5" customHeight="1" thickBot="1">
      <c r="A568" s="597">
        <v>26</v>
      </c>
      <c r="D568" s="1995" t="s">
        <v>1740</v>
      </c>
      <c r="E568" s="1996"/>
      <c r="F568" s="1996"/>
      <c r="G568" s="1996"/>
      <c r="H568" s="1996"/>
      <c r="I568" s="1996"/>
      <c r="J568" s="1996"/>
      <c r="K568" s="1996"/>
      <c r="L568" s="1996"/>
      <c r="M568" s="1997"/>
      <c r="N568" s="1995" t="s">
        <v>1741</v>
      </c>
      <c r="O568" s="1996"/>
      <c r="P568" s="1996"/>
      <c r="Q568" s="1996"/>
      <c r="R568" s="1996"/>
      <c r="S568" s="1996"/>
      <c r="T568" s="1996"/>
      <c r="U568" s="1996"/>
      <c r="V568" s="1996"/>
      <c r="W568" s="1997"/>
      <c r="X568" s="1995" t="s">
        <v>1863</v>
      </c>
      <c r="Y568" s="1996"/>
      <c r="Z568" s="1996"/>
      <c r="AA568" s="1996"/>
      <c r="AB568" s="1996"/>
      <c r="AC568" s="1996"/>
      <c r="AD568" s="1996"/>
      <c r="AE568" s="1996"/>
      <c r="AF568" s="1996"/>
      <c r="AG568" s="1997"/>
    </row>
    <row r="569" spans="1:33" ht="28.5" customHeight="1">
      <c r="D569" s="2525" t="s">
        <v>1894</v>
      </c>
      <c r="E569" s="2526"/>
      <c r="F569" s="2526"/>
      <c r="G569" s="2526"/>
      <c r="H569" s="2526"/>
      <c r="I569" s="2526"/>
      <c r="J569" s="2526"/>
      <c r="K569" s="2526"/>
      <c r="L569" s="2526"/>
      <c r="M569" s="2527"/>
      <c r="N569" s="2575">
        <f>'Notes- SK Template'!N571</f>
        <v>314230</v>
      </c>
      <c r="O569" s="2576">
        <f>'Notes- SK Template'!O571</f>
        <v>0</v>
      </c>
      <c r="P569" s="2576">
        <f>'Notes- SK Template'!P571</f>
        <v>0</v>
      </c>
      <c r="Q569" s="2576">
        <f>'Notes- SK Template'!Q571</f>
        <v>0</v>
      </c>
      <c r="R569" s="2576">
        <f>'Notes- SK Template'!R571</f>
        <v>0</v>
      </c>
      <c r="S569" s="2576">
        <f>'Notes- SK Template'!S571</f>
        <v>0</v>
      </c>
      <c r="T569" s="2576">
        <f>'Notes- SK Template'!T571</f>
        <v>0</v>
      </c>
      <c r="U569" s="2576">
        <f>'Notes- SK Template'!U571</f>
        <v>0</v>
      </c>
      <c r="V569" s="2576">
        <f>'Notes- SK Template'!V571</f>
        <v>0</v>
      </c>
      <c r="W569" s="2577">
        <f>'Notes- SK Template'!W571</f>
        <v>0</v>
      </c>
      <c r="X569" s="2575">
        <f>'Notes- SK Template'!X571</f>
        <v>391400</v>
      </c>
      <c r="Y569" s="2576">
        <f>'Notes- SK Template'!Y571</f>
        <v>0</v>
      </c>
      <c r="Z569" s="2576">
        <f>'Notes- SK Template'!Z571</f>
        <v>0</v>
      </c>
      <c r="AA569" s="2576">
        <f>'Notes- SK Template'!AA571</f>
        <v>0</v>
      </c>
      <c r="AB569" s="2576">
        <f>'Notes- SK Template'!AB571</f>
        <v>0</v>
      </c>
      <c r="AC569" s="2576">
        <f>'Notes- SK Template'!AC571</f>
        <v>0</v>
      </c>
      <c r="AD569" s="2576">
        <f>'Notes- SK Template'!AD571</f>
        <v>0</v>
      </c>
      <c r="AE569" s="2576">
        <f>'Notes- SK Template'!AE571</f>
        <v>0</v>
      </c>
      <c r="AF569" s="2576">
        <f>'Notes- SK Template'!AF571</f>
        <v>0</v>
      </c>
      <c r="AG569" s="2577">
        <f>'Notes- SK Template'!AG571</f>
        <v>0</v>
      </c>
    </row>
    <row r="570" spans="1:33" ht="28.5" customHeight="1">
      <c r="D570" s="2573" t="s">
        <v>1893</v>
      </c>
      <c r="E570" s="1944"/>
      <c r="F570" s="1944"/>
      <c r="G570" s="1944"/>
      <c r="H570" s="1944"/>
      <c r="I570" s="1944"/>
      <c r="J570" s="1944"/>
      <c r="K570" s="1944"/>
      <c r="L570" s="1944"/>
      <c r="M570" s="2574"/>
      <c r="N570" s="1814">
        <f>'Notes- SK Template'!N572</f>
        <v>301024</v>
      </c>
      <c r="O570" s="1778">
        <f>'Notes- SK Template'!O572</f>
        <v>0</v>
      </c>
      <c r="P570" s="1778">
        <f>'Notes- SK Template'!P572</f>
        <v>0</v>
      </c>
      <c r="Q570" s="1778">
        <f>'Notes- SK Template'!Q572</f>
        <v>0</v>
      </c>
      <c r="R570" s="1778">
        <f>'Notes- SK Template'!R572</f>
        <v>0</v>
      </c>
      <c r="S570" s="1778">
        <f>'Notes- SK Template'!S572</f>
        <v>0</v>
      </c>
      <c r="T570" s="1778">
        <f>'Notes- SK Template'!T572</f>
        <v>0</v>
      </c>
      <c r="U570" s="1778">
        <f>'Notes- SK Template'!U572</f>
        <v>0</v>
      </c>
      <c r="V570" s="1778">
        <f>'Notes- SK Template'!V572</f>
        <v>0</v>
      </c>
      <c r="W570" s="1779">
        <f>'Notes- SK Template'!W572</f>
        <v>0</v>
      </c>
      <c r="X570" s="1814">
        <f>'Notes- SK Template'!X572</f>
        <v>372864</v>
      </c>
      <c r="Y570" s="1778">
        <f>'Notes- SK Template'!Y572</f>
        <v>0</v>
      </c>
      <c r="Z570" s="1778">
        <f>'Notes- SK Template'!Z572</f>
        <v>0</v>
      </c>
      <c r="AA570" s="1778">
        <f>'Notes- SK Template'!AA572</f>
        <v>0</v>
      </c>
      <c r="AB570" s="1778">
        <f>'Notes- SK Template'!AB572</f>
        <v>0</v>
      </c>
      <c r="AC570" s="1778">
        <f>'Notes- SK Template'!AC572</f>
        <v>0</v>
      </c>
      <c r="AD570" s="1778">
        <f>'Notes- SK Template'!AD572</f>
        <v>0</v>
      </c>
      <c r="AE570" s="1778">
        <f>'Notes- SK Template'!AE572</f>
        <v>0</v>
      </c>
      <c r="AF570" s="1778">
        <f>'Notes- SK Template'!AF572</f>
        <v>0</v>
      </c>
      <c r="AG570" s="1779">
        <f>'Notes- SK Template'!AG572</f>
        <v>0</v>
      </c>
    </row>
    <row r="571" spans="1:33" ht="28.5" customHeight="1">
      <c r="D571" s="2573" t="s">
        <v>1892</v>
      </c>
      <c r="E571" s="1944"/>
      <c r="F571" s="1944"/>
      <c r="G571" s="1944"/>
      <c r="H571" s="1944"/>
      <c r="I571" s="1944"/>
      <c r="J571" s="1944"/>
      <c r="K571" s="1944"/>
      <c r="L571" s="1944"/>
      <c r="M571" s="2574"/>
      <c r="N571" s="1814">
        <f>'Notes- SK Template'!N573</f>
        <v>13206</v>
      </c>
      <c r="O571" s="1778">
        <f>'Notes- SK Template'!O573</f>
        <v>0</v>
      </c>
      <c r="P571" s="1778">
        <f>'Notes- SK Template'!P573</f>
        <v>0</v>
      </c>
      <c r="Q571" s="1778">
        <f>'Notes- SK Template'!Q573</f>
        <v>0</v>
      </c>
      <c r="R571" s="1778">
        <f>'Notes- SK Template'!R573</f>
        <v>0</v>
      </c>
      <c r="S571" s="1778">
        <f>'Notes- SK Template'!S573</f>
        <v>0</v>
      </c>
      <c r="T571" s="1778">
        <f>'Notes- SK Template'!T573</f>
        <v>0</v>
      </c>
      <c r="U571" s="1778">
        <f>'Notes- SK Template'!U573</f>
        <v>0</v>
      </c>
      <c r="V571" s="1778">
        <f>'Notes- SK Template'!V573</f>
        <v>0</v>
      </c>
      <c r="W571" s="1779">
        <f>'Notes- SK Template'!W573</f>
        <v>0</v>
      </c>
      <c r="X571" s="1814">
        <f>'Notes- SK Template'!X573</f>
        <v>18536</v>
      </c>
      <c r="Y571" s="1778">
        <f>'Notes- SK Template'!Y573</f>
        <v>0</v>
      </c>
      <c r="Z571" s="1778">
        <f>'Notes- SK Template'!Z573</f>
        <v>0</v>
      </c>
      <c r="AA571" s="1778">
        <f>'Notes- SK Template'!AA573</f>
        <v>0</v>
      </c>
      <c r="AB571" s="1778">
        <f>'Notes- SK Template'!AB573</f>
        <v>0</v>
      </c>
      <c r="AC571" s="1778">
        <f>'Notes- SK Template'!AC573</f>
        <v>0</v>
      </c>
      <c r="AD571" s="1778">
        <f>'Notes- SK Template'!AD573</f>
        <v>0</v>
      </c>
      <c r="AE571" s="1778">
        <f>'Notes- SK Template'!AE573</f>
        <v>0</v>
      </c>
      <c r="AF571" s="1778">
        <f>'Notes- SK Template'!AF573</f>
        <v>0</v>
      </c>
      <c r="AG571" s="1779">
        <f>'Notes- SK Template'!AG573</f>
        <v>0</v>
      </c>
    </row>
    <row r="572" spans="1:33" ht="28.5" customHeight="1">
      <c r="D572" s="1946" t="s">
        <v>1891</v>
      </c>
      <c r="E572" s="1947"/>
      <c r="F572" s="1947"/>
      <c r="G572" s="1947"/>
      <c r="H572" s="1947"/>
      <c r="I572" s="1947"/>
      <c r="J572" s="1947"/>
      <c r="K572" s="1947"/>
      <c r="L572" s="1947"/>
      <c r="M572" s="2511"/>
      <c r="N572" s="1929">
        <f>'Notes- SK Template'!N574</f>
        <v>1181891</v>
      </c>
      <c r="O572" s="1793">
        <f>'Notes- SK Template'!O574</f>
        <v>0</v>
      </c>
      <c r="P572" s="1793">
        <f>'Notes- SK Template'!P574</f>
        <v>0</v>
      </c>
      <c r="Q572" s="1793">
        <f>'Notes- SK Template'!Q574</f>
        <v>0</v>
      </c>
      <c r="R572" s="1793">
        <f>'Notes- SK Template'!R574</f>
        <v>0</v>
      </c>
      <c r="S572" s="1793">
        <f>'Notes- SK Template'!S574</f>
        <v>0</v>
      </c>
      <c r="T572" s="1793">
        <f>'Notes- SK Template'!T574</f>
        <v>0</v>
      </c>
      <c r="U572" s="1793">
        <f>'Notes- SK Template'!U574</f>
        <v>0</v>
      </c>
      <c r="V572" s="1793">
        <f>'Notes- SK Template'!V574</f>
        <v>0</v>
      </c>
      <c r="W572" s="1930">
        <f>'Notes- SK Template'!W574</f>
        <v>0</v>
      </c>
      <c r="X572" s="1792">
        <f>'Notes- SK Template'!X574</f>
        <v>988127</v>
      </c>
      <c r="Y572" s="1793">
        <f>'Notes- SK Template'!Y574</f>
        <v>0</v>
      </c>
      <c r="Z572" s="1793">
        <f>'Notes- SK Template'!Z574</f>
        <v>0</v>
      </c>
      <c r="AA572" s="1793">
        <f>'Notes- SK Template'!AA574</f>
        <v>0</v>
      </c>
      <c r="AB572" s="1793">
        <f>'Notes- SK Template'!AB574</f>
        <v>0</v>
      </c>
      <c r="AC572" s="1793">
        <f>'Notes- SK Template'!AC574</f>
        <v>0</v>
      </c>
      <c r="AD572" s="1793">
        <f>'Notes- SK Template'!AD574</f>
        <v>0</v>
      </c>
      <c r="AE572" s="1793">
        <f>'Notes- SK Template'!AE574</f>
        <v>0</v>
      </c>
      <c r="AF572" s="1793">
        <f>'Notes- SK Template'!AF574</f>
        <v>0</v>
      </c>
      <c r="AG572" s="1930">
        <f>'Notes- SK Template'!AG574</f>
        <v>0</v>
      </c>
    </row>
    <row r="573" spans="1:33" ht="28.5" customHeight="1">
      <c r="D573" s="2573" t="s">
        <v>1890</v>
      </c>
      <c r="E573" s="1944"/>
      <c r="F573" s="1944"/>
      <c r="G573" s="1944"/>
      <c r="H573" s="1944"/>
      <c r="I573" s="1944"/>
      <c r="J573" s="1944"/>
      <c r="K573" s="1944"/>
      <c r="L573" s="1944"/>
      <c r="M573" s="2574"/>
      <c r="N573" s="1814">
        <f>'Notes- SK Template'!N575</f>
        <v>854320</v>
      </c>
      <c r="O573" s="1778">
        <f>'Notes- SK Template'!O575</f>
        <v>0</v>
      </c>
      <c r="P573" s="1778">
        <f>'Notes- SK Template'!P575</f>
        <v>0</v>
      </c>
      <c r="Q573" s="1778">
        <f>'Notes- SK Template'!Q575</f>
        <v>0</v>
      </c>
      <c r="R573" s="1778">
        <f>'Notes- SK Template'!R575</f>
        <v>0</v>
      </c>
      <c r="S573" s="1778">
        <f>'Notes- SK Template'!S575</f>
        <v>0</v>
      </c>
      <c r="T573" s="1778">
        <f>'Notes- SK Template'!T575</f>
        <v>0</v>
      </c>
      <c r="U573" s="1778">
        <f>'Notes- SK Template'!U575</f>
        <v>0</v>
      </c>
      <c r="V573" s="1778">
        <f>'Notes- SK Template'!V575</f>
        <v>0</v>
      </c>
      <c r="W573" s="1779">
        <f>'Notes- SK Template'!W575</f>
        <v>0</v>
      </c>
      <c r="X573" s="1814">
        <f>'Notes- SK Template'!X575</f>
        <v>891880</v>
      </c>
      <c r="Y573" s="1778">
        <f>'Notes- SK Template'!Y575</f>
        <v>0</v>
      </c>
      <c r="Z573" s="1778">
        <f>'Notes- SK Template'!Z575</f>
        <v>0</v>
      </c>
      <c r="AA573" s="1778">
        <f>'Notes- SK Template'!AA575</f>
        <v>0</v>
      </c>
      <c r="AB573" s="1778">
        <f>'Notes- SK Template'!AB575</f>
        <v>0</v>
      </c>
      <c r="AC573" s="1778">
        <f>'Notes- SK Template'!AC575</f>
        <v>0</v>
      </c>
      <c r="AD573" s="1778">
        <f>'Notes- SK Template'!AD575</f>
        <v>0</v>
      </c>
      <c r="AE573" s="1778">
        <f>'Notes- SK Template'!AE575</f>
        <v>0</v>
      </c>
      <c r="AF573" s="1778">
        <f>'Notes- SK Template'!AF575</f>
        <v>0</v>
      </c>
      <c r="AG573" s="1779">
        <f>'Notes- SK Template'!AG575</f>
        <v>0</v>
      </c>
    </row>
    <row r="574" spans="1:33" ht="28.5" customHeight="1" thickBot="1">
      <c r="D574" s="2566" t="s">
        <v>2024</v>
      </c>
      <c r="E574" s="2567"/>
      <c r="F574" s="2567"/>
      <c r="G574" s="2567"/>
      <c r="H574" s="2567"/>
      <c r="I574" s="2567"/>
      <c r="J574" s="2567"/>
      <c r="K574" s="2567"/>
      <c r="L574" s="2567"/>
      <c r="M574" s="2568"/>
      <c r="N574" s="2569">
        <f>'Notes- SK Template'!N576</f>
        <v>327571</v>
      </c>
      <c r="O574" s="2570">
        <f>'Notes- SK Template'!O576</f>
        <v>0</v>
      </c>
      <c r="P574" s="2570">
        <f>'Notes- SK Template'!P576</f>
        <v>0</v>
      </c>
      <c r="Q574" s="2570">
        <f>'Notes- SK Template'!Q576</f>
        <v>0</v>
      </c>
      <c r="R574" s="2570">
        <f>'Notes- SK Template'!R576</f>
        <v>0</v>
      </c>
      <c r="S574" s="2570">
        <f>'Notes- SK Template'!S576</f>
        <v>0</v>
      </c>
      <c r="T574" s="2570">
        <f>'Notes- SK Template'!T576</f>
        <v>0</v>
      </c>
      <c r="U574" s="2570">
        <f>'Notes- SK Template'!U576</f>
        <v>0</v>
      </c>
      <c r="V574" s="2570">
        <f>'Notes- SK Template'!V576</f>
        <v>0</v>
      </c>
      <c r="W574" s="2571">
        <f>'Notes- SK Template'!W576</f>
        <v>0</v>
      </c>
      <c r="X574" s="2569">
        <f>'Notes- SK Template'!X576</f>
        <v>96247</v>
      </c>
      <c r="Y574" s="2570">
        <f>'Notes- SK Template'!Y576</f>
        <v>0</v>
      </c>
      <c r="Z574" s="2570">
        <f>'Notes- SK Template'!Z576</f>
        <v>0</v>
      </c>
      <c r="AA574" s="2570">
        <f>'Notes- SK Template'!AA576</f>
        <v>0</v>
      </c>
      <c r="AB574" s="2570">
        <f>'Notes- SK Template'!AB576</f>
        <v>0</v>
      </c>
      <c r="AC574" s="2570">
        <f>'Notes- SK Template'!AC576</f>
        <v>0</v>
      </c>
      <c r="AD574" s="2570">
        <f>'Notes- SK Template'!AD576</f>
        <v>0</v>
      </c>
      <c r="AE574" s="2570">
        <f>'Notes- SK Template'!AE576</f>
        <v>0</v>
      </c>
      <c r="AF574" s="2570">
        <f>'Notes- SK Template'!AF576</f>
        <v>0</v>
      </c>
      <c r="AG574" s="2571">
        <f>'Notes- SK Template'!AG576</f>
        <v>0</v>
      </c>
    </row>
    <row r="575" spans="1:33" ht="28.5" customHeight="1">
      <c r="D575" s="1522" t="s">
        <v>2910</v>
      </c>
      <c r="E575" s="786"/>
      <c r="F575" s="786"/>
      <c r="G575" s="786"/>
      <c r="H575" s="786"/>
      <c r="I575" s="786"/>
      <c r="J575" s="786"/>
      <c r="K575" s="786"/>
      <c r="L575" s="786"/>
      <c r="M575" s="786"/>
      <c r="N575" s="786"/>
      <c r="O575" s="786"/>
      <c r="P575" s="786"/>
      <c r="Q575" s="786"/>
      <c r="R575" s="786"/>
      <c r="S575" s="786"/>
      <c r="T575" s="786"/>
      <c r="U575" s="786"/>
      <c r="V575" s="786"/>
      <c r="W575" s="786"/>
      <c r="X575" s="786"/>
      <c r="Y575" s="786"/>
      <c r="Z575" s="786"/>
      <c r="AA575" s="786"/>
      <c r="AB575" s="786"/>
      <c r="AC575" s="786"/>
    </row>
    <row r="577" spans="4:33" ht="14.25" customHeight="1">
      <c r="D577" s="582" t="s">
        <v>3060</v>
      </c>
    </row>
    <row r="579" spans="4:33" ht="14.25" customHeight="1">
      <c r="D579" s="1809" t="s">
        <v>2969</v>
      </c>
      <c r="E579" s="1963"/>
      <c r="F579" s="1963"/>
      <c r="G579" s="1963"/>
      <c r="H579" s="1963"/>
      <c r="I579" s="1963"/>
      <c r="J579" s="1963"/>
      <c r="K579" s="1963"/>
      <c r="L579" s="1963"/>
      <c r="M579" s="1963"/>
      <c r="N579" s="1963"/>
      <c r="O579" s="1963"/>
      <c r="P579" s="1963"/>
      <c r="Q579" s="1963"/>
      <c r="R579" s="1963"/>
      <c r="S579" s="1963"/>
      <c r="T579" s="1963"/>
      <c r="U579" s="1963"/>
      <c r="V579" s="1963"/>
      <c r="W579" s="1963"/>
      <c r="X579" s="1963"/>
      <c r="Y579" s="1963"/>
      <c r="Z579" s="1963"/>
      <c r="AA579" s="1963"/>
      <c r="AB579" s="1963"/>
      <c r="AC579" s="1963"/>
      <c r="AD579" s="1963"/>
      <c r="AE579" s="1963"/>
      <c r="AF579" s="1963"/>
      <c r="AG579" s="1963"/>
    </row>
    <row r="580" spans="4:33" ht="14.25" customHeight="1" thickBot="1"/>
    <row r="581" spans="4:33" ht="24" customHeight="1" thickBot="1">
      <c r="D581" s="1838" t="s">
        <v>1740</v>
      </c>
      <c r="E581" s="1838"/>
      <c r="F581" s="1838"/>
      <c r="G581" s="1838"/>
      <c r="H581" s="1838"/>
      <c r="I581" s="1838"/>
      <c r="J581" s="1838"/>
      <c r="K581" s="1838"/>
      <c r="L581" s="1838"/>
      <c r="M581" s="1838"/>
      <c r="N581" s="1838" t="s">
        <v>1741</v>
      </c>
      <c r="O581" s="1838"/>
      <c r="P581" s="1838"/>
      <c r="Q581" s="1838"/>
      <c r="R581" s="1838"/>
      <c r="S581" s="1838"/>
      <c r="T581" s="1838"/>
      <c r="U581" s="1838"/>
      <c r="V581" s="1838"/>
      <c r="W581" s="1838"/>
      <c r="X581" s="1838" t="s">
        <v>1863</v>
      </c>
      <c r="Y581" s="1838"/>
      <c r="Z581" s="1838"/>
      <c r="AA581" s="1838"/>
      <c r="AB581" s="1838"/>
      <c r="AC581" s="1838"/>
      <c r="AD581" s="1838"/>
      <c r="AE581" s="1838"/>
      <c r="AF581" s="1838"/>
      <c r="AG581" s="1838"/>
    </row>
    <row r="582" spans="4:33" ht="19.5" customHeight="1">
      <c r="D582" s="1868" t="s">
        <v>1895</v>
      </c>
      <c r="E582" s="1868"/>
      <c r="F582" s="1868"/>
      <c r="G582" s="1868"/>
      <c r="H582" s="1868"/>
      <c r="I582" s="1868"/>
      <c r="J582" s="1868"/>
      <c r="K582" s="1868"/>
      <c r="L582" s="1868"/>
      <c r="M582" s="1868"/>
      <c r="N582" s="2565">
        <f>'Notes- SK Template'!N585</f>
        <v>-1504512</v>
      </c>
      <c r="O582" s="2565">
        <f>'Notes- SK Template'!O585</f>
        <v>0</v>
      </c>
      <c r="P582" s="2565">
        <f>'Notes- SK Template'!P585</f>
        <v>0</v>
      </c>
      <c r="Q582" s="2565">
        <f>'Notes- SK Template'!Q585</f>
        <v>0</v>
      </c>
      <c r="R582" s="2565">
        <f>'Notes- SK Template'!R585</f>
        <v>0</v>
      </c>
      <c r="S582" s="2565">
        <f>'Notes- SK Template'!S585</f>
        <v>0</v>
      </c>
      <c r="T582" s="2565">
        <f>'Notes- SK Template'!T585</f>
        <v>0</v>
      </c>
      <c r="U582" s="2565">
        <f>'Notes- SK Template'!U585</f>
        <v>0</v>
      </c>
      <c r="V582" s="2565">
        <f>'Notes- SK Template'!V585</f>
        <v>0</v>
      </c>
      <c r="W582" s="2565">
        <f>'Notes- SK Template'!W585</f>
        <v>0</v>
      </c>
      <c r="X582" s="2565">
        <f>'Notes- SK Template'!X585</f>
        <v>-1843688</v>
      </c>
      <c r="Y582" s="2565">
        <f>'Notes- SK Template'!Y585</f>
        <v>0</v>
      </c>
      <c r="Z582" s="2565">
        <f>'Notes- SK Template'!Z585</f>
        <v>0</v>
      </c>
      <c r="AA582" s="2565">
        <f>'Notes- SK Template'!AA585</f>
        <v>0</v>
      </c>
      <c r="AB582" s="2565">
        <f>'Notes- SK Template'!AB585</f>
        <v>0</v>
      </c>
      <c r="AC582" s="2565">
        <f>'Notes- SK Template'!AC585</f>
        <v>0</v>
      </c>
      <c r="AD582" s="2565">
        <f>'Notes- SK Template'!AD585</f>
        <v>0</v>
      </c>
      <c r="AE582" s="2565">
        <f>'Notes- SK Template'!AE585</f>
        <v>0</v>
      </c>
      <c r="AF582" s="2565">
        <f>'Notes- SK Template'!AF585</f>
        <v>0</v>
      </c>
      <c r="AG582" s="2565">
        <f>'Notes- SK Template'!AG585</f>
        <v>0</v>
      </c>
    </row>
    <row r="583" spans="4:33" ht="14.25" customHeight="1">
      <c r="D583" s="1787" t="s">
        <v>1896</v>
      </c>
      <c r="E583" s="1787"/>
      <c r="F583" s="1787"/>
      <c r="G583" s="1787"/>
      <c r="H583" s="1787"/>
      <c r="I583" s="1787"/>
      <c r="J583" s="1787"/>
      <c r="K583" s="1787"/>
      <c r="L583" s="1787"/>
      <c r="M583" s="1787"/>
      <c r="N583" s="1860">
        <f>'Notes- SK Template'!N586</f>
        <v>15954</v>
      </c>
      <c r="O583" s="1860">
        <f>'Notes- SK Template'!O586</f>
        <v>0</v>
      </c>
      <c r="P583" s="1860">
        <f>'Notes- SK Template'!P586</f>
        <v>0</v>
      </c>
      <c r="Q583" s="1860">
        <f>'Notes- SK Template'!Q586</f>
        <v>0</v>
      </c>
      <c r="R583" s="1860">
        <f>'Notes- SK Template'!R586</f>
        <v>0</v>
      </c>
      <c r="S583" s="1860">
        <f>'Notes- SK Template'!S586</f>
        <v>0</v>
      </c>
      <c r="T583" s="1860">
        <f>'Notes- SK Template'!T586</f>
        <v>0</v>
      </c>
      <c r="U583" s="1860">
        <f>'Notes- SK Template'!U586</f>
        <v>0</v>
      </c>
      <c r="V583" s="1860">
        <f>'Notes- SK Template'!V586</f>
        <v>0</v>
      </c>
      <c r="W583" s="1860">
        <f>'Notes- SK Template'!W586</f>
        <v>0</v>
      </c>
      <c r="X583" s="1860">
        <f>'Notes- SK Template'!X586</f>
        <v>4833</v>
      </c>
      <c r="Y583" s="1860">
        <f>'Notes- SK Template'!Y586</f>
        <v>0</v>
      </c>
      <c r="Z583" s="1860">
        <f>'Notes- SK Template'!Z586</f>
        <v>0</v>
      </c>
      <c r="AA583" s="1860">
        <f>'Notes- SK Template'!AA586</f>
        <v>0</v>
      </c>
      <c r="AB583" s="1860">
        <f>'Notes- SK Template'!AB586</f>
        <v>0</v>
      </c>
      <c r="AC583" s="1860">
        <f>'Notes- SK Template'!AC586</f>
        <v>0</v>
      </c>
      <c r="AD583" s="1860">
        <f>'Notes- SK Template'!AD586</f>
        <v>0</v>
      </c>
      <c r="AE583" s="1860">
        <f>'Notes- SK Template'!AE586</f>
        <v>0</v>
      </c>
      <c r="AF583" s="1860">
        <f>'Notes- SK Template'!AF586</f>
        <v>0</v>
      </c>
      <c r="AG583" s="1860">
        <f>'Notes- SK Template'!AG586</f>
        <v>0</v>
      </c>
    </row>
    <row r="584" spans="4:33" ht="14.25" customHeight="1">
      <c r="D584" s="1787" t="s">
        <v>1897</v>
      </c>
      <c r="E584" s="1787"/>
      <c r="F584" s="1787"/>
      <c r="G584" s="1787"/>
      <c r="H584" s="1787"/>
      <c r="I584" s="1787"/>
      <c r="J584" s="1787"/>
      <c r="K584" s="1787"/>
      <c r="L584" s="1787"/>
      <c r="M584" s="1787"/>
      <c r="N584" s="1860">
        <f>'Notes- SK Template'!N587</f>
        <v>-1520466</v>
      </c>
      <c r="O584" s="1860">
        <f>'Notes- SK Template'!O587</f>
        <v>0</v>
      </c>
      <c r="P584" s="1860">
        <f>'Notes- SK Template'!P587</f>
        <v>0</v>
      </c>
      <c r="Q584" s="1860">
        <f>'Notes- SK Template'!Q587</f>
        <v>0</v>
      </c>
      <c r="R584" s="1860">
        <f>'Notes- SK Template'!R587</f>
        <v>0</v>
      </c>
      <c r="S584" s="1860">
        <f>'Notes- SK Template'!S587</f>
        <v>0</v>
      </c>
      <c r="T584" s="1860">
        <f>'Notes- SK Template'!T587</f>
        <v>0</v>
      </c>
      <c r="U584" s="1860">
        <f>'Notes- SK Template'!U587</f>
        <v>0</v>
      </c>
      <c r="V584" s="1860">
        <f>'Notes- SK Template'!V587</f>
        <v>0</v>
      </c>
      <c r="W584" s="1860">
        <f>'Notes- SK Template'!W587</f>
        <v>0</v>
      </c>
      <c r="X584" s="1860">
        <f>'Notes- SK Template'!X587</f>
        <v>-1848521</v>
      </c>
      <c r="Y584" s="1860">
        <f>'Notes- SK Template'!Y587</f>
        <v>0</v>
      </c>
      <c r="Z584" s="1860">
        <f>'Notes- SK Template'!Z587</f>
        <v>0</v>
      </c>
      <c r="AA584" s="1860">
        <f>'Notes- SK Template'!AA587</f>
        <v>0</v>
      </c>
      <c r="AB584" s="1860">
        <f>'Notes- SK Template'!AB587</f>
        <v>0</v>
      </c>
      <c r="AC584" s="1860">
        <f>'Notes- SK Template'!AC587</f>
        <v>0</v>
      </c>
      <c r="AD584" s="1860">
        <f>'Notes- SK Template'!AD587</f>
        <v>0</v>
      </c>
      <c r="AE584" s="1860">
        <f>'Notes- SK Template'!AE587</f>
        <v>0</v>
      </c>
      <c r="AF584" s="1860">
        <f>'Notes- SK Template'!AF587</f>
        <v>0</v>
      </c>
      <c r="AG584" s="1860">
        <f>'Notes- SK Template'!AG587</f>
        <v>0</v>
      </c>
    </row>
    <row r="585" spans="4:33" ht="20.25" customHeight="1">
      <c r="D585" s="1818" t="s">
        <v>1898</v>
      </c>
      <c r="E585" s="1818"/>
      <c r="F585" s="1818"/>
      <c r="G585" s="1818"/>
      <c r="H585" s="1818"/>
      <c r="I585" s="1818"/>
      <c r="J585" s="1818"/>
      <c r="K585" s="1818"/>
      <c r="L585" s="1818"/>
      <c r="M585" s="1818"/>
      <c r="N585" s="2202">
        <f>'Notes- SK Template'!N588</f>
        <v>71060</v>
      </c>
      <c r="O585" s="2202">
        <f>'Notes- SK Template'!O588</f>
        <v>0</v>
      </c>
      <c r="P585" s="2202">
        <f>'Notes- SK Template'!P588</f>
        <v>0</v>
      </c>
      <c r="Q585" s="2202">
        <f>'Notes- SK Template'!Q588</f>
        <v>0</v>
      </c>
      <c r="R585" s="2202">
        <f>'Notes- SK Template'!R588</f>
        <v>0</v>
      </c>
      <c r="S585" s="2202">
        <f>'Notes- SK Template'!S588</f>
        <v>0</v>
      </c>
      <c r="T585" s="2202">
        <f>'Notes- SK Template'!T588</f>
        <v>0</v>
      </c>
      <c r="U585" s="2202">
        <f>'Notes- SK Template'!U588</f>
        <v>0</v>
      </c>
      <c r="V585" s="2202">
        <f>'Notes- SK Template'!V588</f>
        <v>0</v>
      </c>
      <c r="W585" s="2202">
        <f>'Notes- SK Template'!W588</f>
        <v>0</v>
      </c>
      <c r="X585" s="2202">
        <f>'Notes- SK Template'!X588</f>
        <v>68143</v>
      </c>
      <c r="Y585" s="2202">
        <f>'Notes- SK Template'!Y588</f>
        <v>0</v>
      </c>
      <c r="Z585" s="2202">
        <f>'Notes- SK Template'!Z588</f>
        <v>0</v>
      </c>
      <c r="AA585" s="2202">
        <f>'Notes- SK Template'!AA588</f>
        <v>0</v>
      </c>
      <c r="AB585" s="2202">
        <f>'Notes- SK Template'!AB588</f>
        <v>0</v>
      </c>
      <c r="AC585" s="2202">
        <f>'Notes- SK Template'!AC588</f>
        <v>0</v>
      </c>
      <c r="AD585" s="2202">
        <f>'Notes- SK Template'!AD588</f>
        <v>0</v>
      </c>
      <c r="AE585" s="2202">
        <f>'Notes- SK Template'!AE588</f>
        <v>0</v>
      </c>
      <c r="AF585" s="2202">
        <f>'Notes- SK Template'!AF588</f>
        <v>0</v>
      </c>
      <c r="AG585" s="2202">
        <f>'Notes- SK Template'!AG588</f>
        <v>0</v>
      </c>
    </row>
    <row r="586" spans="4:33" ht="14.25" customHeight="1">
      <c r="D586" s="1787" t="s">
        <v>1896</v>
      </c>
      <c r="E586" s="1787"/>
      <c r="F586" s="1787"/>
      <c r="G586" s="1787"/>
      <c r="H586" s="1787"/>
      <c r="I586" s="1787"/>
      <c r="J586" s="1787"/>
      <c r="K586" s="1787"/>
      <c r="L586" s="1787"/>
      <c r="M586" s="1787"/>
      <c r="N586" s="1860">
        <f>'Notes- SK Template'!N589</f>
        <v>71060</v>
      </c>
      <c r="O586" s="1860">
        <f>'Notes- SK Template'!O589</f>
        <v>0</v>
      </c>
      <c r="P586" s="1860">
        <f>'Notes- SK Template'!P589</f>
        <v>0</v>
      </c>
      <c r="Q586" s="1860">
        <f>'Notes- SK Template'!Q589</f>
        <v>0</v>
      </c>
      <c r="R586" s="1860">
        <f>'Notes- SK Template'!R589</f>
        <v>0</v>
      </c>
      <c r="S586" s="1860">
        <f>'Notes- SK Template'!S589</f>
        <v>0</v>
      </c>
      <c r="T586" s="1860">
        <f>'Notes- SK Template'!T589</f>
        <v>0</v>
      </c>
      <c r="U586" s="1860">
        <f>'Notes- SK Template'!U589</f>
        <v>0</v>
      </c>
      <c r="V586" s="1860">
        <f>'Notes- SK Template'!V589</f>
        <v>0</v>
      </c>
      <c r="W586" s="1860">
        <f>'Notes- SK Template'!W589</f>
        <v>0</v>
      </c>
      <c r="X586" s="1860">
        <f>'Notes- SK Template'!X589</f>
        <v>68143</v>
      </c>
      <c r="Y586" s="1860">
        <f>'Notes- SK Template'!Y589</f>
        <v>0</v>
      </c>
      <c r="Z586" s="1860">
        <f>'Notes- SK Template'!Z589</f>
        <v>0</v>
      </c>
      <c r="AA586" s="1860">
        <f>'Notes- SK Template'!AA589</f>
        <v>0</v>
      </c>
      <c r="AB586" s="1860">
        <f>'Notes- SK Template'!AB589</f>
        <v>0</v>
      </c>
      <c r="AC586" s="1860">
        <f>'Notes- SK Template'!AC589</f>
        <v>0</v>
      </c>
      <c r="AD586" s="1860">
        <f>'Notes- SK Template'!AD589</f>
        <v>0</v>
      </c>
      <c r="AE586" s="1860">
        <f>'Notes- SK Template'!AE589</f>
        <v>0</v>
      </c>
      <c r="AF586" s="1860">
        <f>'Notes- SK Template'!AF589</f>
        <v>0</v>
      </c>
      <c r="AG586" s="1860">
        <f>'Notes- SK Template'!AG589</f>
        <v>0</v>
      </c>
    </row>
    <row r="587" spans="4:33" ht="14.25" customHeight="1">
      <c r="D587" s="1787" t="s">
        <v>1897</v>
      </c>
      <c r="E587" s="1787"/>
      <c r="F587" s="1787"/>
      <c r="G587" s="1787"/>
      <c r="H587" s="1787"/>
      <c r="I587" s="1787"/>
      <c r="J587" s="1787"/>
      <c r="K587" s="1787"/>
      <c r="L587" s="1787"/>
      <c r="M587" s="1787"/>
      <c r="N587" s="1860">
        <f>'Notes- SK Template'!N590</f>
        <v>0</v>
      </c>
      <c r="O587" s="1860">
        <f>'Notes- SK Template'!O590</f>
        <v>0</v>
      </c>
      <c r="P587" s="1860">
        <f>'Notes- SK Template'!P590</f>
        <v>0</v>
      </c>
      <c r="Q587" s="1860">
        <f>'Notes- SK Template'!Q590</f>
        <v>0</v>
      </c>
      <c r="R587" s="1860">
        <f>'Notes- SK Template'!R590</f>
        <v>0</v>
      </c>
      <c r="S587" s="1860">
        <f>'Notes- SK Template'!S590</f>
        <v>0</v>
      </c>
      <c r="T587" s="1860">
        <f>'Notes- SK Template'!T590</f>
        <v>0</v>
      </c>
      <c r="U587" s="1860">
        <f>'Notes- SK Template'!U590</f>
        <v>0</v>
      </c>
      <c r="V587" s="1860">
        <f>'Notes- SK Template'!V590</f>
        <v>0</v>
      </c>
      <c r="W587" s="1860">
        <f>'Notes- SK Template'!W590</f>
        <v>0</v>
      </c>
      <c r="X587" s="1860">
        <f>'Notes- SK Template'!X590</f>
        <v>0</v>
      </c>
      <c r="Y587" s="1860">
        <f>'Notes- SK Template'!Y590</f>
        <v>0</v>
      </c>
      <c r="Z587" s="1860">
        <f>'Notes- SK Template'!Z590</f>
        <v>0</v>
      </c>
      <c r="AA587" s="1860">
        <f>'Notes- SK Template'!AA590</f>
        <v>0</v>
      </c>
      <c r="AB587" s="1860">
        <f>'Notes- SK Template'!AB590</f>
        <v>0</v>
      </c>
      <c r="AC587" s="1860">
        <f>'Notes- SK Template'!AC590</f>
        <v>0</v>
      </c>
      <c r="AD587" s="1860">
        <f>'Notes- SK Template'!AD590</f>
        <v>0</v>
      </c>
      <c r="AE587" s="1860">
        <f>'Notes- SK Template'!AE590</f>
        <v>0</v>
      </c>
      <c r="AF587" s="1860">
        <f>'Notes- SK Template'!AF590</f>
        <v>0</v>
      </c>
      <c r="AG587" s="1860">
        <f>'Notes- SK Template'!AG590</f>
        <v>0</v>
      </c>
    </row>
    <row r="588" spans="4:33" ht="14.25" customHeight="1">
      <c r="D588" s="1818" t="s">
        <v>1899</v>
      </c>
      <c r="E588" s="1818"/>
      <c r="F588" s="1818"/>
      <c r="G588" s="1818"/>
      <c r="H588" s="1818"/>
      <c r="I588" s="1818"/>
      <c r="J588" s="1818"/>
      <c r="K588" s="1818"/>
      <c r="L588" s="1818"/>
      <c r="M588" s="1818"/>
      <c r="N588" s="2202">
        <f>'Notes- SK Template'!N591</f>
        <v>0</v>
      </c>
      <c r="O588" s="2202">
        <f>'Notes- SK Template'!O591</f>
        <v>0</v>
      </c>
      <c r="P588" s="2202">
        <f>'Notes- SK Template'!P591</f>
        <v>0</v>
      </c>
      <c r="Q588" s="2202">
        <f>'Notes- SK Template'!Q591</f>
        <v>0</v>
      </c>
      <c r="R588" s="2202">
        <f>'Notes- SK Template'!R591</f>
        <v>0</v>
      </c>
      <c r="S588" s="2202">
        <f>'Notes- SK Template'!S591</f>
        <v>0</v>
      </c>
      <c r="T588" s="2202">
        <f>'Notes- SK Template'!T591</f>
        <v>0</v>
      </c>
      <c r="U588" s="2202">
        <f>'Notes- SK Template'!U591</f>
        <v>0</v>
      </c>
      <c r="V588" s="2202">
        <f>'Notes- SK Template'!V591</f>
        <v>0</v>
      </c>
      <c r="W588" s="2202">
        <f>'Notes- SK Template'!W591</f>
        <v>0</v>
      </c>
      <c r="X588" s="2202">
        <f>'Notes- SK Template'!X591</f>
        <v>0</v>
      </c>
      <c r="Y588" s="2202">
        <f>'Notes- SK Template'!Y591</f>
        <v>0</v>
      </c>
      <c r="Z588" s="2202">
        <f>'Notes- SK Template'!Z591</f>
        <v>0</v>
      </c>
      <c r="AA588" s="2202">
        <f>'Notes- SK Template'!AA591</f>
        <v>0</v>
      </c>
      <c r="AB588" s="2202">
        <f>'Notes- SK Template'!AB591</f>
        <v>0</v>
      </c>
      <c r="AC588" s="2202">
        <f>'Notes- SK Template'!AC591</f>
        <v>0</v>
      </c>
      <c r="AD588" s="2202">
        <f>'Notes- SK Template'!AD591</f>
        <v>0</v>
      </c>
      <c r="AE588" s="2202">
        <f>'Notes- SK Template'!AE591</f>
        <v>0</v>
      </c>
      <c r="AF588" s="2202">
        <f>'Notes- SK Template'!AF591</f>
        <v>0</v>
      </c>
      <c r="AG588" s="2202">
        <f>'Notes- SK Template'!AG591</f>
        <v>0</v>
      </c>
    </row>
    <row r="589" spans="4:33" ht="14.25" customHeight="1">
      <c r="D589" s="1818" t="s">
        <v>1900</v>
      </c>
      <c r="E589" s="1818"/>
      <c r="F589" s="1818"/>
      <c r="G589" s="1818"/>
      <c r="H589" s="1818"/>
      <c r="I589" s="1818"/>
      <c r="J589" s="1818"/>
      <c r="K589" s="1818"/>
      <c r="L589" s="1818"/>
      <c r="M589" s="1818"/>
      <c r="N589" s="2202">
        <f>'Notes- SK Template'!N592</f>
        <v>0</v>
      </c>
      <c r="O589" s="2202">
        <f>'Notes- SK Template'!O592</f>
        <v>0</v>
      </c>
      <c r="P589" s="2202">
        <f>'Notes- SK Template'!P592</f>
        <v>0</v>
      </c>
      <c r="Q589" s="2202">
        <f>'Notes- SK Template'!Q592</f>
        <v>0</v>
      </c>
      <c r="R589" s="2202">
        <f>'Notes- SK Template'!R592</f>
        <v>0</v>
      </c>
      <c r="S589" s="2202">
        <f>'Notes- SK Template'!S592</f>
        <v>0</v>
      </c>
      <c r="T589" s="2202">
        <f>'Notes- SK Template'!T592</f>
        <v>0</v>
      </c>
      <c r="U589" s="2202">
        <f>'Notes- SK Template'!U592</f>
        <v>0</v>
      </c>
      <c r="V589" s="2202">
        <f>'Notes- SK Template'!V592</f>
        <v>0</v>
      </c>
      <c r="W589" s="2202">
        <f>'Notes- SK Template'!W592</f>
        <v>0</v>
      </c>
      <c r="X589" s="2202">
        <f>'Notes- SK Template'!X592</f>
        <v>0</v>
      </c>
      <c r="Y589" s="2202">
        <f>'Notes- SK Template'!Y592</f>
        <v>0</v>
      </c>
      <c r="Z589" s="2202">
        <f>'Notes- SK Template'!Z592</f>
        <v>0</v>
      </c>
      <c r="AA589" s="2202">
        <f>'Notes- SK Template'!AA592</f>
        <v>0</v>
      </c>
      <c r="AB589" s="2202">
        <f>'Notes- SK Template'!AB592</f>
        <v>0</v>
      </c>
      <c r="AC589" s="2202">
        <f>'Notes- SK Template'!AC592</f>
        <v>0</v>
      </c>
      <c r="AD589" s="2202">
        <f>'Notes- SK Template'!AD592</f>
        <v>0</v>
      </c>
      <c r="AE589" s="2202">
        <f>'Notes- SK Template'!AE592</f>
        <v>0</v>
      </c>
      <c r="AF589" s="2202">
        <f>'Notes- SK Template'!AF592</f>
        <v>0</v>
      </c>
      <c r="AG589" s="2202">
        <f>'Notes- SK Template'!AG592</f>
        <v>0</v>
      </c>
    </row>
    <row r="590" spans="4:33" ht="14.25" customHeight="1">
      <c r="D590" s="1818" t="s">
        <v>1901</v>
      </c>
      <c r="E590" s="1818"/>
      <c r="F590" s="1818"/>
      <c r="G590" s="1818"/>
      <c r="H590" s="1818"/>
      <c r="I590" s="1818"/>
      <c r="J590" s="1818"/>
      <c r="K590" s="1818"/>
      <c r="L590" s="1818"/>
      <c r="M590" s="1818"/>
      <c r="N590" s="2202">
        <f>'Notes- SK Template'!N593</f>
        <v>21</v>
      </c>
      <c r="O590" s="2202">
        <f>'Notes- SK Template'!O593</f>
        <v>0</v>
      </c>
      <c r="P590" s="2202">
        <f>'Notes- SK Template'!P593</f>
        <v>0</v>
      </c>
      <c r="Q590" s="2202">
        <f>'Notes- SK Template'!Q593</f>
        <v>0</v>
      </c>
      <c r="R590" s="2202">
        <f>'Notes- SK Template'!R593</f>
        <v>0</v>
      </c>
      <c r="S590" s="2202">
        <f>'Notes- SK Template'!S593</f>
        <v>0</v>
      </c>
      <c r="T590" s="2202">
        <f>'Notes- SK Template'!T593</f>
        <v>0</v>
      </c>
      <c r="U590" s="2202">
        <f>'Notes- SK Template'!U593</f>
        <v>0</v>
      </c>
      <c r="V590" s="2202">
        <f>'Notes- SK Template'!V593</f>
        <v>0</v>
      </c>
      <c r="W590" s="2202">
        <f>'Notes- SK Template'!W593</f>
        <v>0</v>
      </c>
      <c r="X590" s="2202">
        <f>'Notes- SK Template'!X593</f>
        <v>21</v>
      </c>
      <c r="Y590" s="2202">
        <f>'Notes- SK Template'!Y593</f>
        <v>0</v>
      </c>
      <c r="Z590" s="2202">
        <f>'Notes- SK Template'!Z593</f>
        <v>0</v>
      </c>
      <c r="AA590" s="2202">
        <f>'Notes- SK Template'!AA593</f>
        <v>0</v>
      </c>
      <c r="AB590" s="2202">
        <f>'Notes- SK Template'!AB593</f>
        <v>0</v>
      </c>
      <c r="AC590" s="2202">
        <f>'Notes- SK Template'!AC593</f>
        <v>0</v>
      </c>
      <c r="AD590" s="2202">
        <f>'Notes- SK Template'!AD593</f>
        <v>0</v>
      </c>
      <c r="AE590" s="2202">
        <f>'Notes- SK Template'!AE593</f>
        <v>0</v>
      </c>
      <c r="AF590" s="2202">
        <f>'Notes- SK Template'!AF593</f>
        <v>0</v>
      </c>
      <c r="AG590" s="2202">
        <f>'Notes- SK Template'!AG593</f>
        <v>0</v>
      </c>
    </row>
    <row r="591" spans="4:33" ht="14.25" customHeight="1">
      <c r="D591" s="1818" t="s">
        <v>1902</v>
      </c>
      <c r="E591" s="1818"/>
      <c r="F591" s="1818"/>
      <c r="G591" s="1818"/>
      <c r="H591" s="1818"/>
      <c r="I591" s="1818"/>
      <c r="J591" s="1818"/>
      <c r="K591" s="1818"/>
      <c r="L591" s="1818"/>
      <c r="M591" s="1818"/>
      <c r="N591" s="2202">
        <f>'Notes- SK Template'!N594</f>
        <v>0</v>
      </c>
      <c r="O591" s="2202">
        <f>'Notes- SK Template'!O594</f>
        <v>0</v>
      </c>
      <c r="P591" s="2202">
        <f>'Notes- SK Template'!P594</f>
        <v>0</v>
      </c>
      <c r="Q591" s="2202">
        <f>'Notes- SK Template'!Q594</f>
        <v>0</v>
      </c>
      <c r="R591" s="2202">
        <f>'Notes- SK Template'!R594</f>
        <v>0</v>
      </c>
      <c r="S591" s="2202">
        <f>'Notes- SK Template'!S594</f>
        <v>0</v>
      </c>
      <c r="T591" s="2202">
        <f>'Notes- SK Template'!T594</f>
        <v>0</v>
      </c>
      <c r="U591" s="2202">
        <f>'Notes- SK Template'!U594</f>
        <v>0</v>
      </c>
      <c r="V591" s="2202">
        <f>'Notes- SK Template'!V594</f>
        <v>0</v>
      </c>
      <c r="W591" s="2202">
        <f>'Notes- SK Template'!W594</f>
        <v>0</v>
      </c>
      <c r="X591" s="2202">
        <f>'Notes- SK Template'!X594</f>
        <v>0</v>
      </c>
      <c r="Y591" s="2202">
        <f>'Notes- SK Template'!Y594</f>
        <v>0</v>
      </c>
      <c r="Z591" s="2202">
        <f>'Notes- SK Template'!Z594</f>
        <v>0</v>
      </c>
      <c r="AA591" s="2202">
        <f>'Notes- SK Template'!AA594</f>
        <v>0</v>
      </c>
      <c r="AB591" s="2202">
        <f>'Notes- SK Template'!AB594</f>
        <v>0</v>
      </c>
      <c r="AC591" s="2202">
        <f>'Notes- SK Template'!AC594</f>
        <v>0</v>
      </c>
      <c r="AD591" s="2202">
        <f>'Notes- SK Template'!AD594</f>
        <v>0</v>
      </c>
      <c r="AE591" s="2202">
        <f>'Notes- SK Template'!AE594</f>
        <v>0</v>
      </c>
      <c r="AF591" s="2202">
        <f>'Notes- SK Template'!AF594</f>
        <v>0</v>
      </c>
      <c r="AG591" s="2202">
        <f>'Notes- SK Template'!AG594</f>
        <v>0</v>
      </c>
    </row>
    <row r="592" spans="4:33" ht="14.25" customHeight="1">
      <c r="D592" s="1818" t="s">
        <v>1903</v>
      </c>
      <c r="E592" s="1818"/>
      <c r="F592" s="1818"/>
      <c r="G592" s="1818"/>
      <c r="H592" s="1818"/>
      <c r="I592" s="1818"/>
      <c r="J592" s="1818"/>
      <c r="K592" s="1818"/>
      <c r="L592" s="1818"/>
      <c r="M592" s="1818"/>
      <c r="N592" s="2202">
        <f>'Notes- SK Template'!N595</f>
        <v>0</v>
      </c>
      <c r="O592" s="2202">
        <f>'Notes- SK Template'!O595</f>
        <v>0</v>
      </c>
      <c r="P592" s="2202">
        <f>'Notes- SK Template'!P595</f>
        <v>0</v>
      </c>
      <c r="Q592" s="2202">
        <f>'Notes- SK Template'!Q595</f>
        <v>0</v>
      </c>
      <c r="R592" s="2202">
        <f>'Notes- SK Template'!R595</f>
        <v>0</v>
      </c>
      <c r="S592" s="2202">
        <f>'Notes- SK Template'!S595</f>
        <v>0</v>
      </c>
      <c r="T592" s="2202">
        <f>'Notes- SK Template'!T595</f>
        <v>0</v>
      </c>
      <c r="U592" s="2202">
        <f>'Notes- SK Template'!U595</f>
        <v>0</v>
      </c>
      <c r="V592" s="2202">
        <f>'Notes- SK Template'!V595</f>
        <v>0</v>
      </c>
      <c r="W592" s="2202">
        <f>'Notes- SK Template'!W595</f>
        <v>0</v>
      </c>
      <c r="X592" s="2202">
        <f>'Notes- SK Template'!X595</f>
        <v>0</v>
      </c>
      <c r="Y592" s="2202">
        <f>'Notes- SK Template'!Y595</f>
        <v>0</v>
      </c>
      <c r="Z592" s="2202">
        <f>'Notes- SK Template'!Z595</f>
        <v>0</v>
      </c>
      <c r="AA592" s="2202">
        <f>'Notes- SK Template'!AA595</f>
        <v>0</v>
      </c>
      <c r="AB592" s="2202">
        <f>'Notes- SK Template'!AB595</f>
        <v>0</v>
      </c>
      <c r="AC592" s="2202">
        <f>'Notes- SK Template'!AC595</f>
        <v>0</v>
      </c>
      <c r="AD592" s="2202">
        <f>'Notes- SK Template'!AD595</f>
        <v>0</v>
      </c>
      <c r="AE592" s="2202">
        <f>'Notes- SK Template'!AE595</f>
        <v>0</v>
      </c>
      <c r="AF592" s="2202">
        <f>'Notes- SK Template'!AF595</f>
        <v>0</v>
      </c>
      <c r="AG592" s="2202">
        <f>'Notes- SK Template'!AG595</f>
        <v>0</v>
      </c>
    </row>
    <row r="593" spans="1:33" ht="14.25" customHeight="1">
      <c r="D593" s="1994" t="s">
        <v>2001</v>
      </c>
      <c r="E593" s="1787"/>
      <c r="F593" s="1787"/>
      <c r="G593" s="1787"/>
      <c r="H593" s="1787"/>
      <c r="I593" s="1787"/>
      <c r="J593" s="1787"/>
      <c r="K593" s="1787"/>
      <c r="L593" s="1787"/>
      <c r="M593" s="1787"/>
      <c r="N593" s="1860">
        <f>'Notes- SK Template'!N596</f>
        <v>0</v>
      </c>
      <c r="O593" s="1860">
        <f>'Notes- SK Template'!O596</f>
        <v>0</v>
      </c>
      <c r="P593" s="1860">
        <f>'Notes- SK Template'!P596</f>
        <v>0</v>
      </c>
      <c r="Q593" s="1860">
        <f>'Notes- SK Template'!Q596</f>
        <v>0</v>
      </c>
      <c r="R593" s="1860">
        <f>'Notes- SK Template'!R596</f>
        <v>0</v>
      </c>
      <c r="S593" s="1860">
        <f>'Notes- SK Template'!S596</f>
        <v>0</v>
      </c>
      <c r="T593" s="1860">
        <f>'Notes- SK Template'!T596</f>
        <v>0</v>
      </c>
      <c r="U593" s="1860">
        <f>'Notes- SK Template'!U596</f>
        <v>0</v>
      </c>
      <c r="V593" s="1860">
        <f>'Notes- SK Template'!V596</f>
        <v>0</v>
      </c>
      <c r="W593" s="1860">
        <f>'Notes- SK Template'!W596</f>
        <v>0</v>
      </c>
      <c r="X593" s="1860">
        <f>'Notes- SK Template'!X596</f>
        <v>0</v>
      </c>
      <c r="Y593" s="1860">
        <f>'Notes- SK Template'!Y596</f>
        <v>0</v>
      </c>
      <c r="Z593" s="1860">
        <f>'Notes- SK Template'!Z596</f>
        <v>0</v>
      </c>
      <c r="AA593" s="1860">
        <f>'Notes- SK Template'!AA596</f>
        <v>0</v>
      </c>
      <c r="AB593" s="1860">
        <f>'Notes- SK Template'!AB596</f>
        <v>0</v>
      </c>
      <c r="AC593" s="1860">
        <f>'Notes- SK Template'!AC596</f>
        <v>0</v>
      </c>
      <c r="AD593" s="1860">
        <f>'Notes- SK Template'!AD596</f>
        <v>0</v>
      </c>
      <c r="AE593" s="1860">
        <f>'Notes- SK Template'!AE596</f>
        <v>0</v>
      </c>
      <c r="AF593" s="1860">
        <f>'Notes- SK Template'!AF596</f>
        <v>0</v>
      </c>
      <c r="AG593" s="1860">
        <f>'Notes- SK Template'!AG596</f>
        <v>0</v>
      </c>
    </row>
    <row r="594" spans="1:33" ht="14.25" customHeight="1">
      <c r="D594" s="1787" t="s">
        <v>1904</v>
      </c>
      <c r="E594" s="1787"/>
      <c r="F594" s="1787"/>
      <c r="G594" s="1787"/>
      <c r="H594" s="1787"/>
      <c r="I594" s="1787"/>
      <c r="J594" s="1787"/>
      <c r="K594" s="1787"/>
      <c r="L594" s="1787"/>
      <c r="M594" s="1787"/>
      <c r="N594" s="1860">
        <f>'Notes- SK Template'!N597</f>
        <v>0</v>
      </c>
      <c r="O594" s="1860">
        <f>'Notes- SK Template'!O597</f>
        <v>0</v>
      </c>
      <c r="P594" s="1860">
        <f>'Notes- SK Template'!P597</f>
        <v>0</v>
      </c>
      <c r="Q594" s="1860">
        <f>'Notes- SK Template'!Q597</f>
        <v>0</v>
      </c>
      <c r="R594" s="1860">
        <f>'Notes- SK Template'!R597</f>
        <v>0</v>
      </c>
      <c r="S594" s="1860">
        <f>'Notes- SK Template'!S597</f>
        <v>0</v>
      </c>
      <c r="T594" s="1860">
        <f>'Notes- SK Template'!T597</f>
        <v>0</v>
      </c>
      <c r="U594" s="1860">
        <f>'Notes- SK Template'!U597</f>
        <v>0</v>
      </c>
      <c r="V594" s="1860">
        <f>'Notes- SK Template'!V597</f>
        <v>0</v>
      </c>
      <c r="W594" s="1860">
        <f>'Notes- SK Template'!W597</f>
        <v>0</v>
      </c>
      <c r="X594" s="1860">
        <f>'Notes- SK Template'!X597</f>
        <v>0</v>
      </c>
      <c r="Y594" s="1860">
        <f>'Notes- SK Template'!Y597</f>
        <v>0</v>
      </c>
      <c r="Z594" s="1860">
        <f>'Notes- SK Template'!Z597</f>
        <v>0</v>
      </c>
      <c r="AA594" s="1860">
        <f>'Notes- SK Template'!AA597</f>
        <v>0</v>
      </c>
      <c r="AB594" s="1860">
        <f>'Notes- SK Template'!AB597</f>
        <v>0</v>
      </c>
      <c r="AC594" s="1860">
        <f>'Notes- SK Template'!AC597</f>
        <v>0</v>
      </c>
      <c r="AD594" s="1860">
        <f>'Notes- SK Template'!AD597</f>
        <v>0</v>
      </c>
      <c r="AE594" s="1860">
        <f>'Notes- SK Template'!AE597</f>
        <v>0</v>
      </c>
      <c r="AF594" s="1860">
        <f>'Notes- SK Template'!AF597</f>
        <v>0</v>
      </c>
      <c r="AG594" s="1860">
        <f>'Notes- SK Template'!AG597</f>
        <v>0</v>
      </c>
    </row>
    <row r="595" spans="1:33" ht="14.25" customHeight="1">
      <c r="D595" s="1818" t="s">
        <v>1905</v>
      </c>
      <c r="E595" s="1818"/>
      <c r="F595" s="1818"/>
      <c r="G595" s="1818"/>
      <c r="H595" s="1818"/>
      <c r="I595" s="1818"/>
      <c r="J595" s="1818"/>
      <c r="K595" s="1818"/>
      <c r="L595" s="1818"/>
      <c r="M595" s="1818"/>
      <c r="N595" s="2202">
        <f>'Notes- SK Template'!N598</f>
        <v>-301023.92</v>
      </c>
      <c r="O595" s="2202">
        <f>'Notes- SK Template'!O598</f>
        <v>0</v>
      </c>
      <c r="P595" s="2202">
        <f>'Notes- SK Template'!P598</f>
        <v>0</v>
      </c>
      <c r="Q595" s="2202">
        <f>'Notes- SK Template'!Q598</f>
        <v>0</v>
      </c>
      <c r="R595" s="2202">
        <f>'Notes- SK Template'!R598</f>
        <v>0</v>
      </c>
      <c r="S595" s="2202">
        <f>'Notes- SK Template'!S598</f>
        <v>0</v>
      </c>
      <c r="T595" s="2202">
        <f>'Notes- SK Template'!T598</f>
        <v>0</v>
      </c>
      <c r="U595" s="2202">
        <f>'Notes- SK Template'!U598</f>
        <v>0</v>
      </c>
      <c r="V595" s="2202">
        <f>'Notes- SK Template'!V598</f>
        <v>0</v>
      </c>
      <c r="W595" s="2202">
        <f>'Notes- SK Template'!W598</f>
        <v>0</v>
      </c>
      <c r="X595" s="2202">
        <f>'Notes- SK Template'!X598</f>
        <v>-372864.45</v>
      </c>
      <c r="Y595" s="2202">
        <f>'Notes- SK Template'!Y598</f>
        <v>0</v>
      </c>
      <c r="Z595" s="2202">
        <f>'Notes- SK Template'!Z598</f>
        <v>0</v>
      </c>
      <c r="AA595" s="2202">
        <f>'Notes- SK Template'!AA598</f>
        <v>0</v>
      </c>
      <c r="AB595" s="2202">
        <f>'Notes- SK Template'!AB598</f>
        <v>0</v>
      </c>
      <c r="AC595" s="2202">
        <f>'Notes- SK Template'!AC598</f>
        <v>0</v>
      </c>
      <c r="AD595" s="2202">
        <f>'Notes- SK Template'!AD598</f>
        <v>0</v>
      </c>
      <c r="AE595" s="2202">
        <f>'Notes- SK Template'!AE598</f>
        <v>0</v>
      </c>
      <c r="AF595" s="2202">
        <f>'Notes- SK Template'!AF598</f>
        <v>0</v>
      </c>
      <c r="AG595" s="2202">
        <f>'Notes- SK Template'!AG598</f>
        <v>0</v>
      </c>
    </row>
    <row r="596" spans="1:33" ht="14.25" customHeight="1">
      <c r="D596" s="1818" t="s">
        <v>1906</v>
      </c>
      <c r="E596" s="1818"/>
      <c r="F596" s="1818"/>
      <c r="G596" s="1818"/>
      <c r="H596" s="1818"/>
      <c r="I596" s="1818"/>
      <c r="J596" s="1818"/>
      <c r="K596" s="1818"/>
      <c r="L596" s="1818"/>
      <c r="M596" s="1818"/>
      <c r="N596" s="2202">
        <f>'Notes- SK Template'!N599</f>
        <v>71840.530000000028</v>
      </c>
      <c r="O596" s="2202">
        <f>'Notes- SK Template'!O599</f>
        <v>0</v>
      </c>
      <c r="P596" s="2202">
        <f>'Notes- SK Template'!P599</f>
        <v>0</v>
      </c>
      <c r="Q596" s="2202">
        <f>'Notes- SK Template'!Q599</f>
        <v>0</v>
      </c>
      <c r="R596" s="2202">
        <f>'Notes- SK Template'!R599</f>
        <v>0</v>
      </c>
      <c r="S596" s="2202">
        <f>'Notes- SK Template'!S599</f>
        <v>0</v>
      </c>
      <c r="T596" s="2202">
        <f>'Notes- SK Template'!T599</f>
        <v>0</v>
      </c>
      <c r="U596" s="2202">
        <f>'Notes- SK Template'!U599</f>
        <v>0</v>
      </c>
      <c r="V596" s="2202">
        <f>'Notes- SK Template'!V599</f>
        <v>0</v>
      </c>
      <c r="W596" s="2202">
        <f>'Notes- SK Template'!W599</f>
        <v>0</v>
      </c>
      <c r="X596" s="2202">
        <f>'Notes- SK Template'!X599</f>
        <v>90845</v>
      </c>
      <c r="Y596" s="2202">
        <f>'Notes- SK Template'!Y599</f>
        <v>0</v>
      </c>
      <c r="Z596" s="2202">
        <f>'Notes- SK Template'!Z599</f>
        <v>0</v>
      </c>
      <c r="AA596" s="2202">
        <f>'Notes- SK Template'!AA599</f>
        <v>0</v>
      </c>
      <c r="AB596" s="2202">
        <f>'Notes- SK Template'!AB599</f>
        <v>0</v>
      </c>
      <c r="AC596" s="2202">
        <f>'Notes- SK Template'!AC599</f>
        <v>0</v>
      </c>
      <c r="AD596" s="2202">
        <f>'Notes- SK Template'!AD599</f>
        <v>0</v>
      </c>
      <c r="AE596" s="2202">
        <f>'Notes- SK Template'!AE599</f>
        <v>0</v>
      </c>
      <c r="AF596" s="2202">
        <f>'Notes- SK Template'!AF599</f>
        <v>0</v>
      </c>
      <c r="AG596" s="2202">
        <f>'Notes- SK Template'!AG599</f>
        <v>0</v>
      </c>
    </row>
    <row r="597" spans="1:33" ht="14.25" customHeight="1">
      <c r="D597" s="1787" t="s">
        <v>1907</v>
      </c>
      <c r="E597" s="1787"/>
      <c r="F597" s="1787"/>
      <c r="G597" s="1787"/>
      <c r="H597" s="1787"/>
      <c r="I597" s="1787"/>
      <c r="J597" s="1787"/>
      <c r="K597" s="1787"/>
      <c r="L597" s="1787"/>
      <c r="M597" s="1787"/>
      <c r="N597" s="1860">
        <f>'Notes- SK Template'!N600</f>
        <v>71840</v>
      </c>
      <c r="O597" s="1860">
        <f>'Notes- SK Template'!O600</f>
        <v>0</v>
      </c>
      <c r="P597" s="1860">
        <f>'Notes- SK Template'!P600</f>
        <v>0</v>
      </c>
      <c r="Q597" s="1860">
        <f>'Notes- SK Template'!Q600</f>
        <v>0</v>
      </c>
      <c r="R597" s="1860">
        <f>'Notes- SK Template'!R600</f>
        <v>0</v>
      </c>
      <c r="S597" s="1860">
        <f>'Notes- SK Template'!S600</f>
        <v>0</v>
      </c>
      <c r="T597" s="1860">
        <f>'Notes- SK Template'!T600</f>
        <v>0</v>
      </c>
      <c r="U597" s="1860">
        <f>'Notes- SK Template'!U600</f>
        <v>0</v>
      </c>
      <c r="V597" s="1860">
        <f>'Notes- SK Template'!V600</f>
        <v>0</v>
      </c>
      <c r="W597" s="1860">
        <f>'Notes- SK Template'!W600</f>
        <v>0</v>
      </c>
      <c r="X597" s="1860">
        <f>'Notes- SK Template'!X600</f>
        <v>90845</v>
      </c>
      <c r="Y597" s="1860">
        <f>'Notes- SK Template'!Y600</f>
        <v>0</v>
      </c>
      <c r="Z597" s="1860">
        <f>'Notes- SK Template'!Z600</f>
        <v>0</v>
      </c>
      <c r="AA597" s="1860">
        <f>'Notes- SK Template'!AA600</f>
        <v>0</v>
      </c>
      <c r="AB597" s="1860">
        <f>'Notes- SK Template'!AB600</f>
        <v>0</v>
      </c>
      <c r="AC597" s="1860">
        <f>'Notes- SK Template'!AC600</f>
        <v>0</v>
      </c>
      <c r="AD597" s="1860">
        <f>'Notes- SK Template'!AD600</f>
        <v>0</v>
      </c>
      <c r="AE597" s="1860">
        <f>'Notes- SK Template'!AE600</f>
        <v>0</v>
      </c>
      <c r="AF597" s="1860">
        <f>'Notes- SK Template'!AF600</f>
        <v>0</v>
      </c>
      <c r="AG597" s="1860">
        <f>'Notes- SK Template'!AG600</f>
        <v>0</v>
      </c>
    </row>
    <row r="598" spans="1:33" ht="14.25" customHeight="1">
      <c r="D598" s="1787" t="s">
        <v>1904</v>
      </c>
      <c r="E598" s="1787"/>
      <c r="F598" s="1787"/>
      <c r="G598" s="1787"/>
      <c r="H598" s="1787"/>
      <c r="I598" s="1787"/>
      <c r="J598" s="1787"/>
      <c r="K598" s="1787"/>
      <c r="L598" s="1787"/>
      <c r="M598" s="1787"/>
      <c r="N598" s="1860">
        <f>'Notes- SK Template'!N601</f>
        <v>0</v>
      </c>
      <c r="O598" s="1860">
        <f>'Notes- SK Template'!O601</f>
        <v>0</v>
      </c>
      <c r="P598" s="1860">
        <f>'Notes- SK Template'!P601</f>
        <v>0</v>
      </c>
      <c r="Q598" s="1860">
        <f>'Notes- SK Template'!Q601</f>
        <v>0</v>
      </c>
      <c r="R598" s="1860">
        <f>'Notes- SK Template'!R601</f>
        <v>0</v>
      </c>
      <c r="S598" s="1860">
        <f>'Notes- SK Template'!S601</f>
        <v>0</v>
      </c>
      <c r="T598" s="1860">
        <f>'Notes- SK Template'!T601</f>
        <v>0</v>
      </c>
      <c r="U598" s="1860">
        <f>'Notes- SK Template'!U601</f>
        <v>0</v>
      </c>
      <c r="V598" s="1860">
        <f>'Notes- SK Template'!V601</f>
        <v>0</v>
      </c>
      <c r="W598" s="1860">
        <f>'Notes- SK Template'!W601</f>
        <v>0</v>
      </c>
      <c r="X598" s="1860">
        <f>'Notes- SK Template'!X601</f>
        <v>0</v>
      </c>
      <c r="Y598" s="1860">
        <f>'Notes- SK Template'!Y601</f>
        <v>0</v>
      </c>
      <c r="Z598" s="1860">
        <f>'Notes- SK Template'!Z601</f>
        <v>0</v>
      </c>
      <c r="AA598" s="1860">
        <f>'Notes- SK Template'!AA601</f>
        <v>0</v>
      </c>
      <c r="AB598" s="1860">
        <f>'Notes- SK Template'!AB601</f>
        <v>0</v>
      </c>
      <c r="AC598" s="1860">
        <f>'Notes- SK Template'!AC601</f>
        <v>0</v>
      </c>
      <c r="AD598" s="1860">
        <f>'Notes- SK Template'!AD601</f>
        <v>0</v>
      </c>
      <c r="AE598" s="1860">
        <f>'Notes- SK Template'!AE601</f>
        <v>0</v>
      </c>
      <c r="AF598" s="1860">
        <f>'Notes- SK Template'!AF601</f>
        <v>0</v>
      </c>
      <c r="AG598" s="1860">
        <f>'Notes- SK Template'!AG601</f>
        <v>0</v>
      </c>
    </row>
    <row r="599" spans="1:33" ht="14.25" customHeight="1" thickBot="1">
      <c r="D599" s="2007" t="s">
        <v>1882</v>
      </c>
      <c r="E599" s="1942"/>
      <c r="F599" s="1942"/>
      <c r="G599" s="1942"/>
      <c r="H599" s="1942"/>
      <c r="I599" s="1942"/>
      <c r="J599" s="1942"/>
      <c r="K599" s="1942"/>
      <c r="L599" s="1942"/>
      <c r="M599" s="1942"/>
      <c r="N599" s="1931">
        <f>'Notes- SK Template'!N602</f>
        <v>0</v>
      </c>
      <c r="O599" s="1931">
        <f>'Notes- SK Template'!O602</f>
        <v>0</v>
      </c>
      <c r="P599" s="1931">
        <f>'Notes- SK Template'!P602</f>
        <v>0</v>
      </c>
      <c r="Q599" s="1931">
        <f>'Notes- SK Template'!Q602</f>
        <v>0</v>
      </c>
      <c r="R599" s="1931">
        <f>'Notes- SK Template'!R602</f>
        <v>0</v>
      </c>
      <c r="S599" s="1931">
        <f>'Notes- SK Template'!S602</f>
        <v>0</v>
      </c>
      <c r="T599" s="1931">
        <f>'Notes- SK Template'!T602</f>
        <v>0</v>
      </c>
      <c r="U599" s="1931">
        <f>'Notes- SK Template'!U602</f>
        <v>0</v>
      </c>
      <c r="V599" s="1931">
        <f>'Notes- SK Template'!V602</f>
        <v>0</v>
      </c>
      <c r="W599" s="1931">
        <f>'Notes- SK Template'!W602</f>
        <v>0</v>
      </c>
      <c r="X599" s="1931">
        <f>'Notes- SK Template'!X602</f>
        <v>0</v>
      </c>
      <c r="Y599" s="1931">
        <f>'Notes- SK Template'!Y602</f>
        <v>0</v>
      </c>
      <c r="Z599" s="1931">
        <f>'Notes- SK Template'!Z602</f>
        <v>0</v>
      </c>
      <c r="AA599" s="1931">
        <f>'Notes- SK Template'!AA602</f>
        <v>0</v>
      </c>
      <c r="AB599" s="1931">
        <f>'Notes- SK Template'!AB602</f>
        <v>0</v>
      </c>
      <c r="AC599" s="1931">
        <f>'Notes- SK Template'!AC602</f>
        <v>0</v>
      </c>
      <c r="AD599" s="1931">
        <f>'Notes- SK Template'!AD602</f>
        <v>0</v>
      </c>
      <c r="AE599" s="1931">
        <f>'Notes- SK Template'!AE602</f>
        <v>0</v>
      </c>
      <c r="AF599" s="1931">
        <f>'Notes- SK Template'!AF602</f>
        <v>0</v>
      </c>
      <c r="AG599" s="1931">
        <f>'Notes- SK Template'!AG602</f>
        <v>0</v>
      </c>
    </row>
    <row r="601" spans="1:33" ht="14.25" customHeight="1">
      <c r="D601" s="582" t="s">
        <v>3061</v>
      </c>
    </row>
    <row r="602" spans="1:33" ht="14.25" customHeight="1">
      <c r="D602" s="1963"/>
      <c r="E602" s="1963"/>
      <c r="F602" s="1963"/>
      <c r="G602" s="1963"/>
      <c r="H602" s="1963"/>
      <c r="I602" s="1963"/>
      <c r="J602" s="1963"/>
      <c r="K602" s="1963"/>
      <c r="L602" s="1963"/>
      <c r="M602" s="1963"/>
      <c r="N602" s="1963"/>
      <c r="O602" s="1963"/>
      <c r="P602" s="1963"/>
      <c r="Q602" s="1963"/>
      <c r="R602" s="1963"/>
      <c r="S602" s="1963"/>
      <c r="T602" s="1963"/>
      <c r="U602" s="1963"/>
      <c r="V602" s="1963"/>
      <c r="W602" s="1963"/>
      <c r="X602" s="1963"/>
      <c r="Y602" s="1963"/>
      <c r="Z602" s="1963"/>
      <c r="AA602" s="1963"/>
      <c r="AB602" s="1963"/>
      <c r="AC602" s="1963"/>
      <c r="AD602" s="1963"/>
      <c r="AE602" s="1963"/>
      <c r="AF602" s="1963"/>
      <c r="AG602" s="1963"/>
    </row>
    <row r="603" spans="1:33" ht="14.25" customHeight="1">
      <c r="D603" s="1809" t="s">
        <v>2006</v>
      </c>
      <c r="E603" s="1963"/>
      <c r="F603" s="1963"/>
      <c r="G603" s="1963"/>
      <c r="H603" s="1963"/>
      <c r="I603" s="1963"/>
      <c r="J603" s="1963"/>
      <c r="K603" s="1963"/>
      <c r="L603" s="1963"/>
      <c r="M603" s="1963"/>
      <c r="N603" s="1963"/>
      <c r="O603" s="1963"/>
      <c r="P603" s="1963"/>
      <c r="Q603" s="1963"/>
      <c r="R603" s="1963"/>
      <c r="S603" s="1963"/>
      <c r="T603" s="1963"/>
      <c r="U603" s="1963"/>
      <c r="V603" s="1963"/>
      <c r="W603" s="1963"/>
      <c r="X603" s="1963"/>
      <c r="Y603" s="1963"/>
      <c r="Z603" s="1963"/>
      <c r="AA603" s="1963"/>
      <c r="AB603" s="1963"/>
      <c r="AC603" s="1963"/>
      <c r="AD603" s="1963"/>
      <c r="AE603" s="1963"/>
      <c r="AF603" s="1963"/>
      <c r="AG603" s="1963"/>
    </row>
    <row r="604" spans="1:33" ht="14.25" customHeight="1" thickBot="1"/>
    <row r="605" spans="1:33" ht="28.5" customHeight="1" thickBot="1">
      <c r="A605" s="597">
        <v>27</v>
      </c>
      <c r="D605" s="1995" t="s">
        <v>1740</v>
      </c>
      <c r="E605" s="1996"/>
      <c r="F605" s="1996"/>
      <c r="G605" s="1996"/>
      <c r="H605" s="1996"/>
      <c r="I605" s="1996"/>
      <c r="J605" s="1996"/>
      <c r="K605" s="1996"/>
      <c r="L605" s="1996"/>
      <c r="M605" s="1997"/>
      <c r="N605" s="1995" t="s">
        <v>1741</v>
      </c>
      <c r="O605" s="1996"/>
      <c r="P605" s="1996"/>
      <c r="Q605" s="1996"/>
      <c r="R605" s="1996"/>
      <c r="S605" s="1996"/>
      <c r="T605" s="1996"/>
      <c r="U605" s="1996"/>
      <c r="V605" s="1996"/>
      <c r="W605" s="1997"/>
      <c r="X605" s="1995" t="s">
        <v>1863</v>
      </c>
      <c r="Y605" s="1996"/>
      <c r="Z605" s="1996"/>
      <c r="AA605" s="1996"/>
      <c r="AB605" s="1996"/>
      <c r="AC605" s="1996"/>
      <c r="AD605" s="1996"/>
      <c r="AE605" s="1996"/>
      <c r="AF605" s="1996"/>
      <c r="AG605" s="1997"/>
    </row>
    <row r="606" spans="1:33" ht="18.75" customHeight="1">
      <c r="D606" s="2002" t="s">
        <v>1908</v>
      </c>
      <c r="E606" s="2003"/>
      <c r="F606" s="2003"/>
      <c r="G606" s="2003"/>
      <c r="H606" s="2003"/>
      <c r="I606" s="2003"/>
      <c r="J606" s="2003"/>
      <c r="K606" s="2003"/>
      <c r="L606" s="2003"/>
      <c r="M606" s="2004"/>
      <c r="N606" s="2005">
        <f>'Notes- SK Template'!N609</f>
        <v>18257</v>
      </c>
      <c r="O606" s="2006">
        <f>'Notes- SK Template'!O609</f>
        <v>0</v>
      </c>
      <c r="P606" s="2006">
        <f>'Notes- SK Template'!P609</f>
        <v>0</v>
      </c>
      <c r="Q606" s="2006">
        <f>'Notes- SK Template'!Q609</f>
        <v>0</v>
      </c>
      <c r="R606" s="2006">
        <f>'Notes- SK Template'!R609</f>
        <v>0</v>
      </c>
      <c r="S606" s="2006">
        <f>'Notes- SK Template'!S609</f>
        <v>0</v>
      </c>
      <c r="T606" s="2006">
        <f>'Notes- SK Template'!T609</f>
        <v>0</v>
      </c>
      <c r="U606" s="2006">
        <f>'Notes- SK Template'!U609</f>
        <v>0</v>
      </c>
      <c r="V606" s="2006">
        <f>'Notes- SK Template'!V609</f>
        <v>0</v>
      </c>
      <c r="W606" s="2006">
        <f>'Notes- SK Template'!W609</f>
        <v>0</v>
      </c>
      <c r="X606" s="2006">
        <f>'Notes- SK Template'!X609</f>
        <v>17084</v>
      </c>
      <c r="Y606" s="2006">
        <f>'Notes- SK Template'!Y609</f>
        <v>0</v>
      </c>
      <c r="Z606" s="2006">
        <f>'Notes- SK Template'!Z609</f>
        <v>0</v>
      </c>
      <c r="AA606" s="2006">
        <f>'Notes- SK Template'!AA609</f>
        <v>0</v>
      </c>
      <c r="AB606" s="2006">
        <f>'Notes- SK Template'!AB609</f>
        <v>0</v>
      </c>
      <c r="AC606" s="2006">
        <f>'Notes- SK Template'!AC609</f>
        <v>0</v>
      </c>
      <c r="AD606" s="2006">
        <f>'Notes- SK Template'!AD609</f>
        <v>0</v>
      </c>
      <c r="AE606" s="2006">
        <f>'Notes- SK Template'!AE609</f>
        <v>0</v>
      </c>
      <c r="AF606" s="2006">
        <f>'Notes- SK Template'!AF609</f>
        <v>0</v>
      </c>
      <c r="AG606" s="2006">
        <f>'Notes- SK Template'!AG609</f>
        <v>0</v>
      </c>
    </row>
    <row r="607" spans="1:33" ht="18.75" customHeight="1">
      <c r="D607" s="1915" t="s">
        <v>1909</v>
      </c>
      <c r="E607" s="1916"/>
      <c r="F607" s="1916"/>
      <c r="G607" s="1916"/>
      <c r="H607" s="1916"/>
      <c r="I607" s="1916"/>
      <c r="J607" s="1916"/>
      <c r="K607" s="1916"/>
      <c r="L607" s="1916"/>
      <c r="M607" s="1917"/>
      <c r="N607" s="1914">
        <f>'Notes- SK Template'!N610</f>
        <v>7019</v>
      </c>
      <c r="O607" s="1860">
        <f>'Notes- SK Template'!O610</f>
        <v>0</v>
      </c>
      <c r="P607" s="1860">
        <f>'Notes- SK Template'!P610</f>
        <v>0</v>
      </c>
      <c r="Q607" s="1860">
        <f>'Notes- SK Template'!Q610</f>
        <v>0</v>
      </c>
      <c r="R607" s="1860">
        <f>'Notes- SK Template'!R610</f>
        <v>0</v>
      </c>
      <c r="S607" s="1860">
        <f>'Notes- SK Template'!S610</f>
        <v>0</v>
      </c>
      <c r="T607" s="1860">
        <f>'Notes- SK Template'!T610</f>
        <v>0</v>
      </c>
      <c r="U607" s="1860">
        <f>'Notes- SK Template'!U610</f>
        <v>0</v>
      </c>
      <c r="V607" s="1860">
        <f>'Notes- SK Template'!V610</f>
        <v>0</v>
      </c>
      <c r="W607" s="1860">
        <f>'Notes- SK Template'!W610</f>
        <v>0</v>
      </c>
      <c r="X607" s="1912">
        <f>'Notes- SK Template'!X610</f>
        <v>9287</v>
      </c>
      <c r="Y607" s="1913">
        <f>'Notes- SK Template'!Y610</f>
        <v>0</v>
      </c>
      <c r="Z607" s="1913">
        <f>'Notes- SK Template'!Z610</f>
        <v>0</v>
      </c>
      <c r="AA607" s="1913">
        <f>'Notes- SK Template'!AA610</f>
        <v>0</v>
      </c>
      <c r="AB607" s="1913">
        <f>'Notes- SK Template'!AB610</f>
        <v>0</v>
      </c>
      <c r="AC607" s="1913">
        <f>'Notes- SK Template'!AC610</f>
        <v>0</v>
      </c>
      <c r="AD607" s="1913">
        <f>'Notes- SK Template'!AD610</f>
        <v>0</v>
      </c>
      <c r="AE607" s="1913">
        <f>'Notes- SK Template'!AE610</f>
        <v>0</v>
      </c>
      <c r="AF607" s="1913">
        <f>'Notes- SK Template'!AF610</f>
        <v>0</v>
      </c>
      <c r="AG607" s="1914">
        <f>'Notes- SK Template'!AG610</f>
        <v>0</v>
      </c>
    </row>
    <row r="608" spans="1:33" ht="18.75" customHeight="1">
      <c r="D608" s="1915" t="s">
        <v>1910</v>
      </c>
      <c r="E608" s="1916"/>
      <c r="F608" s="1916"/>
      <c r="G608" s="1916"/>
      <c r="H608" s="1916"/>
      <c r="I608" s="1916"/>
      <c r="J608" s="1916"/>
      <c r="K608" s="1916"/>
      <c r="L608" s="1916"/>
      <c r="M608" s="1917"/>
      <c r="N608" s="1914"/>
      <c r="O608" s="1860"/>
      <c r="P608" s="1860"/>
      <c r="Q608" s="1860"/>
      <c r="R608" s="1860"/>
      <c r="S608" s="1860"/>
      <c r="T608" s="1860"/>
      <c r="U608" s="1860"/>
      <c r="V608" s="1860"/>
      <c r="W608" s="1860"/>
      <c r="X608" s="1912"/>
      <c r="Y608" s="1913"/>
      <c r="Z608" s="1913"/>
      <c r="AA608" s="1913"/>
      <c r="AB608" s="1913"/>
      <c r="AC608" s="1913"/>
      <c r="AD608" s="1913"/>
      <c r="AE608" s="1913"/>
      <c r="AF608" s="1913"/>
      <c r="AG608" s="1914"/>
    </row>
    <row r="609" spans="1:33" ht="18.75" customHeight="1">
      <c r="D609" s="1915" t="s">
        <v>1911</v>
      </c>
      <c r="E609" s="1916"/>
      <c r="F609" s="1916"/>
      <c r="G609" s="1916"/>
      <c r="H609" s="1916"/>
      <c r="I609" s="1916"/>
      <c r="J609" s="1916"/>
      <c r="K609" s="1916"/>
      <c r="L609" s="1916"/>
      <c r="M609" s="1917"/>
      <c r="N609" s="1914"/>
      <c r="O609" s="1860"/>
      <c r="P609" s="1860"/>
      <c r="Q609" s="1860"/>
      <c r="R609" s="1860"/>
      <c r="S609" s="1860"/>
      <c r="T609" s="1860"/>
      <c r="U609" s="1860"/>
      <c r="V609" s="1860"/>
      <c r="W609" s="1860"/>
      <c r="X609" s="1912"/>
      <c r="Y609" s="1913"/>
      <c r="Z609" s="1913"/>
      <c r="AA609" s="1913"/>
      <c r="AB609" s="1913"/>
      <c r="AC609" s="1913"/>
      <c r="AD609" s="1913"/>
      <c r="AE609" s="1913"/>
      <c r="AF609" s="1913"/>
      <c r="AG609" s="1914"/>
    </row>
    <row r="610" spans="1:33" ht="18.75" customHeight="1">
      <c r="D610" s="1964" t="s">
        <v>1912</v>
      </c>
      <c r="E610" s="1965"/>
      <c r="F610" s="1965"/>
      <c r="G610" s="1965"/>
      <c r="H610" s="1965"/>
      <c r="I610" s="1965"/>
      <c r="J610" s="1965"/>
      <c r="K610" s="1965"/>
      <c r="L610" s="1965"/>
      <c r="M610" s="1966"/>
      <c r="N610" s="1920">
        <f>'Notes- SK Template'!N613</f>
        <v>7019</v>
      </c>
      <c r="O610" s="1825">
        <f>'Notes- SK Template'!O613</f>
        <v>0</v>
      </c>
      <c r="P610" s="1825">
        <f>'Notes- SK Template'!P613</f>
        <v>0</v>
      </c>
      <c r="Q610" s="1825">
        <f>'Notes- SK Template'!Q613</f>
        <v>0</v>
      </c>
      <c r="R610" s="1825">
        <f>'Notes- SK Template'!R613</f>
        <v>0</v>
      </c>
      <c r="S610" s="1825">
        <f>'Notes- SK Template'!S613</f>
        <v>0</v>
      </c>
      <c r="T610" s="1825">
        <f>'Notes- SK Template'!T613</f>
        <v>0</v>
      </c>
      <c r="U610" s="1825">
        <f>'Notes- SK Template'!U613</f>
        <v>0</v>
      </c>
      <c r="V610" s="1825">
        <f>'Notes- SK Template'!V613</f>
        <v>0</v>
      </c>
      <c r="W610" s="1825">
        <f>'Notes- SK Template'!W613</f>
        <v>0</v>
      </c>
      <c r="X610" s="1920">
        <f>'Notes- SK Template'!X613</f>
        <v>9287</v>
      </c>
      <c r="Y610" s="1825">
        <f>'Notes- SK Template'!Y613</f>
        <v>0</v>
      </c>
      <c r="Z610" s="1825">
        <f>'Notes- SK Template'!Z613</f>
        <v>0</v>
      </c>
      <c r="AA610" s="1825">
        <f>'Notes- SK Template'!AA613</f>
        <v>0</v>
      </c>
      <c r="AB610" s="1825">
        <f>'Notes- SK Template'!AB613</f>
        <v>0</v>
      </c>
      <c r="AC610" s="1825">
        <f>'Notes- SK Template'!AC613</f>
        <v>0</v>
      </c>
      <c r="AD610" s="1825">
        <f>'Notes- SK Template'!AD613</f>
        <v>0</v>
      </c>
      <c r="AE610" s="1825">
        <f>'Notes- SK Template'!AE613</f>
        <v>0</v>
      </c>
      <c r="AF610" s="1825">
        <f>'Notes- SK Template'!AF613</f>
        <v>0</v>
      </c>
      <c r="AG610" s="1825">
        <f>'Notes- SK Template'!AG613</f>
        <v>0</v>
      </c>
    </row>
    <row r="611" spans="1:33" ht="18.75" customHeight="1">
      <c r="D611" s="1964" t="s">
        <v>1913</v>
      </c>
      <c r="E611" s="1965"/>
      <c r="F611" s="1965"/>
      <c r="G611" s="1965"/>
      <c r="H611" s="1965"/>
      <c r="I611" s="1965"/>
      <c r="J611" s="1965"/>
      <c r="K611" s="1965"/>
      <c r="L611" s="1965"/>
      <c r="M611" s="1966"/>
      <c r="N611" s="1914">
        <f>'Notes- SK Template'!N614</f>
        <v>-12349</v>
      </c>
      <c r="O611" s="1860">
        <f>'Notes- SK Template'!O614</f>
        <v>0</v>
      </c>
      <c r="P611" s="1860">
        <f>'Notes- SK Template'!P614</f>
        <v>0</v>
      </c>
      <c r="Q611" s="1860">
        <f>'Notes- SK Template'!Q614</f>
        <v>0</v>
      </c>
      <c r="R611" s="1860">
        <f>'Notes- SK Template'!R614</f>
        <v>0</v>
      </c>
      <c r="S611" s="1860">
        <f>'Notes- SK Template'!S614</f>
        <v>0</v>
      </c>
      <c r="T611" s="1860">
        <f>'Notes- SK Template'!T614</f>
        <v>0</v>
      </c>
      <c r="U611" s="1860">
        <f>'Notes- SK Template'!U614</f>
        <v>0</v>
      </c>
      <c r="V611" s="1860">
        <f>'Notes- SK Template'!V614</f>
        <v>0</v>
      </c>
      <c r="W611" s="1860">
        <f>'Notes- SK Template'!W614</f>
        <v>0</v>
      </c>
      <c r="X611" s="1912">
        <f>'Notes- SK Template'!X614</f>
        <v>-8114</v>
      </c>
      <c r="Y611" s="1913">
        <f>'Notes- SK Template'!Y614</f>
        <v>0</v>
      </c>
      <c r="Z611" s="1913">
        <f>'Notes- SK Template'!Z614</f>
        <v>0</v>
      </c>
      <c r="AA611" s="1913">
        <f>'Notes- SK Template'!AA614</f>
        <v>0</v>
      </c>
      <c r="AB611" s="1913">
        <f>'Notes- SK Template'!AB614</f>
        <v>0</v>
      </c>
      <c r="AC611" s="1913">
        <f>'Notes- SK Template'!AC614</f>
        <v>0</v>
      </c>
      <c r="AD611" s="1913">
        <f>'Notes- SK Template'!AD614</f>
        <v>0</v>
      </c>
      <c r="AE611" s="1913">
        <f>'Notes- SK Template'!AE614</f>
        <v>0</v>
      </c>
      <c r="AF611" s="1913">
        <f>'Notes- SK Template'!AF614</f>
        <v>0</v>
      </c>
      <c r="AG611" s="1914">
        <f>'Notes- SK Template'!AG614</f>
        <v>0</v>
      </c>
    </row>
    <row r="612" spans="1:33" ht="18.75" customHeight="1" thickBot="1">
      <c r="D612" s="1967" t="s">
        <v>1914</v>
      </c>
      <c r="E612" s="1968"/>
      <c r="F612" s="1968"/>
      <c r="G612" s="1968"/>
      <c r="H612" s="1968"/>
      <c r="I612" s="1968"/>
      <c r="J612" s="1968"/>
      <c r="K612" s="1968"/>
      <c r="L612" s="1968"/>
      <c r="M612" s="1969"/>
      <c r="N612" s="1970">
        <f>'Notes- SK Template'!N615</f>
        <v>12927</v>
      </c>
      <c r="O612" s="1971">
        <f>'Notes- SK Template'!O615</f>
        <v>0</v>
      </c>
      <c r="P612" s="1971">
        <f>'Notes- SK Template'!P615</f>
        <v>0</v>
      </c>
      <c r="Q612" s="1971">
        <f>'Notes- SK Template'!Q615</f>
        <v>0</v>
      </c>
      <c r="R612" s="1971">
        <f>'Notes- SK Template'!R615</f>
        <v>0</v>
      </c>
      <c r="S612" s="1971">
        <f>'Notes- SK Template'!S615</f>
        <v>0</v>
      </c>
      <c r="T612" s="1971">
        <f>'Notes- SK Template'!T615</f>
        <v>0</v>
      </c>
      <c r="U612" s="1971">
        <f>'Notes- SK Template'!U615</f>
        <v>0</v>
      </c>
      <c r="V612" s="1971">
        <f>'Notes- SK Template'!V615</f>
        <v>0</v>
      </c>
      <c r="W612" s="1971">
        <f>'Notes- SK Template'!W615</f>
        <v>0</v>
      </c>
      <c r="X612" s="1970">
        <f>'Notes- SK Template'!X615</f>
        <v>18257</v>
      </c>
      <c r="Y612" s="1971">
        <f>'Notes- SK Template'!Y615</f>
        <v>0</v>
      </c>
      <c r="Z612" s="1971">
        <f>'Notes- SK Template'!Z615</f>
        <v>0</v>
      </c>
      <c r="AA612" s="1971">
        <f>'Notes- SK Template'!AA615</f>
        <v>0</v>
      </c>
      <c r="AB612" s="1971">
        <f>'Notes- SK Template'!AB615</f>
        <v>0</v>
      </c>
      <c r="AC612" s="1971">
        <f>'Notes- SK Template'!AC615</f>
        <v>0</v>
      </c>
      <c r="AD612" s="1971">
        <f>'Notes- SK Template'!AD615</f>
        <v>0</v>
      </c>
      <c r="AE612" s="1971">
        <f>'Notes- SK Template'!AE615</f>
        <v>0</v>
      </c>
      <c r="AF612" s="1971">
        <f>'Notes- SK Template'!AF615</f>
        <v>0</v>
      </c>
      <c r="AG612" s="1971">
        <f>'Notes- SK Template'!AG615</f>
        <v>0</v>
      </c>
    </row>
    <row r="615" spans="1:33" ht="14.25" customHeight="1">
      <c r="D615" s="582" t="s">
        <v>3062</v>
      </c>
    </row>
    <row r="617" spans="1:33" ht="14.25" customHeight="1">
      <c r="D617" s="1809" t="s">
        <v>1915</v>
      </c>
      <c r="E617" s="1963"/>
      <c r="F617" s="1963"/>
      <c r="G617" s="1963"/>
      <c r="H617" s="1963"/>
      <c r="I617" s="1963"/>
      <c r="J617" s="1963"/>
      <c r="K617" s="1963"/>
      <c r="L617" s="1963"/>
      <c r="M617" s="1963"/>
      <c r="N617" s="1963"/>
      <c r="O617" s="1963"/>
      <c r="P617" s="1963"/>
      <c r="Q617" s="1963"/>
      <c r="R617" s="1963"/>
      <c r="S617" s="1963"/>
      <c r="T617" s="1963"/>
      <c r="U617" s="1963"/>
      <c r="V617" s="1963"/>
      <c r="W617" s="1963"/>
      <c r="X617" s="1963"/>
      <c r="Y617" s="1963"/>
      <c r="Z617" s="1963"/>
      <c r="AA617" s="1963"/>
      <c r="AB617" s="1963"/>
      <c r="AC617" s="1963"/>
      <c r="AD617" s="1963"/>
      <c r="AE617" s="1963"/>
      <c r="AF617" s="1963"/>
      <c r="AG617" s="1963"/>
    </row>
    <row r="618" spans="1:33" ht="14.25" customHeight="1" thickBot="1"/>
    <row r="619" spans="1:33" ht="72" customHeight="1" thickBot="1">
      <c r="A619" s="597" t="s">
        <v>1377</v>
      </c>
      <c r="C619" s="919"/>
      <c r="D619" s="1838" t="s">
        <v>1740</v>
      </c>
      <c r="E619" s="1838"/>
      <c r="F619" s="1838"/>
      <c r="G619" s="1838"/>
      <c r="H619" s="1838"/>
      <c r="I619" s="1838"/>
      <c r="J619" s="1838"/>
      <c r="K619" s="1838" t="s">
        <v>1916</v>
      </c>
      <c r="L619" s="1838"/>
      <c r="M619" s="1838"/>
      <c r="N619" s="1838" t="s">
        <v>1917</v>
      </c>
      <c r="O619" s="1838"/>
      <c r="P619" s="1838"/>
      <c r="Q619" s="1838"/>
      <c r="R619" s="1838" t="s">
        <v>1918</v>
      </c>
      <c r="S619" s="1838"/>
      <c r="T619" s="1838"/>
      <c r="U619" s="1838"/>
      <c r="V619" s="1995" t="s">
        <v>1919</v>
      </c>
      <c r="W619" s="1996"/>
      <c r="X619" s="1996" t="s">
        <v>1919</v>
      </c>
      <c r="Y619" s="1996"/>
      <c r="Z619" s="1995" t="s">
        <v>1921</v>
      </c>
      <c r="AA619" s="1996" t="s">
        <v>1921</v>
      </c>
      <c r="AB619" s="1996"/>
      <c r="AC619" s="1997"/>
      <c r="AD619" s="1838" t="s">
        <v>1920</v>
      </c>
      <c r="AE619" s="1838"/>
      <c r="AF619" s="1838"/>
      <c r="AG619" s="1838"/>
    </row>
    <row r="620" spans="1:33" ht="14.25" customHeight="1" thickBot="1">
      <c r="C620" s="919"/>
      <c r="D620" s="1972" t="s">
        <v>1922</v>
      </c>
      <c r="E620" s="1972"/>
      <c r="F620" s="1972"/>
      <c r="G620" s="1972"/>
      <c r="H620" s="1972"/>
      <c r="I620" s="1972"/>
      <c r="J620" s="1972"/>
      <c r="K620" s="1972"/>
      <c r="L620" s="1972"/>
      <c r="M620" s="1972"/>
      <c r="N620" s="1972"/>
      <c r="O620" s="1972"/>
      <c r="P620" s="1972"/>
      <c r="Q620" s="1972"/>
      <c r="R620" s="1972"/>
      <c r="S620" s="1972"/>
      <c r="T620" s="1972"/>
      <c r="U620" s="1972"/>
      <c r="V620" s="1972"/>
      <c r="W620" s="1972"/>
      <c r="X620" s="1972"/>
      <c r="Y620" s="1972"/>
      <c r="Z620" s="1972"/>
      <c r="AA620" s="1972"/>
      <c r="AB620" s="1972"/>
      <c r="AC620" s="1972"/>
      <c r="AD620" s="1972"/>
      <c r="AE620" s="1972"/>
      <c r="AF620" s="1972"/>
      <c r="AG620" s="1972"/>
    </row>
    <row r="621" spans="1:33" ht="14.25" customHeight="1" thickBot="1">
      <c r="C621" s="919"/>
      <c r="D621" s="2149"/>
      <c r="E621" s="2149"/>
      <c r="F621" s="2149"/>
      <c r="G621" s="2149"/>
      <c r="H621" s="2149"/>
      <c r="I621" s="2149"/>
      <c r="J621" s="2149"/>
      <c r="K621" s="2149"/>
      <c r="L621" s="2149"/>
      <c r="M621" s="2149"/>
      <c r="N621" s="1998"/>
      <c r="O621" s="1999"/>
      <c r="P621" s="1999"/>
      <c r="Q621" s="1999"/>
      <c r="R621" s="2000"/>
      <c r="S621" s="2000"/>
      <c r="T621" s="2000"/>
      <c r="U621" s="2000"/>
      <c r="V621" s="2287"/>
      <c r="W621" s="2288"/>
      <c r="X621" s="2288"/>
      <c r="Y621" s="2289"/>
      <c r="Z621" s="2287"/>
      <c r="AA621" s="2288"/>
      <c r="AB621" s="2288"/>
      <c r="AC621" s="2289"/>
      <c r="AD621" s="2288"/>
      <c r="AE621" s="2288"/>
      <c r="AF621" s="2288"/>
      <c r="AG621" s="2629"/>
    </row>
    <row r="622" spans="1:33" ht="14.25" customHeight="1" thickBot="1">
      <c r="C622" s="919"/>
      <c r="D622" s="1972" t="s">
        <v>1999</v>
      </c>
      <c r="E622" s="1972"/>
      <c r="F622" s="1972"/>
      <c r="G622" s="1972"/>
      <c r="H622" s="1972"/>
      <c r="I622" s="1972"/>
      <c r="J622" s="1972"/>
      <c r="K622" s="1972"/>
      <c r="L622" s="1972"/>
      <c r="M622" s="1972"/>
      <c r="N622" s="1972"/>
      <c r="O622" s="1972"/>
      <c r="P622" s="1972"/>
      <c r="Q622" s="1972"/>
      <c r="R622" s="1972"/>
      <c r="S622" s="1972"/>
      <c r="T622" s="1972"/>
      <c r="U622" s="1972"/>
      <c r="V622" s="1972"/>
      <c r="W622" s="1972"/>
      <c r="X622" s="1972"/>
      <c r="Y622" s="1972"/>
      <c r="Z622" s="1972"/>
      <c r="AA622" s="1972"/>
      <c r="AB622" s="1972"/>
      <c r="AC622" s="1972"/>
      <c r="AD622" s="1972"/>
      <c r="AE622" s="1972"/>
      <c r="AF622" s="1972"/>
      <c r="AG622" s="1972"/>
    </row>
    <row r="623" spans="1:33" ht="14.25" customHeight="1">
      <c r="C623" s="919"/>
      <c r="D623" s="2561" t="s">
        <v>2870</v>
      </c>
      <c r="E623" s="2562">
        <v>0</v>
      </c>
      <c r="F623" s="2562">
        <v>0</v>
      </c>
      <c r="G623" s="2562">
        <v>0</v>
      </c>
      <c r="H623" s="2562">
        <v>0</v>
      </c>
      <c r="I623" s="2562">
        <v>0</v>
      </c>
      <c r="J623" s="2563">
        <v>0</v>
      </c>
      <c r="K623" s="2564" t="str">
        <f>'Notes- SK Template'!K626</f>
        <v>EUR</v>
      </c>
      <c r="L623" s="2562">
        <f>'Notes- SK Template'!L626</f>
        <v>0</v>
      </c>
      <c r="M623" s="2563">
        <f>'Notes- SK Template'!M626</f>
        <v>0</v>
      </c>
      <c r="N623" s="1998" t="str">
        <f>'Notes- SK Template'!N626</f>
        <v xml:space="preserve"> -</v>
      </c>
      <c r="O623" s="1999">
        <f>'Notes- SK Template'!O626</f>
        <v>0</v>
      </c>
      <c r="P623" s="1999">
        <f>'Notes- SK Template'!P626</f>
        <v>0</v>
      </c>
      <c r="Q623" s="2627">
        <f>'Notes- SK Template'!Q626</f>
        <v>0</v>
      </c>
      <c r="R623" s="2628" t="str">
        <f>'Notes- SK Template'!R626</f>
        <v xml:space="preserve"> -</v>
      </c>
      <c r="S623" s="1999">
        <f>'Notes- SK Template'!S626</f>
        <v>0</v>
      </c>
      <c r="T623" s="1999">
        <f>'Notes- SK Template'!T626</f>
        <v>0</v>
      </c>
      <c r="U623" s="2627">
        <f>'Notes- SK Template'!U626</f>
        <v>0</v>
      </c>
      <c r="V623" s="2287">
        <f>'Notes- SK Template'!V626</f>
        <v>4286</v>
      </c>
      <c r="W623" s="2288">
        <f>'Notes- SK Template'!W626</f>
        <v>0</v>
      </c>
      <c r="X623" s="2288">
        <f>'Notes- SK Template'!X626</f>
        <v>0</v>
      </c>
      <c r="Y623" s="2289">
        <f>'Notes- SK Template'!Y626</f>
        <v>0</v>
      </c>
      <c r="Z623" s="2287">
        <f>'Notes- SK Template'!Z626</f>
        <v>4286</v>
      </c>
      <c r="AA623" s="2288">
        <f>'Notes- SK Template'!AA626</f>
        <v>0</v>
      </c>
      <c r="AB623" s="2288">
        <f>'Notes- SK Template'!AB626</f>
        <v>0</v>
      </c>
      <c r="AC623" s="2289">
        <f>'Notes- SK Template'!AC626</f>
        <v>0</v>
      </c>
      <c r="AD623" s="2287">
        <f>'Notes- SK Template'!AD626</f>
        <v>2976</v>
      </c>
      <c r="AE623" s="2288">
        <f>'Notes- SK Template'!AE626</f>
        <v>0</v>
      </c>
      <c r="AF623" s="2288">
        <f>'Notes- SK Template'!AF626</f>
        <v>0</v>
      </c>
      <c r="AG623" s="2629">
        <f>'Notes- SK Template'!AG626</f>
        <v>0</v>
      </c>
    </row>
    <row r="625" spans="1:33" ht="14.25" customHeight="1">
      <c r="D625" s="582" t="s">
        <v>3063</v>
      </c>
    </row>
    <row r="627" spans="1:33" ht="14.25" customHeight="1">
      <c r="D627" s="1809" t="s">
        <v>1923</v>
      </c>
      <c r="E627" s="1963"/>
      <c r="F627" s="1963"/>
      <c r="G627" s="1963"/>
      <c r="H627" s="1963"/>
      <c r="I627" s="1963"/>
      <c r="J627" s="1963"/>
      <c r="K627" s="1963"/>
      <c r="L627" s="1963"/>
      <c r="M627" s="1963"/>
      <c r="N627" s="1963"/>
      <c r="O627" s="1963"/>
      <c r="P627" s="1963"/>
      <c r="Q627" s="1963"/>
      <c r="R627" s="1963"/>
      <c r="S627" s="1963"/>
      <c r="T627" s="1963"/>
      <c r="U627" s="1963"/>
      <c r="V627" s="1963"/>
      <c r="W627" s="1963"/>
      <c r="X627" s="1963"/>
      <c r="Y627" s="1963"/>
      <c r="Z627" s="1963"/>
      <c r="AA627" s="1963"/>
      <c r="AB627" s="1963"/>
      <c r="AC627" s="1963"/>
      <c r="AD627" s="1963"/>
      <c r="AE627" s="1963"/>
      <c r="AF627" s="1963"/>
      <c r="AG627" s="1963"/>
    </row>
    <row r="628" spans="1:33" ht="14.25" customHeight="1" thickBot="1"/>
    <row r="629" spans="1:33" ht="27" customHeight="1" thickBot="1">
      <c r="A629" s="597">
        <v>31</v>
      </c>
      <c r="D629" s="2146" t="s">
        <v>1740</v>
      </c>
      <c r="E629" s="2146"/>
      <c r="F629" s="2146"/>
      <c r="G629" s="2146"/>
      <c r="H629" s="2146"/>
      <c r="I629" s="2146"/>
      <c r="J629" s="2146"/>
      <c r="K629" s="2146"/>
      <c r="L629" s="2146"/>
      <c r="M629" s="2146"/>
      <c r="N629" s="2146" t="s">
        <v>1741</v>
      </c>
      <c r="O629" s="2146"/>
      <c r="P629" s="2146"/>
      <c r="Q629" s="2146"/>
      <c r="R629" s="2146"/>
      <c r="S629" s="2146"/>
      <c r="T629" s="2146"/>
      <c r="U629" s="2146"/>
      <c r="V629" s="2146"/>
      <c r="W629" s="2146"/>
      <c r="X629" s="2146" t="s">
        <v>1863</v>
      </c>
      <c r="Y629" s="2146"/>
      <c r="Z629" s="2146"/>
      <c r="AA629" s="2146"/>
      <c r="AB629" s="2146"/>
      <c r="AC629" s="2146"/>
      <c r="AD629" s="2146"/>
      <c r="AE629" s="2146"/>
      <c r="AF629" s="2146"/>
      <c r="AG629" s="2146"/>
    </row>
    <row r="630" spans="1:33" ht="27" customHeight="1" thickBot="1">
      <c r="D630" s="1941" t="s">
        <v>1924</v>
      </c>
      <c r="E630" s="1941"/>
      <c r="F630" s="1941"/>
      <c r="G630" s="1941"/>
      <c r="H630" s="1941"/>
      <c r="I630" s="1941"/>
      <c r="J630" s="1941"/>
      <c r="K630" s="1941"/>
      <c r="L630" s="1941"/>
      <c r="M630" s="1941"/>
      <c r="N630" s="1954">
        <f>'Notes- SK Template'!N634</f>
        <v>0</v>
      </c>
      <c r="O630" s="1954">
        <f>'Notes- SK Template'!O634</f>
        <v>0</v>
      </c>
      <c r="P630" s="1954">
        <f>'Notes- SK Template'!P634</f>
        <v>0</v>
      </c>
      <c r="Q630" s="1954">
        <f>'Notes- SK Template'!Q634</f>
        <v>0</v>
      </c>
      <c r="R630" s="1954">
        <f>'Notes- SK Template'!R634</f>
        <v>0</v>
      </c>
      <c r="S630" s="1954">
        <f>'Notes- SK Template'!S634</f>
        <v>0</v>
      </c>
      <c r="T630" s="1954">
        <f>'Notes- SK Template'!T634</f>
        <v>0</v>
      </c>
      <c r="U630" s="1954">
        <f>'Notes- SK Template'!U634</f>
        <v>0</v>
      </c>
      <c r="V630" s="1954">
        <f>'Notes- SK Template'!V634</f>
        <v>0</v>
      </c>
      <c r="W630" s="1954">
        <f>'Notes- SK Template'!W634</f>
        <v>0</v>
      </c>
      <c r="X630" s="1954">
        <f>'Notes- SK Template'!X634</f>
        <v>0</v>
      </c>
      <c r="Y630" s="1954">
        <f>'Notes- SK Template'!Y634</f>
        <v>0</v>
      </c>
      <c r="Z630" s="1954">
        <f>'Notes- SK Template'!Z634</f>
        <v>0</v>
      </c>
      <c r="AA630" s="1954">
        <f>'Notes- SK Template'!AA634</f>
        <v>0</v>
      </c>
      <c r="AB630" s="1954">
        <f>'Notes- SK Template'!AB634</f>
        <v>0</v>
      </c>
      <c r="AC630" s="1954">
        <f>'Notes- SK Template'!AC634</f>
        <v>0</v>
      </c>
      <c r="AD630" s="1954">
        <f>'Notes- SK Template'!AD634</f>
        <v>0</v>
      </c>
      <c r="AE630" s="1954">
        <f>'Notes- SK Template'!AE634</f>
        <v>0</v>
      </c>
      <c r="AF630" s="1954">
        <f>'Notes- SK Template'!AF634</f>
        <v>0</v>
      </c>
      <c r="AG630" s="1954">
        <f>'Notes- SK Template'!AG634</f>
        <v>0</v>
      </c>
    </row>
    <row r="631" spans="1:33" ht="25.5" customHeight="1" thickBot="1">
      <c r="D631" s="2560"/>
      <c r="E631" s="2560"/>
      <c r="F631" s="2560"/>
      <c r="G631" s="2560"/>
      <c r="H631" s="2560"/>
      <c r="I631" s="2560"/>
      <c r="J631" s="2560"/>
      <c r="K631" s="2560"/>
      <c r="L631" s="2560"/>
      <c r="M631" s="2560"/>
      <c r="N631" s="2006"/>
      <c r="O631" s="2006"/>
      <c r="P631" s="2006"/>
      <c r="Q631" s="2006"/>
      <c r="R631" s="2006"/>
      <c r="S631" s="2006"/>
      <c r="T631" s="2006"/>
      <c r="U631" s="2006"/>
      <c r="V631" s="2006"/>
      <c r="W631" s="2006"/>
      <c r="X631" s="2006"/>
      <c r="Y631" s="2006"/>
      <c r="Z631" s="2006"/>
      <c r="AA631" s="2006"/>
      <c r="AB631" s="2006"/>
      <c r="AC631" s="2006"/>
      <c r="AD631" s="2006"/>
      <c r="AE631" s="2006"/>
      <c r="AF631" s="2006"/>
      <c r="AG631" s="2006"/>
    </row>
    <row r="632" spans="1:33" ht="27" customHeight="1" thickBot="1">
      <c r="D632" s="1941" t="s">
        <v>1925</v>
      </c>
      <c r="E632" s="1941"/>
      <c r="F632" s="1941"/>
      <c r="G632" s="1941"/>
      <c r="H632" s="1941"/>
      <c r="I632" s="1941"/>
      <c r="J632" s="1941"/>
      <c r="K632" s="1941"/>
      <c r="L632" s="1941"/>
      <c r="M632" s="1941"/>
      <c r="N632" s="1954">
        <f>'Notes- SK Template'!N636</f>
        <v>0</v>
      </c>
      <c r="O632" s="1954">
        <f>'Notes- SK Template'!O636</f>
        <v>0</v>
      </c>
      <c r="P632" s="1954">
        <f>'Notes- SK Template'!P636</f>
        <v>0</v>
      </c>
      <c r="Q632" s="1954">
        <f>'Notes- SK Template'!Q636</f>
        <v>0</v>
      </c>
      <c r="R632" s="1954">
        <f>'Notes- SK Template'!R636</f>
        <v>0</v>
      </c>
      <c r="S632" s="1954">
        <f>'Notes- SK Template'!S636</f>
        <v>0</v>
      </c>
      <c r="T632" s="1954">
        <f>'Notes- SK Template'!T636</f>
        <v>0</v>
      </c>
      <c r="U632" s="1954">
        <f>'Notes- SK Template'!U636</f>
        <v>0</v>
      </c>
      <c r="V632" s="1954">
        <f>'Notes- SK Template'!V636</f>
        <v>0</v>
      </c>
      <c r="W632" s="1954">
        <f>'Notes- SK Template'!W636</f>
        <v>0</v>
      </c>
      <c r="X632" s="1954">
        <f>'Notes- SK Template'!X636</f>
        <v>0</v>
      </c>
      <c r="Y632" s="1954">
        <f>'Notes- SK Template'!Y636</f>
        <v>0</v>
      </c>
      <c r="Z632" s="1954">
        <f>'Notes- SK Template'!Z636</f>
        <v>0</v>
      </c>
      <c r="AA632" s="1954">
        <f>'Notes- SK Template'!AA636</f>
        <v>0</v>
      </c>
      <c r="AB632" s="1954">
        <f>'Notes- SK Template'!AB636</f>
        <v>0</v>
      </c>
      <c r="AC632" s="1954">
        <f>'Notes- SK Template'!AC636</f>
        <v>0</v>
      </c>
      <c r="AD632" s="1954">
        <f>'Notes- SK Template'!AD636</f>
        <v>0</v>
      </c>
      <c r="AE632" s="1954">
        <f>'Notes- SK Template'!AE636</f>
        <v>0</v>
      </c>
      <c r="AF632" s="1954">
        <f>'Notes- SK Template'!AF636</f>
        <v>0</v>
      </c>
      <c r="AG632" s="1954">
        <f>'Notes- SK Template'!AG636</f>
        <v>0</v>
      </c>
    </row>
    <row r="633" spans="1:33" ht="25.5" customHeight="1" thickBot="1">
      <c r="D633" s="2560"/>
      <c r="E633" s="2560"/>
      <c r="F633" s="2560"/>
      <c r="G633" s="2560"/>
      <c r="H633" s="2560"/>
      <c r="I633" s="2560"/>
      <c r="J633" s="2560"/>
      <c r="K633" s="2560"/>
      <c r="L633" s="2560"/>
      <c r="M633" s="2560"/>
      <c r="N633" s="2006"/>
      <c r="O633" s="2006"/>
      <c r="P633" s="2006"/>
      <c r="Q633" s="2006"/>
      <c r="R633" s="2006"/>
      <c r="S633" s="2006"/>
      <c r="T633" s="2006"/>
      <c r="U633" s="2006"/>
      <c r="V633" s="2006"/>
      <c r="W633" s="2006"/>
      <c r="X633" s="2006"/>
      <c r="Y633" s="2006"/>
      <c r="Z633" s="2006"/>
      <c r="AA633" s="2006"/>
      <c r="AB633" s="2006"/>
      <c r="AC633" s="2006"/>
      <c r="AD633" s="2006"/>
      <c r="AE633" s="2006"/>
      <c r="AF633" s="2006"/>
      <c r="AG633" s="2006"/>
    </row>
    <row r="634" spans="1:33" ht="27" customHeight="1" thickBot="1">
      <c r="D634" s="1941" t="s">
        <v>1926</v>
      </c>
      <c r="E634" s="1941"/>
      <c r="F634" s="1941"/>
      <c r="G634" s="1941"/>
      <c r="H634" s="1941"/>
      <c r="I634" s="1941"/>
      <c r="J634" s="1941"/>
      <c r="K634" s="1941"/>
      <c r="L634" s="1941"/>
      <c r="M634" s="1941"/>
      <c r="N634" s="1954">
        <f>'Notes- SK Template'!N638</f>
        <v>0</v>
      </c>
      <c r="O634" s="1954">
        <f>'Notes- SK Template'!O638</f>
        <v>0</v>
      </c>
      <c r="P634" s="1954">
        <f>'Notes- SK Template'!P638</f>
        <v>0</v>
      </c>
      <c r="Q634" s="1954">
        <f>'Notes- SK Template'!Q638</f>
        <v>0</v>
      </c>
      <c r="R634" s="1954">
        <f>'Notes- SK Template'!R638</f>
        <v>0</v>
      </c>
      <c r="S634" s="1954">
        <f>'Notes- SK Template'!S638</f>
        <v>0</v>
      </c>
      <c r="T634" s="1954">
        <f>'Notes- SK Template'!T638</f>
        <v>0</v>
      </c>
      <c r="U634" s="1954">
        <f>'Notes- SK Template'!U638</f>
        <v>0</v>
      </c>
      <c r="V634" s="1954">
        <f>'Notes- SK Template'!V638</f>
        <v>0</v>
      </c>
      <c r="W634" s="1954">
        <f>'Notes- SK Template'!W638</f>
        <v>0</v>
      </c>
      <c r="X634" s="1954">
        <f>'Notes- SK Template'!X638</f>
        <v>0</v>
      </c>
      <c r="Y634" s="1954">
        <f>'Notes- SK Template'!Y638</f>
        <v>0</v>
      </c>
      <c r="Z634" s="1954">
        <f>'Notes- SK Template'!Z638</f>
        <v>0</v>
      </c>
      <c r="AA634" s="1954">
        <f>'Notes- SK Template'!AA638</f>
        <v>0</v>
      </c>
      <c r="AB634" s="1954">
        <f>'Notes- SK Template'!AB638</f>
        <v>0</v>
      </c>
      <c r="AC634" s="1954">
        <f>'Notes- SK Template'!AC638</f>
        <v>0</v>
      </c>
      <c r="AD634" s="1954">
        <f>'Notes- SK Template'!AD638</f>
        <v>0</v>
      </c>
      <c r="AE634" s="1954">
        <f>'Notes- SK Template'!AE638</f>
        <v>0</v>
      </c>
      <c r="AF634" s="1954">
        <f>'Notes- SK Template'!AF638</f>
        <v>0</v>
      </c>
      <c r="AG634" s="1954">
        <f>'Notes- SK Template'!AG638</f>
        <v>0</v>
      </c>
    </row>
    <row r="635" spans="1:33" ht="25.5" customHeight="1" thickBot="1">
      <c r="D635" s="2560"/>
      <c r="E635" s="2560"/>
      <c r="F635" s="2560"/>
      <c r="G635" s="2560"/>
      <c r="H635" s="2560"/>
      <c r="I635" s="2560"/>
      <c r="J635" s="2560"/>
      <c r="K635" s="2560"/>
      <c r="L635" s="2560"/>
      <c r="M635" s="2560"/>
      <c r="N635" s="2006"/>
      <c r="O635" s="2006"/>
      <c r="P635" s="2006"/>
      <c r="Q635" s="2006"/>
      <c r="R635" s="2006"/>
      <c r="S635" s="2006"/>
      <c r="T635" s="2006"/>
      <c r="U635" s="2006"/>
      <c r="V635" s="2006"/>
      <c r="W635" s="2006"/>
      <c r="X635" s="2006"/>
      <c r="Y635" s="2006"/>
      <c r="Z635" s="2006"/>
      <c r="AA635" s="2006"/>
      <c r="AB635" s="2006"/>
      <c r="AC635" s="2006"/>
      <c r="AD635" s="2006"/>
      <c r="AE635" s="2006"/>
      <c r="AF635" s="2006"/>
      <c r="AG635" s="2006"/>
    </row>
    <row r="636" spans="1:33" ht="27" customHeight="1" thickBot="1">
      <c r="D636" s="1941" t="s">
        <v>1927</v>
      </c>
      <c r="E636" s="1941"/>
      <c r="F636" s="1941"/>
      <c r="G636" s="1941"/>
      <c r="H636" s="1941"/>
      <c r="I636" s="1941"/>
      <c r="J636" s="1941"/>
      <c r="K636" s="1941"/>
      <c r="L636" s="1941"/>
      <c r="M636" s="1941"/>
      <c r="N636" s="1954">
        <f>'Notes- SK Template'!N640</f>
        <v>0</v>
      </c>
      <c r="O636" s="1954">
        <f>'Notes- SK Template'!O640</f>
        <v>0</v>
      </c>
      <c r="P636" s="1954">
        <f>'Notes- SK Template'!P640</f>
        <v>0</v>
      </c>
      <c r="Q636" s="1954">
        <f>'Notes- SK Template'!Q640</f>
        <v>0</v>
      </c>
      <c r="R636" s="1954">
        <f>'Notes- SK Template'!R640</f>
        <v>0</v>
      </c>
      <c r="S636" s="1954">
        <f>'Notes- SK Template'!S640</f>
        <v>0</v>
      </c>
      <c r="T636" s="1954">
        <f>'Notes- SK Template'!T640</f>
        <v>0</v>
      </c>
      <c r="U636" s="1954">
        <f>'Notes- SK Template'!U640</f>
        <v>0</v>
      </c>
      <c r="V636" s="1954">
        <f>'Notes- SK Template'!V640</f>
        <v>0</v>
      </c>
      <c r="W636" s="1954">
        <f>'Notes- SK Template'!W640</f>
        <v>0</v>
      </c>
      <c r="X636" s="1954">
        <f>'Notes- SK Template'!X640</f>
        <v>0</v>
      </c>
      <c r="Y636" s="1954">
        <f>'Notes- SK Template'!Y640</f>
        <v>0</v>
      </c>
      <c r="Z636" s="1954">
        <f>'Notes- SK Template'!Z640</f>
        <v>0</v>
      </c>
      <c r="AA636" s="1954">
        <f>'Notes- SK Template'!AA640</f>
        <v>0</v>
      </c>
      <c r="AB636" s="1954">
        <f>'Notes- SK Template'!AB640</f>
        <v>0</v>
      </c>
      <c r="AC636" s="1954">
        <f>'Notes- SK Template'!AC640</f>
        <v>0</v>
      </c>
      <c r="AD636" s="1954">
        <f>'Notes- SK Template'!AD640</f>
        <v>0</v>
      </c>
      <c r="AE636" s="1954">
        <f>'Notes- SK Template'!AE640</f>
        <v>0</v>
      </c>
      <c r="AF636" s="1954">
        <f>'Notes- SK Template'!AF640</f>
        <v>0</v>
      </c>
      <c r="AG636" s="1954">
        <f>'Notes- SK Template'!AG640</f>
        <v>0</v>
      </c>
    </row>
    <row r="637" spans="1:33" ht="25.5" customHeight="1">
      <c r="D637" s="2560"/>
      <c r="E637" s="2560"/>
      <c r="F637" s="2560"/>
      <c r="G637" s="2560"/>
      <c r="H637" s="2560"/>
      <c r="I637" s="2560"/>
      <c r="J637" s="2560"/>
      <c r="K637" s="2560"/>
      <c r="L637" s="2560"/>
      <c r="M637" s="2560"/>
      <c r="N637" s="2006"/>
      <c r="O637" s="2006"/>
      <c r="P637" s="2006"/>
      <c r="Q637" s="2006"/>
      <c r="R637" s="2006"/>
      <c r="S637" s="2006"/>
      <c r="T637" s="2006"/>
      <c r="U637" s="2006"/>
      <c r="V637" s="2006"/>
      <c r="W637" s="2006"/>
      <c r="X637" s="2006">
        <f>'Notes- SK Template'!X641</f>
        <v>0</v>
      </c>
      <c r="Y637" s="2006">
        <f>'Notes- SK Template'!Y641</f>
        <v>0</v>
      </c>
      <c r="Z637" s="2006">
        <f>'Notes- SK Template'!Z641</f>
        <v>0</v>
      </c>
      <c r="AA637" s="2006">
        <f>'Notes- SK Template'!AA641</f>
        <v>0</v>
      </c>
      <c r="AB637" s="2006">
        <f>'Notes- SK Template'!AB641</f>
        <v>0</v>
      </c>
      <c r="AC637" s="2006">
        <f>'Notes- SK Template'!AC641</f>
        <v>0</v>
      </c>
      <c r="AD637" s="2006">
        <f>'Notes- SK Template'!AD641</f>
        <v>0</v>
      </c>
      <c r="AE637" s="2006">
        <f>'Notes- SK Template'!AE641</f>
        <v>0</v>
      </c>
      <c r="AF637" s="2006">
        <f>'Notes- SK Template'!AF641</f>
        <v>0</v>
      </c>
      <c r="AG637" s="2006">
        <f>'Notes- SK Template'!AG641</f>
        <v>0</v>
      </c>
    </row>
    <row r="639" spans="1:33" ht="14.25" customHeight="1">
      <c r="D639" s="582" t="s">
        <v>3064</v>
      </c>
    </row>
    <row r="641" spans="4:33" ht="14.25" customHeight="1">
      <c r="D641" s="2057" t="s">
        <v>2843</v>
      </c>
      <c r="E641" s="2058"/>
      <c r="F641" s="2058"/>
      <c r="G641" s="2058"/>
      <c r="H641" s="2058"/>
      <c r="I641" s="2058"/>
      <c r="J641" s="2058"/>
      <c r="K641" s="2058"/>
      <c r="L641" s="2058"/>
      <c r="M641" s="2058"/>
      <c r="N641" s="2058"/>
      <c r="O641" s="2058"/>
      <c r="P641" s="2058"/>
      <c r="Q641" s="2058"/>
      <c r="R641" s="2058"/>
      <c r="S641" s="2058"/>
      <c r="T641" s="2058"/>
      <c r="U641" s="2058"/>
      <c r="V641" s="2058"/>
      <c r="W641" s="2058"/>
      <c r="X641" s="2058"/>
      <c r="Y641" s="2058"/>
      <c r="Z641" s="2058"/>
      <c r="AA641" s="2058"/>
      <c r="AB641" s="2058"/>
      <c r="AC641" s="2058"/>
      <c r="AD641" s="2058"/>
      <c r="AE641" s="2058"/>
      <c r="AF641" s="2058"/>
      <c r="AG641" s="2058"/>
    </row>
    <row r="643" spans="4:33" ht="14.25" customHeight="1">
      <c r="D643" s="582" t="s">
        <v>3065</v>
      </c>
    </row>
    <row r="645" spans="4:33" ht="14.25" customHeight="1">
      <c r="D645" s="1809" t="s">
        <v>2911</v>
      </c>
      <c r="E645" s="1963"/>
      <c r="F645" s="1963"/>
      <c r="G645" s="1963"/>
      <c r="H645" s="1963"/>
      <c r="I645" s="1963"/>
      <c r="J645" s="1963"/>
      <c r="K645" s="1963"/>
      <c r="L645" s="1963"/>
      <c r="M645" s="1963"/>
      <c r="N645" s="1963"/>
      <c r="O645" s="1963"/>
      <c r="P645" s="1963"/>
      <c r="Q645" s="1963"/>
      <c r="R645" s="1963"/>
      <c r="S645" s="1963"/>
      <c r="T645" s="1963"/>
      <c r="U645" s="1963"/>
      <c r="V645" s="1963"/>
      <c r="W645" s="1963"/>
      <c r="X645" s="1963"/>
      <c r="Y645" s="1963"/>
      <c r="Z645" s="1963"/>
      <c r="AA645" s="1963"/>
      <c r="AB645" s="1963"/>
      <c r="AC645" s="1963"/>
      <c r="AD645" s="1963"/>
      <c r="AE645" s="1963"/>
      <c r="AF645" s="1963"/>
      <c r="AG645" s="1963"/>
    </row>
    <row r="647" spans="4:33" ht="14.25" customHeight="1">
      <c r="D647" s="582" t="s">
        <v>3066</v>
      </c>
    </row>
    <row r="649" spans="4:33" ht="14.25" customHeight="1">
      <c r="D649" s="908" t="s">
        <v>2970</v>
      </c>
    </row>
    <row r="650" spans="4:33" ht="14.25" customHeight="1">
      <c r="D650" s="908"/>
    </row>
    <row r="651" spans="4:33" ht="26.25" customHeight="1">
      <c r="D651" s="2083" t="s">
        <v>3022</v>
      </c>
      <c r="E651" s="2150"/>
      <c r="F651" s="2150"/>
      <c r="G651" s="2150"/>
      <c r="H651" s="2150"/>
      <c r="I651" s="2150"/>
      <c r="J651" s="2150"/>
      <c r="K651" s="2150"/>
      <c r="L651" s="2150"/>
      <c r="M651" s="2150"/>
      <c r="N651" s="2150"/>
      <c r="O651" s="2150"/>
      <c r="P651" s="2150"/>
      <c r="Q651" s="2150"/>
      <c r="R651" s="2150"/>
      <c r="S651" s="2150"/>
      <c r="T651" s="2150"/>
      <c r="U651" s="2150"/>
      <c r="V651" s="2150"/>
      <c r="W651" s="2150"/>
      <c r="X651" s="2150"/>
      <c r="Y651" s="2150"/>
      <c r="Z651" s="2150"/>
      <c r="AA651" s="2150"/>
      <c r="AB651" s="2150"/>
      <c r="AC651" s="2150"/>
      <c r="AD651" s="2150"/>
      <c r="AE651" s="2150"/>
      <c r="AF651" s="2150"/>
      <c r="AG651" s="2150"/>
    </row>
    <row r="652" spans="4:33" ht="14.25" customHeight="1">
      <c r="D652" s="908"/>
    </row>
    <row r="653" spans="4:33" ht="14.25" customHeight="1">
      <c r="D653" s="908" t="s">
        <v>3023</v>
      </c>
    </row>
    <row r="654" spans="4:33" ht="46.5" customHeight="1">
      <c r="D654" s="2559" t="s">
        <v>3024</v>
      </c>
      <c r="E654" s="2150"/>
      <c r="F654" s="2150"/>
      <c r="G654" s="2150"/>
      <c r="H654" s="2150"/>
      <c r="I654" s="2150"/>
      <c r="J654" s="2150"/>
      <c r="K654" s="2150"/>
      <c r="L654" s="2150"/>
      <c r="M654" s="2150"/>
      <c r="N654" s="2150"/>
      <c r="O654" s="2150"/>
      <c r="P654" s="2150"/>
      <c r="Q654" s="2150"/>
      <c r="R654" s="2150"/>
      <c r="S654" s="2150"/>
      <c r="T654" s="2150"/>
      <c r="U654" s="2150"/>
      <c r="V654" s="2150"/>
      <c r="W654" s="2150"/>
      <c r="X654" s="2150"/>
      <c r="Y654" s="2150"/>
      <c r="Z654" s="2150"/>
      <c r="AA654" s="2150"/>
      <c r="AB654" s="2150"/>
      <c r="AC654" s="2150"/>
      <c r="AD654" s="2150"/>
      <c r="AE654" s="2150"/>
      <c r="AF654" s="2150"/>
      <c r="AG654" s="2150"/>
    </row>
    <row r="655" spans="4:33" ht="14.25" customHeight="1">
      <c r="D655" s="2083" t="s">
        <v>3051</v>
      </c>
      <c r="E655" s="2083"/>
      <c r="F655" s="2083"/>
      <c r="G655" s="2083"/>
      <c r="H655" s="2083"/>
      <c r="I655" s="2083"/>
      <c r="J655" s="2083"/>
      <c r="K655" s="2083"/>
      <c r="L655" s="2083"/>
      <c r="M655" s="2083"/>
      <c r="N655" s="2083"/>
      <c r="O655" s="2083"/>
      <c r="P655" s="2083"/>
      <c r="Q655" s="2083"/>
      <c r="R655" s="2083"/>
      <c r="S655" s="2083"/>
      <c r="T655" s="2083"/>
      <c r="U655" s="2083"/>
      <c r="V655" s="2083"/>
      <c r="W655" s="2083"/>
      <c r="X655" s="2083"/>
      <c r="Y655" s="2083"/>
      <c r="Z655" s="2083"/>
      <c r="AA655" s="2083"/>
      <c r="AB655" s="2083"/>
      <c r="AC655" s="2083"/>
      <c r="AD655" s="2083"/>
      <c r="AE655" s="2083"/>
      <c r="AF655" s="2083"/>
      <c r="AG655" s="2083"/>
    </row>
    <row r="656" spans="4:33" ht="14.25" customHeight="1">
      <c r="D656" s="2083"/>
      <c r="E656" s="2083"/>
      <c r="F656" s="2083"/>
      <c r="G656" s="2083"/>
      <c r="H656" s="2083"/>
      <c r="I656" s="2083"/>
      <c r="J656" s="2083"/>
      <c r="K656" s="2083"/>
      <c r="L656" s="2083"/>
      <c r="M656" s="2083"/>
      <c r="N656" s="2083"/>
      <c r="O656" s="2083"/>
      <c r="P656" s="2083"/>
      <c r="Q656" s="2083"/>
      <c r="R656" s="2083"/>
      <c r="S656" s="2083"/>
      <c r="T656" s="2083"/>
      <c r="U656" s="2083"/>
      <c r="V656" s="2083"/>
      <c r="W656" s="2083"/>
      <c r="X656" s="2083"/>
      <c r="Y656" s="2083"/>
      <c r="Z656" s="2083"/>
      <c r="AA656" s="2083"/>
      <c r="AB656" s="2083"/>
      <c r="AC656" s="2083"/>
      <c r="AD656" s="2083"/>
      <c r="AE656" s="2083"/>
      <c r="AF656" s="2083"/>
      <c r="AG656" s="2083"/>
    </row>
    <row r="657" spans="1:33" ht="14.25" customHeight="1">
      <c r="D657" s="2083"/>
      <c r="E657" s="2083"/>
      <c r="F657" s="2083"/>
      <c r="G657" s="2083"/>
      <c r="H657" s="2083"/>
      <c r="I657" s="2083"/>
      <c r="J657" s="2083"/>
      <c r="K657" s="2083"/>
      <c r="L657" s="2083"/>
      <c r="M657" s="2083"/>
      <c r="N657" s="2083"/>
      <c r="O657" s="2083"/>
      <c r="P657" s="2083"/>
      <c r="Q657" s="2083"/>
      <c r="R657" s="2083"/>
      <c r="S657" s="2083"/>
      <c r="T657" s="2083"/>
      <c r="U657" s="2083"/>
      <c r="V657" s="2083"/>
      <c r="W657" s="2083"/>
      <c r="X657" s="2083"/>
      <c r="Y657" s="2083"/>
      <c r="Z657" s="2083"/>
      <c r="AA657" s="2083"/>
      <c r="AB657" s="2083"/>
      <c r="AC657" s="2083"/>
      <c r="AD657" s="2083"/>
      <c r="AE657" s="2083"/>
      <c r="AF657" s="2083"/>
      <c r="AG657" s="2083"/>
    </row>
    <row r="658" spans="1:33" ht="13.9" customHeight="1">
      <c r="D658" s="2083"/>
      <c r="E658" s="2083"/>
      <c r="F658" s="2083"/>
      <c r="G658" s="2083"/>
      <c r="H658" s="2083"/>
      <c r="I658" s="2083"/>
      <c r="J658" s="2083"/>
      <c r="K658" s="2083"/>
      <c r="L658" s="2083"/>
      <c r="M658" s="2083"/>
      <c r="N658" s="2083"/>
      <c r="O658" s="2083"/>
      <c r="P658" s="2083"/>
      <c r="Q658" s="2083"/>
      <c r="R658" s="2083"/>
      <c r="S658" s="2083"/>
      <c r="T658" s="2083"/>
      <c r="U658" s="2083"/>
      <c r="V658" s="2083"/>
      <c r="W658" s="2083"/>
      <c r="X658" s="2083"/>
      <c r="Y658" s="2083"/>
      <c r="Z658" s="2083"/>
      <c r="AA658" s="2083"/>
      <c r="AB658" s="2083"/>
      <c r="AC658" s="2083"/>
      <c r="AD658" s="2083"/>
      <c r="AE658" s="2083"/>
      <c r="AF658" s="2083"/>
      <c r="AG658" s="2083"/>
    </row>
    <row r="659" spans="1:33" ht="14.25" customHeight="1">
      <c r="D659" s="1543"/>
      <c r="E659" s="1543"/>
      <c r="F659" s="1543"/>
      <c r="G659" s="1543"/>
      <c r="H659" s="1543"/>
      <c r="I659" s="1543"/>
      <c r="J659" s="1543"/>
      <c r="K659" s="1543"/>
      <c r="L659" s="1543"/>
      <c r="M659" s="1543"/>
      <c r="N659" s="1543"/>
      <c r="O659" s="1543"/>
      <c r="P659" s="1543"/>
      <c r="Q659" s="1543"/>
      <c r="R659" s="1543"/>
      <c r="S659" s="1543"/>
      <c r="T659" s="1543"/>
      <c r="U659" s="1543"/>
      <c r="V659" s="1543"/>
      <c r="W659" s="1543"/>
      <c r="X659" s="1543"/>
      <c r="Y659" s="1543"/>
      <c r="Z659" s="1543"/>
      <c r="AA659" s="1543"/>
      <c r="AB659" s="1543"/>
      <c r="AC659" s="1543"/>
      <c r="AD659" s="1543"/>
      <c r="AE659" s="1543"/>
      <c r="AF659" s="1543"/>
      <c r="AG659" s="1543"/>
    </row>
    <row r="660" spans="1:33" ht="14.25" customHeight="1">
      <c r="D660" s="582" t="s">
        <v>3067</v>
      </c>
    </row>
    <row r="662" spans="1:33" ht="14.25" customHeight="1">
      <c r="D662" s="1924" t="s">
        <v>1928</v>
      </c>
      <c r="E662" s="1924"/>
      <c r="F662" s="1924"/>
      <c r="G662" s="1924"/>
      <c r="H662" s="1924"/>
      <c r="I662" s="1924"/>
      <c r="J662" s="1924"/>
      <c r="K662" s="1924"/>
      <c r="L662" s="1924"/>
      <c r="M662" s="1924"/>
      <c r="N662" s="1924"/>
      <c r="O662" s="1924"/>
      <c r="P662" s="1924"/>
      <c r="Q662" s="1924"/>
      <c r="R662" s="1924"/>
      <c r="S662" s="1924"/>
      <c r="T662" s="1924"/>
      <c r="U662" s="1924"/>
      <c r="V662" s="1924"/>
      <c r="W662" s="1924"/>
      <c r="X662" s="1924"/>
      <c r="Y662" s="1924"/>
      <c r="Z662" s="1924"/>
      <c r="AA662" s="1924"/>
      <c r="AB662" s="1924"/>
      <c r="AC662" s="1924"/>
      <c r="AD662" s="1924"/>
      <c r="AE662" s="1924"/>
      <c r="AF662" s="1924"/>
      <c r="AG662" s="1924"/>
    </row>
    <row r="664" spans="1:33" ht="14.25" customHeight="1">
      <c r="D664" s="1809" t="s">
        <v>1929</v>
      </c>
      <c r="E664" s="1810"/>
      <c r="F664" s="1810"/>
      <c r="G664" s="1810"/>
      <c r="H664" s="1810"/>
      <c r="I664" s="1810"/>
      <c r="J664" s="1810"/>
      <c r="K664" s="1810"/>
      <c r="L664" s="1810"/>
      <c r="M664" s="1810"/>
      <c r="N664" s="1810"/>
      <c r="O664" s="1810"/>
      <c r="P664" s="1810"/>
      <c r="Q664" s="1810"/>
      <c r="R664" s="1810"/>
      <c r="S664" s="1810"/>
      <c r="T664" s="1810"/>
      <c r="U664" s="1810"/>
      <c r="V664" s="1810"/>
      <c r="W664" s="1810"/>
      <c r="X664" s="1810"/>
      <c r="Y664" s="1810"/>
      <c r="Z664" s="1810"/>
      <c r="AA664" s="1810"/>
      <c r="AB664" s="1810"/>
      <c r="AC664" s="1810"/>
      <c r="AD664" s="1810"/>
      <c r="AE664" s="1810"/>
      <c r="AF664" s="1810"/>
      <c r="AG664" s="1810"/>
    </row>
    <row r="665" spans="1:33" ht="14.25" customHeight="1" thickBot="1"/>
    <row r="666" spans="1:33" ht="35.25" customHeight="1" thickBot="1">
      <c r="A666" s="597">
        <v>35</v>
      </c>
      <c r="D666" s="1859" t="s">
        <v>1930</v>
      </c>
      <c r="E666" s="1859"/>
      <c r="F666" s="1859"/>
      <c r="G666" s="1859"/>
      <c r="H666" s="1859"/>
      <c r="I666" s="1859"/>
      <c r="J666" s="1838" t="s">
        <v>1931</v>
      </c>
      <c r="K666" s="1838"/>
      <c r="L666" s="1838"/>
      <c r="M666" s="1838"/>
      <c r="N666" s="1838"/>
      <c r="O666" s="1838"/>
      <c r="P666" s="1838"/>
      <c r="Q666" s="1838"/>
      <c r="R666" s="1838" t="s">
        <v>1932</v>
      </c>
      <c r="S666" s="1838"/>
      <c r="T666" s="1838"/>
      <c r="U666" s="1838"/>
      <c r="V666" s="1838"/>
      <c r="W666" s="1838"/>
      <c r="X666" s="1838"/>
      <c r="Y666" s="1838"/>
      <c r="Z666" s="1838" t="s">
        <v>1933</v>
      </c>
      <c r="AA666" s="1838"/>
      <c r="AB666" s="1838"/>
      <c r="AC666" s="1838"/>
      <c r="AD666" s="1838"/>
      <c r="AE666" s="1838"/>
      <c r="AF666" s="1838"/>
      <c r="AG666" s="1838"/>
    </row>
    <row r="667" spans="1:33" ht="49.5" customHeight="1" thickBot="1">
      <c r="D667" s="1859"/>
      <c r="E667" s="1859"/>
      <c r="F667" s="1859"/>
      <c r="G667" s="1859"/>
      <c r="H667" s="1859"/>
      <c r="I667" s="1859"/>
      <c r="J667" s="1838" t="s">
        <v>1741</v>
      </c>
      <c r="K667" s="1838"/>
      <c r="L667" s="1838"/>
      <c r="M667" s="1838"/>
      <c r="N667" s="1838" t="s">
        <v>1802</v>
      </c>
      <c r="O667" s="1838"/>
      <c r="P667" s="1838"/>
      <c r="Q667" s="1838"/>
      <c r="R667" s="1838" t="s">
        <v>1741</v>
      </c>
      <c r="S667" s="1838"/>
      <c r="T667" s="1838"/>
      <c r="U667" s="1838"/>
      <c r="V667" s="1838" t="s">
        <v>1802</v>
      </c>
      <c r="W667" s="1838"/>
      <c r="X667" s="1838"/>
      <c r="Y667" s="1838"/>
      <c r="Z667" s="1838" t="s">
        <v>1741</v>
      </c>
      <c r="AA667" s="1838"/>
      <c r="AB667" s="1838"/>
      <c r="AC667" s="1838"/>
      <c r="AD667" s="1838" t="s">
        <v>1802</v>
      </c>
      <c r="AE667" s="1838"/>
      <c r="AF667" s="1838"/>
      <c r="AG667" s="1838"/>
    </row>
    <row r="668" spans="1:33" ht="14.25" customHeight="1">
      <c r="D668" s="2557" t="s">
        <v>2844</v>
      </c>
      <c r="E668" s="2558">
        <f>'Notes- SK Template'!E683</f>
        <v>0</v>
      </c>
      <c r="F668" s="2558">
        <f>'Notes- SK Template'!F683</f>
        <v>0</v>
      </c>
      <c r="G668" s="2558">
        <f>'Notes- SK Template'!G683</f>
        <v>0</v>
      </c>
      <c r="H668" s="2558">
        <f>'Notes- SK Template'!H683</f>
        <v>0</v>
      </c>
      <c r="I668" s="2558">
        <f>'Notes- SK Template'!I683</f>
        <v>0</v>
      </c>
      <c r="J668" s="1775">
        <f>'Notes- SK Template'!J683</f>
        <v>897252</v>
      </c>
      <c r="K668" s="1775">
        <f>'Notes- SK Template'!K683</f>
        <v>0</v>
      </c>
      <c r="L668" s="1775">
        <f>'Notes- SK Template'!L683</f>
        <v>0</v>
      </c>
      <c r="M668" s="1775">
        <f>'Notes- SK Template'!M683</f>
        <v>0</v>
      </c>
      <c r="N668" s="1775">
        <f>'Notes- SK Template'!N683</f>
        <v>1213987</v>
      </c>
      <c r="O668" s="1775">
        <f>'Notes- SK Template'!O683</f>
        <v>0</v>
      </c>
      <c r="P668" s="1775">
        <f>'Notes- SK Template'!P683</f>
        <v>0</v>
      </c>
      <c r="Q668" s="1775">
        <f>'Notes- SK Template'!Q683</f>
        <v>0</v>
      </c>
      <c r="R668" s="1775">
        <f>'Notes- SK Template'!R683</f>
        <v>1162252</v>
      </c>
      <c r="S668" s="1775">
        <f>'Notes- SK Template'!S683</f>
        <v>0</v>
      </c>
      <c r="T668" s="1775">
        <f>'Notes- SK Template'!T683</f>
        <v>0</v>
      </c>
      <c r="U668" s="1775">
        <f>'Notes- SK Template'!U683</f>
        <v>0</v>
      </c>
      <c r="V668" s="1775">
        <f>'Notes- SK Template'!V683</f>
        <v>687030</v>
      </c>
      <c r="W668" s="1775">
        <f>'Notes- SK Template'!W683</f>
        <v>0</v>
      </c>
      <c r="X668" s="1775">
        <f>'Notes- SK Template'!X683</f>
        <v>0</v>
      </c>
      <c r="Y668" s="1775">
        <f>'Notes- SK Template'!Y683</f>
        <v>0</v>
      </c>
      <c r="Z668" s="1775">
        <f>'Notes- SK Template'!Z683</f>
        <v>95400</v>
      </c>
      <c r="AA668" s="1775">
        <f>'Notes- SK Template'!AA683</f>
        <v>0</v>
      </c>
      <c r="AB668" s="1775">
        <f>'Notes- SK Template'!AB683</f>
        <v>0</v>
      </c>
      <c r="AC668" s="1775">
        <f>'Notes- SK Template'!AC683</f>
        <v>0</v>
      </c>
      <c r="AD668" s="1775">
        <f>'Notes- SK Template'!AD683</f>
        <v>101786</v>
      </c>
      <c r="AE668" s="1775">
        <f>'Notes- SK Template'!AE683</f>
        <v>0</v>
      </c>
      <c r="AF668" s="1775">
        <f>'Notes- SK Template'!AF683</f>
        <v>0</v>
      </c>
      <c r="AG668" s="1775">
        <f>'Notes- SK Template'!AG683</f>
        <v>0</v>
      </c>
    </row>
    <row r="669" spans="1:33" ht="14.25" customHeight="1">
      <c r="D669" s="2648" t="s">
        <v>2845</v>
      </c>
      <c r="E669" s="2649">
        <f>'Notes- SK Template'!E684</f>
        <v>0</v>
      </c>
      <c r="F669" s="2649">
        <f>'Notes- SK Template'!F684</f>
        <v>0</v>
      </c>
      <c r="G669" s="2649">
        <f>'Notes- SK Template'!G684</f>
        <v>0</v>
      </c>
      <c r="H669" s="2649">
        <f>'Notes- SK Template'!H684</f>
        <v>0</v>
      </c>
      <c r="I669" s="2649">
        <f>'Notes- SK Template'!I684</f>
        <v>0</v>
      </c>
      <c r="J669" s="1860">
        <f>'Notes- SK Template'!J684</f>
        <v>1748411</v>
      </c>
      <c r="K669" s="1860">
        <f>'Notes- SK Template'!K684</f>
        <v>0</v>
      </c>
      <c r="L669" s="1860">
        <f>'Notes- SK Template'!L684</f>
        <v>0</v>
      </c>
      <c r="M669" s="1860">
        <f>'Notes- SK Template'!M684</f>
        <v>0</v>
      </c>
      <c r="N669" s="1860">
        <f>'Notes- SK Template'!N684</f>
        <v>1608923</v>
      </c>
      <c r="O669" s="1860">
        <f>'Notes- SK Template'!O684</f>
        <v>0</v>
      </c>
      <c r="P669" s="1860">
        <f>'Notes- SK Template'!P684</f>
        <v>0</v>
      </c>
      <c r="Q669" s="1860">
        <f>'Notes- SK Template'!Q684</f>
        <v>0</v>
      </c>
      <c r="R669" s="1860">
        <f>'Notes- SK Template'!R684</f>
        <v>1331724</v>
      </c>
      <c r="S669" s="1860">
        <f>'Notes- SK Template'!S684</f>
        <v>0</v>
      </c>
      <c r="T669" s="1860">
        <f>'Notes- SK Template'!T684</f>
        <v>0</v>
      </c>
      <c r="U669" s="1860">
        <f>'Notes- SK Template'!U684</f>
        <v>0</v>
      </c>
      <c r="V669" s="1860">
        <f>'Notes- SK Template'!V684</f>
        <v>1664315</v>
      </c>
      <c r="W669" s="1860">
        <f>'Notes- SK Template'!W684</f>
        <v>0</v>
      </c>
      <c r="X669" s="1860">
        <f>'Notes- SK Template'!X684</f>
        <v>0</v>
      </c>
      <c r="Y669" s="1860">
        <f>'Notes- SK Template'!Y684</f>
        <v>0</v>
      </c>
      <c r="Z669" s="1860">
        <f>'Notes- SK Template'!Z684</f>
        <v>72341</v>
      </c>
      <c r="AA669" s="1860">
        <f>'Notes- SK Template'!AA684</f>
        <v>0</v>
      </c>
      <c r="AB669" s="1860">
        <f>'Notes- SK Template'!AB684</f>
        <v>0</v>
      </c>
      <c r="AC669" s="1860">
        <f>'Notes- SK Template'!AC684</f>
        <v>0</v>
      </c>
      <c r="AD669" s="1860">
        <f>'Notes- SK Template'!AD684</f>
        <v>62100</v>
      </c>
      <c r="AE669" s="1860">
        <f>'Notes- SK Template'!AE684</f>
        <v>0</v>
      </c>
      <c r="AF669" s="1860">
        <f>'Notes- SK Template'!AF684</f>
        <v>0</v>
      </c>
      <c r="AG669" s="1860">
        <f>'Notes- SK Template'!AG684</f>
        <v>0</v>
      </c>
    </row>
    <row r="670" spans="1:33" ht="14.25" customHeight="1" thickBot="1">
      <c r="D670" s="2151" t="s">
        <v>1752</v>
      </c>
      <c r="E670" s="2151"/>
      <c r="F670" s="2151"/>
      <c r="G670" s="2151"/>
      <c r="H670" s="2151"/>
      <c r="I670" s="2151"/>
      <c r="J670" s="1909">
        <f>'Notes- SK Template'!J685</f>
        <v>2645663</v>
      </c>
      <c r="K670" s="1909">
        <f>'Notes- SK Template'!K685</f>
        <v>0</v>
      </c>
      <c r="L670" s="1909">
        <f>'Notes- SK Template'!L685</f>
        <v>0</v>
      </c>
      <c r="M670" s="1909">
        <f>'Notes- SK Template'!M685</f>
        <v>0</v>
      </c>
      <c r="N670" s="1909">
        <f>'Notes- SK Template'!N685</f>
        <v>2822910</v>
      </c>
      <c r="O670" s="1909">
        <f>'Notes- SK Template'!O685</f>
        <v>0</v>
      </c>
      <c r="P670" s="1909">
        <f>'Notes- SK Template'!P685</f>
        <v>0</v>
      </c>
      <c r="Q670" s="1909">
        <f>'Notes- SK Template'!Q685</f>
        <v>0</v>
      </c>
      <c r="R670" s="1909">
        <f>'Notes- SK Template'!R685</f>
        <v>2493976</v>
      </c>
      <c r="S670" s="1909">
        <f>'Notes- SK Template'!S685</f>
        <v>0</v>
      </c>
      <c r="T670" s="1909">
        <f>'Notes- SK Template'!T685</f>
        <v>0</v>
      </c>
      <c r="U670" s="1909">
        <f>'Notes- SK Template'!U685</f>
        <v>0</v>
      </c>
      <c r="V670" s="1909">
        <f>'Notes- SK Template'!V685</f>
        <v>2351345</v>
      </c>
      <c r="W670" s="1909">
        <f>'Notes- SK Template'!W685</f>
        <v>0</v>
      </c>
      <c r="X670" s="1909">
        <f>'Notes- SK Template'!X685</f>
        <v>0</v>
      </c>
      <c r="Y670" s="1909">
        <f>'Notes- SK Template'!Y685</f>
        <v>0</v>
      </c>
      <c r="Z670" s="1909">
        <f>'Notes- SK Template'!Z685</f>
        <v>167741</v>
      </c>
      <c r="AA670" s="1909">
        <f>'Notes- SK Template'!AA685</f>
        <v>0</v>
      </c>
      <c r="AB670" s="1909">
        <f>'Notes- SK Template'!AB685</f>
        <v>0</v>
      </c>
      <c r="AC670" s="1909">
        <f>'Notes- SK Template'!AC685</f>
        <v>0</v>
      </c>
      <c r="AD670" s="1909">
        <f>'Notes- SK Template'!AD685</f>
        <v>163886</v>
      </c>
      <c r="AE670" s="1909">
        <f>'Notes- SK Template'!AE685</f>
        <v>0</v>
      </c>
      <c r="AF670" s="1909">
        <f>'Notes- SK Template'!AF685</f>
        <v>0</v>
      </c>
      <c r="AG670" s="1909">
        <f>'Notes- SK Template'!AG685</f>
        <v>0</v>
      </c>
    </row>
    <row r="672" spans="1:33" ht="14.25" customHeight="1">
      <c r="D672" s="1924" t="s">
        <v>1934</v>
      </c>
      <c r="E672" s="1924"/>
      <c r="F672" s="1924"/>
      <c r="G672" s="1924"/>
      <c r="H672" s="1924"/>
      <c r="I672" s="1924"/>
      <c r="J672" s="1924"/>
      <c r="K672" s="1924"/>
      <c r="L672" s="1924"/>
      <c r="M672" s="1924"/>
      <c r="N672" s="1924"/>
      <c r="O672" s="1924"/>
      <c r="P672" s="1924"/>
      <c r="Q672" s="1924"/>
      <c r="R672" s="1924"/>
      <c r="S672" s="1924"/>
      <c r="T672" s="1924"/>
      <c r="U672" s="1924"/>
      <c r="V672" s="1924"/>
      <c r="W672" s="1924"/>
      <c r="X672" s="1924"/>
      <c r="Y672" s="1924"/>
      <c r="Z672" s="1924"/>
      <c r="AA672" s="1924"/>
      <c r="AB672" s="1924"/>
      <c r="AC672" s="1924"/>
      <c r="AD672" s="1924"/>
      <c r="AE672" s="1924"/>
      <c r="AF672" s="1924"/>
      <c r="AG672" s="1924"/>
    </row>
    <row r="674" spans="1:33" ht="14.25" customHeight="1">
      <c r="D674" s="916" t="s">
        <v>1935</v>
      </c>
      <c r="E674" s="915"/>
      <c r="F674" s="915"/>
      <c r="G674" s="915"/>
      <c r="H674" s="911"/>
      <c r="I674" s="915"/>
      <c r="J674" s="915"/>
      <c r="K674" s="915"/>
      <c r="L674" s="915"/>
      <c r="M674" s="915"/>
      <c r="N674" s="915"/>
      <c r="O674" s="915"/>
      <c r="P674" s="915"/>
      <c r="Q674" s="915"/>
      <c r="R674" s="915"/>
      <c r="S674" s="915"/>
      <c r="T674" s="915"/>
      <c r="U674" s="915"/>
      <c r="V674" s="915"/>
      <c r="W674" s="915"/>
      <c r="X674" s="915"/>
      <c r="Y674" s="915"/>
      <c r="Z674" s="915"/>
      <c r="AA674" s="915"/>
      <c r="AB674" s="915"/>
      <c r="AC674" s="915"/>
      <c r="AD674" s="915"/>
      <c r="AE674" s="915"/>
      <c r="AF674" s="915"/>
      <c r="AG674" s="915"/>
    </row>
    <row r="675" spans="1:33" ht="14.25" customHeight="1" thickBot="1"/>
    <row r="676" spans="1:33" ht="32.25" customHeight="1" thickBot="1">
      <c r="A676" s="597">
        <v>36</v>
      </c>
      <c r="D676" s="1859" t="s">
        <v>1740</v>
      </c>
      <c r="E676" s="1859"/>
      <c r="F676" s="1859"/>
      <c r="G676" s="1859"/>
      <c r="H676" s="1859"/>
      <c r="I676" s="1859"/>
      <c r="J676" s="1859"/>
      <c r="K676" s="1859"/>
      <c r="L676" s="1859"/>
      <c r="M676" s="1859"/>
      <c r="N676" s="1838" t="s">
        <v>1741</v>
      </c>
      <c r="O676" s="1838"/>
      <c r="P676" s="1838"/>
      <c r="Q676" s="1838"/>
      <c r="R676" s="1838" t="s">
        <v>1802</v>
      </c>
      <c r="S676" s="1838"/>
      <c r="T676" s="1838"/>
      <c r="U676" s="1838"/>
      <c r="V676" s="1838"/>
      <c r="W676" s="1838"/>
      <c r="X676" s="1838"/>
      <c r="Y676" s="1838"/>
      <c r="Z676" s="1838" t="s">
        <v>1936</v>
      </c>
      <c r="AA676" s="1838"/>
      <c r="AB676" s="1838"/>
      <c r="AC676" s="1838"/>
      <c r="AD676" s="1838"/>
      <c r="AE676" s="1838"/>
      <c r="AF676" s="1838"/>
      <c r="AG676" s="1838"/>
    </row>
    <row r="677" spans="1:33" ht="48.75" customHeight="1" thickBot="1">
      <c r="D677" s="1859"/>
      <c r="E677" s="1859"/>
      <c r="F677" s="1859"/>
      <c r="G677" s="1859"/>
      <c r="H677" s="1859"/>
      <c r="I677" s="1859"/>
      <c r="J677" s="1859"/>
      <c r="K677" s="1859"/>
      <c r="L677" s="1859"/>
      <c r="M677" s="1859"/>
      <c r="N677" s="1838" t="s">
        <v>1937</v>
      </c>
      <c r="O677" s="1838"/>
      <c r="P677" s="1838"/>
      <c r="Q677" s="1838"/>
      <c r="R677" s="1838" t="s">
        <v>1937</v>
      </c>
      <c r="S677" s="1838"/>
      <c r="T677" s="1838"/>
      <c r="U677" s="1838"/>
      <c r="V677" s="1838" t="s">
        <v>1794</v>
      </c>
      <c r="W677" s="1838"/>
      <c r="X677" s="1838"/>
      <c r="Y677" s="1838"/>
      <c r="Z677" s="1838" t="s">
        <v>1741</v>
      </c>
      <c r="AA677" s="1838"/>
      <c r="AB677" s="1838"/>
      <c r="AC677" s="1838"/>
      <c r="AD677" s="1838" t="s">
        <v>1802</v>
      </c>
      <c r="AE677" s="1838"/>
      <c r="AF677" s="1838"/>
      <c r="AG677" s="1838"/>
    </row>
    <row r="678" spans="1:33" ht="24.75" customHeight="1">
      <c r="D678" s="1791" t="s">
        <v>1825</v>
      </c>
      <c r="E678" s="1791"/>
      <c r="F678" s="1791"/>
      <c r="G678" s="1791"/>
      <c r="H678" s="1791"/>
      <c r="I678" s="1791"/>
      <c r="J678" s="1791"/>
      <c r="K678" s="1791"/>
      <c r="L678" s="1791"/>
      <c r="M678" s="1791"/>
      <c r="N678" s="1775">
        <f>'Notes- SK Template'!N694</f>
        <v>3950</v>
      </c>
      <c r="O678" s="1775">
        <f>'Notes- SK Template'!O694</f>
        <v>0</v>
      </c>
      <c r="P678" s="1775">
        <f>'Notes- SK Template'!P694</f>
        <v>0</v>
      </c>
      <c r="Q678" s="1950">
        <f>'Notes- SK Template'!Q694</f>
        <v>0</v>
      </c>
      <c r="R678" s="1774">
        <f>'Notes- SK Template'!R694</f>
        <v>3887</v>
      </c>
      <c r="S678" s="1775">
        <f>'Notes- SK Template'!S694</f>
        <v>0</v>
      </c>
      <c r="T678" s="1775">
        <f>'Notes- SK Template'!T694</f>
        <v>0</v>
      </c>
      <c r="U678" s="1776">
        <f>'Notes- SK Template'!U694</f>
        <v>0</v>
      </c>
      <c r="V678" s="1936">
        <f>'Notes- SK Template'!V694</f>
        <v>0</v>
      </c>
      <c r="W678" s="1775">
        <f>'Notes- SK Template'!W694</f>
        <v>0</v>
      </c>
      <c r="X678" s="1775">
        <f>'Notes- SK Template'!X694</f>
        <v>0</v>
      </c>
      <c r="Y678" s="1775">
        <f>'Notes- SK Template'!Y694</f>
        <v>0</v>
      </c>
      <c r="Z678" s="1775">
        <f>'Notes- SK Template'!Z694</f>
        <v>63</v>
      </c>
      <c r="AA678" s="1775">
        <f>'Notes- SK Template'!AA694</f>
        <v>0</v>
      </c>
      <c r="AB678" s="1775">
        <f>'Notes- SK Template'!AB694</f>
        <v>0</v>
      </c>
      <c r="AC678" s="1775">
        <f>'Notes- SK Template'!AC694</f>
        <v>0</v>
      </c>
      <c r="AD678" s="1775">
        <f>'Notes- SK Template'!AD694</f>
        <v>3887</v>
      </c>
      <c r="AE678" s="1775">
        <f>'Notes- SK Template'!AE694</f>
        <v>0</v>
      </c>
      <c r="AF678" s="1775">
        <f>'Notes- SK Template'!AF694</f>
        <v>0</v>
      </c>
      <c r="AG678" s="1775">
        <f>'Notes- SK Template'!AG694</f>
        <v>0</v>
      </c>
    </row>
    <row r="679" spans="1:33" ht="24.75" customHeight="1">
      <c r="D679" s="1943" t="s">
        <v>1826</v>
      </c>
      <c r="E679" s="1944"/>
      <c r="F679" s="1944"/>
      <c r="G679" s="1944"/>
      <c r="H679" s="1944"/>
      <c r="I679" s="1944"/>
      <c r="J679" s="1944"/>
      <c r="K679" s="1944"/>
      <c r="L679" s="1944"/>
      <c r="M679" s="1945"/>
      <c r="N679" s="1777">
        <f>'Notes- SK Template'!N695</f>
        <v>2326</v>
      </c>
      <c r="O679" s="1778">
        <f>'Notes- SK Template'!O695</f>
        <v>0</v>
      </c>
      <c r="P679" s="1778">
        <f>'Notes- SK Template'!P695</f>
        <v>0</v>
      </c>
      <c r="Q679" s="1778">
        <f>'Notes- SK Template'!Q695</f>
        <v>0</v>
      </c>
      <c r="R679" s="1778">
        <f>'Notes- SK Template'!R695</f>
        <v>2797</v>
      </c>
      <c r="S679" s="1778">
        <f>'Notes- SK Template'!S695</f>
        <v>0</v>
      </c>
      <c r="T679" s="1778">
        <f>'Notes- SK Template'!T695</f>
        <v>0</v>
      </c>
      <c r="U679" s="1778">
        <f>'Notes- SK Template'!U695</f>
        <v>0</v>
      </c>
      <c r="V679" s="1778">
        <f>'Notes- SK Template'!V695</f>
        <v>26569</v>
      </c>
      <c r="W679" s="1778">
        <f>'Notes- SK Template'!W695</f>
        <v>0</v>
      </c>
      <c r="X679" s="1778">
        <f>'Notes- SK Template'!X695</f>
        <v>0</v>
      </c>
      <c r="Y679" s="1937">
        <f>'Notes- SK Template'!Y695</f>
        <v>0</v>
      </c>
      <c r="Z679" s="1814">
        <f>'Notes- SK Template'!Z695</f>
        <v>-471</v>
      </c>
      <c r="AA679" s="1778">
        <f>'Notes- SK Template'!AA695</f>
        <v>0</v>
      </c>
      <c r="AB679" s="1778">
        <f>'Notes- SK Template'!AB695</f>
        <v>0</v>
      </c>
      <c r="AC679" s="1779">
        <f>'Notes- SK Template'!AC695</f>
        <v>0</v>
      </c>
      <c r="AD679" s="1777">
        <f>'Notes- SK Template'!AD695</f>
        <v>-23772</v>
      </c>
      <c r="AE679" s="1778">
        <f>'Notes- SK Template'!AE695</f>
        <v>0</v>
      </c>
      <c r="AF679" s="1778">
        <f>'Notes- SK Template'!AF695</f>
        <v>0</v>
      </c>
      <c r="AG679" s="1779">
        <f>'Notes- SK Template'!AG695</f>
        <v>0</v>
      </c>
    </row>
    <row r="680" spans="1:33" ht="24.75" customHeight="1">
      <c r="D680" s="1943" t="s">
        <v>1827</v>
      </c>
      <c r="E680" s="1944"/>
      <c r="F680" s="1944"/>
      <c r="G680" s="1944"/>
      <c r="H680" s="1944"/>
      <c r="I680" s="1944"/>
      <c r="J680" s="1944"/>
      <c r="K680" s="1944"/>
      <c r="L680" s="1944"/>
      <c r="M680" s="1945"/>
      <c r="N680" s="1777">
        <f>'Notes- SK Template'!N696</f>
        <v>0</v>
      </c>
      <c r="O680" s="1778">
        <f>'Notes- SK Template'!O696</f>
        <v>0</v>
      </c>
      <c r="P680" s="1778">
        <f>'Notes- SK Template'!P696</f>
        <v>0</v>
      </c>
      <c r="Q680" s="1778">
        <f>'Notes- SK Template'!Q696</f>
        <v>0</v>
      </c>
      <c r="R680" s="1778">
        <f>'Notes- SK Template'!R696</f>
        <v>0</v>
      </c>
      <c r="S680" s="1778">
        <f>'Notes- SK Template'!S696</f>
        <v>0</v>
      </c>
      <c r="T680" s="1778">
        <f>'Notes- SK Template'!T696</f>
        <v>0</v>
      </c>
      <c r="U680" s="1778">
        <f>'Notes- SK Template'!U696</f>
        <v>0</v>
      </c>
      <c r="V680" s="1778">
        <f>'Notes- SK Template'!V696</f>
        <v>0</v>
      </c>
      <c r="W680" s="1778">
        <f>'Notes- SK Template'!W696</f>
        <v>0</v>
      </c>
      <c r="X680" s="1778">
        <f>'Notes- SK Template'!X696</f>
        <v>0</v>
      </c>
      <c r="Y680" s="1937">
        <f>'Notes- SK Template'!Y696</f>
        <v>0</v>
      </c>
      <c r="Z680" s="1814">
        <f>'Notes- SK Template'!Z696</f>
        <v>0</v>
      </c>
      <c r="AA680" s="1778">
        <f>'Notes- SK Template'!AA696</f>
        <v>0</v>
      </c>
      <c r="AB680" s="1778">
        <f>'Notes- SK Template'!AB696</f>
        <v>0</v>
      </c>
      <c r="AC680" s="1779">
        <f>'Notes- SK Template'!AC696</f>
        <v>0</v>
      </c>
      <c r="AD680" s="1777">
        <f>'Notes- SK Template'!AD696</f>
        <v>0</v>
      </c>
      <c r="AE680" s="1778">
        <f>'Notes- SK Template'!AE696</f>
        <v>0</v>
      </c>
      <c r="AF680" s="1778">
        <f>'Notes- SK Template'!AF696</f>
        <v>0</v>
      </c>
      <c r="AG680" s="1779">
        <f>'Notes- SK Template'!AG696</f>
        <v>0</v>
      </c>
    </row>
    <row r="681" spans="1:33" ht="24.75" customHeight="1">
      <c r="D681" s="1946" t="s">
        <v>1752</v>
      </c>
      <c r="E681" s="1947"/>
      <c r="F681" s="1947"/>
      <c r="G681" s="1947"/>
      <c r="H681" s="1947"/>
      <c r="I681" s="1947"/>
      <c r="J681" s="1947"/>
      <c r="K681" s="1947"/>
      <c r="L681" s="1947"/>
      <c r="M681" s="1948"/>
      <c r="N681" s="1792">
        <f>'Notes- SK Template'!N697</f>
        <v>6276</v>
      </c>
      <c r="O681" s="1793">
        <f>'Notes- SK Template'!O697</f>
        <v>0</v>
      </c>
      <c r="P681" s="1793">
        <f>'Notes- SK Template'!P697</f>
        <v>0</v>
      </c>
      <c r="Q681" s="1793">
        <f>'Notes- SK Template'!Q697</f>
        <v>0</v>
      </c>
      <c r="R681" s="1793">
        <f>'Notes- SK Template'!R697</f>
        <v>6684</v>
      </c>
      <c r="S681" s="1793">
        <f>'Notes- SK Template'!S697</f>
        <v>0</v>
      </c>
      <c r="T681" s="1793">
        <f>'Notes- SK Template'!T697</f>
        <v>0</v>
      </c>
      <c r="U681" s="1793">
        <f>'Notes- SK Template'!U697</f>
        <v>0</v>
      </c>
      <c r="V681" s="1793">
        <f>'Notes- SK Template'!V697</f>
        <v>26569</v>
      </c>
      <c r="W681" s="1793">
        <f>'Notes- SK Template'!W697</f>
        <v>0</v>
      </c>
      <c r="X681" s="1793">
        <f>'Notes- SK Template'!X697</f>
        <v>0</v>
      </c>
      <c r="Y681" s="1938">
        <f>'Notes- SK Template'!Y697</f>
        <v>0</v>
      </c>
      <c r="Z681" s="1929">
        <f>'Notes- SK Template'!Z697</f>
        <v>-408</v>
      </c>
      <c r="AA681" s="1793">
        <f>'Notes- SK Template'!AA697</f>
        <v>0</v>
      </c>
      <c r="AB681" s="1793">
        <f>'Notes- SK Template'!AB697</f>
        <v>0</v>
      </c>
      <c r="AC681" s="1930">
        <f>'Notes- SK Template'!AC697</f>
        <v>0</v>
      </c>
      <c r="AD681" s="1792">
        <f>'Notes- SK Template'!AD697</f>
        <v>-19885</v>
      </c>
      <c r="AE681" s="1793">
        <f>'Notes- SK Template'!AE697</f>
        <v>0</v>
      </c>
      <c r="AF681" s="1793">
        <f>'Notes- SK Template'!AF697</f>
        <v>0</v>
      </c>
      <c r="AG681" s="1930">
        <f>'Notes- SK Template'!AG697</f>
        <v>0</v>
      </c>
    </row>
    <row r="682" spans="1:33" ht="24.75" customHeight="1">
      <c r="D682" s="1943" t="s">
        <v>1938</v>
      </c>
      <c r="E682" s="1944"/>
      <c r="F682" s="1944"/>
      <c r="G682" s="1944"/>
      <c r="H682" s="1944"/>
      <c r="I682" s="1944"/>
      <c r="J682" s="1944"/>
      <c r="K682" s="1944"/>
      <c r="L682" s="1944"/>
      <c r="M682" s="1945"/>
      <c r="N682" s="1794" t="str">
        <f>'Notes- SK Template'!N698</f>
        <v>x</v>
      </c>
      <c r="O682" s="1795">
        <f>'Notes- SK Template'!O698</f>
        <v>0</v>
      </c>
      <c r="P682" s="1795">
        <f>'Notes- SK Template'!P698</f>
        <v>0</v>
      </c>
      <c r="Q682" s="1795">
        <f>'Notes- SK Template'!Q698</f>
        <v>0</v>
      </c>
      <c r="R682" s="1795" t="str">
        <f>'Notes- SK Template'!R698</f>
        <v>x</v>
      </c>
      <c r="S682" s="1795">
        <f>'Notes- SK Template'!S698</f>
        <v>0</v>
      </c>
      <c r="T682" s="1795">
        <f>'Notes- SK Template'!T698</f>
        <v>0</v>
      </c>
      <c r="U682" s="1795">
        <f>'Notes- SK Template'!U698</f>
        <v>0</v>
      </c>
      <c r="V682" s="1795" t="str">
        <f>'Notes- SK Template'!V698</f>
        <v>x</v>
      </c>
      <c r="W682" s="1795">
        <f>'Notes- SK Template'!W698</f>
        <v>0</v>
      </c>
      <c r="X682" s="1795">
        <f>'Notes- SK Template'!X698</f>
        <v>0</v>
      </c>
      <c r="Y682" s="1939">
        <f>'Notes- SK Template'!Y698</f>
        <v>0</v>
      </c>
      <c r="Z682" s="1814">
        <f>'Notes- SK Template'!Z698</f>
        <v>0</v>
      </c>
      <c r="AA682" s="1778">
        <f>'Notes- SK Template'!AA698</f>
        <v>0</v>
      </c>
      <c r="AB682" s="1778">
        <f>'Notes- SK Template'!AB698</f>
        <v>0</v>
      </c>
      <c r="AC682" s="1779">
        <f>'Notes- SK Template'!AC698</f>
        <v>0</v>
      </c>
      <c r="AD682" s="1777">
        <f>'Notes- SK Template'!AD698</f>
        <v>0</v>
      </c>
      <c r="AE682" s="1778">
        <f>'Notes- SK Template'!AE698</f>
        <v>0</v>
      </c>
      <c r="AF682" s="1778">
        <f>'Notes- SK Template'!AF698</f>
        <v>0</v>
      </c>
      <c r="AG682" s="1779">
        <f>'Notes- SK Template'!AG698</f>
        <v>0</v>
      </c>
    </row>
    <row r="683" spans="1:33" ht="24.75" customHeight="1">
      <c r="D683" s="1943" t="s">
        <v>1939</v>
      </c>
      <c r="E683" s="1944"/>
      <c r="F683" s="1944"/>
      <c r="G683" s="1944"/>
      <c r="H683" s="1944"/>
      <c r="I683" s="1944"/>
      <c r="J683" s="1944"/>
      <c r="K683" s="1944"/>
      <c r="L683" s="1944"/>
      <c r="M683" s="1945"/>
      <c r="N683" s="1794" t="str">
        <f>'Notes- SK Template'!N699</f>
        <v>x</v>
      </c>
      <c r="O683" s="1795">
        <f>'Notes- SK Template'!O699</f>
        <v>0</v>
      </c>
      <c r="P683" s="1795">
        <f>'Notes- SK Template'!P699</f>
        <v>0</v>
      </c>
      <c r="Q683" s="1795">
        <f>'Notes- SK Template'!Q699</f>
        <v>0</v>
      </c>
      <c r="R683" s="1795" t="str">
        <f>'Notes- SK Template'!R699</f>
        <v>x</v>
      </c>
      <c r="S683" s="1795">
        <f>'Notes- SK Template'!S699</f>
        <v>0</v>
      </c>
      <c r="T683" s="1795">
        <f>'Notes- SK Template'!T699</f>
        <v>0</v>
      </c>
      <c r="U683" s="1795">
        <f>'Notes- SK Template'!U699</f>
        <v>0</v>
      </c>
      <c r="V683" s="1795" t="str">
        <f>'Notes- SK Template'!V699</f>
        <v>x</v>
      </c>
      <c r="W683" s="1795">
        <f>'Notes- SK Template'!W699</f>
        <v>0</v>
      </c>
      <c r="X683" s="1795">
        <f>'Notes- SK Template'!X699</f>
        <v>0</v>
      </c>
      <c r="Y683" s="1939">
        <f>'Notes- SK Template'!Y699</f>
        <v>0</v>
      </c>
      <c r="Z683" s="1814">
        <f>'Notes- SK Template'!Z699</f>
        <v>0</v>
      </c>
      <c r="AA683" s="1778">
        <f>'Notes- SK Template'!AA699</f>
        <v>0</v>
      </c>
      <c r="AB683" s="1778">
        <f>'Notes- SK Template'!AB699</f>
        <v>0</v>
      </c>
      <c r="AC683" s="1779">
        <f>'Notes- SK Template'!AC699</f>
        <v>0</v>
      </c>
      <c r="AD683" s="1777">
        <f>'Notes- SK Template'!AD699</f>
        <v>0</v>
      </c>
      <c r="AE683" s="1778">
        <f>'Notes- SK Template'!AE699</f>
        <v>0</v>
      </c>
      <c r="AF683" s="1778">
        <f>'Notes- SK Template'!AF699</f>
        <v>0</v>
      </c>
      <c r="AG683" s="1779">
        <f>'Notes- SK Template'!AG699</f>
        <v>0</v>
      </c>
    </row>
    <row r="684" spans="1:33" ht="24.75" customHeight="1">
      <c r="D684" s="1943" t="s">
        <v>1940</v>
      </c>
      <c r="E684" s="1944"/>
      <c r="F684" s="1944"/>
      <c r="G684" s="1944"/>
      <c r="H684" s="1944"/>
      <c r="I684" s="1944"/>
      <c r="J684" s="1944"/>
      <c r="K684" s="1944"/>
      <c r="L684" s="1944"/>
      <c r="M684" s="1945"/>
      <c r="N684" s="1794" t="str">
        <f>'Notes- SK Template'!N700</f>
        <v>x</v>
      </c>
      <c r="O684" s="1795">
        <f>'Notes- SK Template'!O700</f>
        <v>0</v>
      </c>
      <c r="P684" s="1795">
        <f>'Notes- SK Template'!P700</f>
        <v>0</v>
      </c>
      <c r="Q684" s="1795">
        <f>'Notes- SK Template'!Q700</f>
        <v>0</v>
      </c>
      <c r="R684" s="1795" t="str">
        <f>'Notes- SK Template'!R700</f>
        <v>x</v>
      </c>
      <c r="S684" s="1795">
        <f>'Notes- SK Template'!S700</f>
        <v>0</v>
      </c>
      <c r="T684" s="1795">
        <f>'Notes- SK Template'!T700</f>
        <v>0</v>
      </c>
      <c r="U684" s="1795">
        <f>'Notes- SK Template'!U700</f>
        <v>0</v>
      </c>
      <c r="V684" s="1795" t="str">
        <f>'Notes- SK Template'!V700</f>
        <v>x</v>
      </c>
      <c r="W684" s="1795">
        <f>'Notes- SK Template'!W700</f>
        <v>0</v>
      </c>
      <c r="X684" s="1795">
        <f>'Notes- SK Template'!X700</f>
        <v>0</v>
      </c>
      <c r="Y684" s="1939">
        <f>'Notes- SK Template'!Y700</f>
        <v>0</v>
      </c>
      <c r="Z684" s="1814">
        <f>'Notes- SK Template'!Z700</f>
        <v>0</v>
      </c>
      <c r="AA684" s="1778">
        <f>'Notes- SK Template'!AA700</f>
        <v>0</v>
      </c>
      <c r="AB684" s="1778">
        <f>'Notes- SK Template'!AB700</f>
        <v>0</v>
      </c>
      <c r="AC684" s="1779">
        <f>'Notes- SK Template'!AC700</f>
        <v>0</v>
      </c>
      <c r="AD684" s="1777">
        <f>'Notes- SK Template'!AD700</f>
        <v>0</v>
      </c>
      <c r="AE684" s="1778">
        <f>'Notes- SK Template'!AE700</f>
        <v>0</v>
      </c>
      <c r="AF684" s="1778">
        <f>'Notes- SK Template'!AF700</f>
        <v>0</v>
      </c>
      <c r="AG684" s="1779">
        <f>'Notes- SK Template'!AG700</f>
        <v>0</v>
      </c>
    </row>
    <row r="685" spans="1:33" ht="24.75" customHeight="1" thickBot="1">
      <c r="D685" s="1942" t="s">
        <v>1882</v>
      </c>
      <c r="E685" s="1942"/>
      <c r="F685" s="1942"/>
      <c r="G685" s="1942"/>
      <c r="H685" s="1942"/>
      <c r="I685" s="1942"/>
      <c r="J685" s="1942"/>
      <c r="K685" s="1942"/>
      <c r="L685" s="1942"/>
      <c r="M685" s="1942"/>
      <c r="N685" s="1796" t="str">
        <f>'Notes- SK Template'!N701</f>
        <v>x</v>
      </c>
      <c r="O685" s="1797">
        <f>'Notes- SK Template'!O701</f>
        <v>0</v>
      </c>
      <c r="P685" s="1797">
        <f>'Notes- SK Template'!P701</f>
        <v>0</v>
      </c>
      <c r="Q685" s="1798">
        <f>'Notes- SK Template'!Q701</f>
        <v>0</v>
      </c>
      <c r="R685" s="1932" t="str">
        <f>'Notes- SK Template'!R701</f>
        <v>x</v>
      </c>
      <c r="S685" s="1797">
        <f>'Notes- SK Template'!S701</f>
        <v>0</v>
      </c>
      <c r="T685" s="1797">
        <f>'Notes- SK Template'!T701</f>
        <v>0</v>
      </c>
      <c r="U685" s="1933">
        <f>'Notes- SK Template'!U701</f>
        <v>0</v>
      </c>
      <c r="V685" s="1796" t="str">
        <f>'Notes- SK Template'!V701</f>
        <v>x</v>
      </c>
      <c r="W685" s="1797">
        <f>'Notes- SK Template'!W701</f>
        <v>0</v>
      </c>
      <c r="X685" s="1797">
        <f>'Notes- SK Template'!X701</f>
        <v>0</v>
      </c>
      <c r="Y685" s="1798">
        <f>'Notes- SK Template'!Y701</f>
        <v>0</v>
      </c>
      <c r="Z685" s="1931">
        <f>'Notes- SK Template'!Z701</f>
        <v>0</v>
      </c>
      <c r="AA685" s="1931">
        <f>'Notes- SK Template'!AA701</f>
        <v>0</v>
      </c>
      <c r="AB685" s="1931">
        <f>'Notes- SK Template'!AB701</f>
        <v>0</v>
      </c>
      <c r="AC685" s="1931">
        <f>'Notes- SK Template'!AC701</f>
        <v>0</v>
      </c>
      <c r="AD685" s="1949">
        <f>'Notes- SK Template'!AD701</f>
        <v>0</v>
      </c>
      <c r="AE685" s="1931">
        <f>'Notes- SK Template'!AE701</f>
        <v>0</v>
      </c>
      <c r="AF685" s="1931">
        <f>'Notes- SK Template'!AF701</f>
        <v>0</v>
      </c>
      <c r="AG685" s="1931">
        <f>'Notes- SK Template'!AG701</f>
        <v>0</v>
      </c>
    </row>
    <row r="686" spans="1:33" ht="28.5" customHeight="1" thickBot="1">
      <c r="D686" s="1941" t="s">
        <v>1941</v>
      </c>
      <c r="E686" s="1941"/>
      <c r="F686" s="1941"/>
      <c r="G686" s="1941"/>
      <c r="H686" s="1941"/>
      <c r="I686" s="1941"/>
      <c r="J686" s="1941"/>
      <c r="K686" s="1941"/>
      <c r="L686" s="1941"/>
      <c r="M686" s="1941"/>
      <c r="N686" s="1833" t="str">
        <f>'Notes- SK Template'!N702</f>
        <v>x</v>
      </c>
      <c r="O686" s="1833">
        <f>'Notes- SK Template'!O702</f>
        <v>0</v>
      </c>
      <c r="P686" s="1833">
        <f>'Notes- SK Template'!P702</f>
        <v>0</v>
      </c>
      <c r="Q686" s="1834">
        <f>'Notes- SK Template'!Q702</f>
        <v>0</v>
      </c>
      <c r="R686" s="1934" t="str">
        <f>'Notes- SK Template'!R702</f>
        <v>x</v>
      </c>
      <c r="S686" s="1833">
        <f>'Notes- SK Template'!S702</f>
        <v>0</v>
      </c>
      <c r="T686" s="1833">
        <f>'Notes- SK Template'!T702</f>
        <v>0</v>
      </c>
      <c r="U686" s="1935">
        <f>'Notes- SK Template'!U702</f>
        <v>0</v>
      </c>
      <c r="V686" s="1940" t="str">
        <f>'Notes- SK Template'!V702</f>
        <v>x</v>
      </c>
      <c r="W686" s="1833">
        <f>'Notes- SK Template'!W702</f>
        <v>0</v>
      </c>
      <c r="X686" s="1833">
        <f>'Notes- SK Template'!X702</f>
        <v>0</v>
      </c>
      <c r="Y686" s="1833">
        <f>'Notes- SK Template'!Y702</f>
        <v>0</v>
      </c>
      <c r="Z686" s="1820">
        <f>'Notes- SK Template'!Z702</f>
        <v>-408</v>
      </c>
      <c r="AA686" s="1820">
        <f>'Notes- SK Template'!AA702</f>
        <v>0</v>
      </c>
      <c r="AB686" s="1820">
        <f>'Notes- SK Template'!AB702</f>
        <v>0</v>
      </c>
      <c r="AC686" s="1820">
        <f>'Notes- SK Template'!AC702</f>
        <v>0</v>
      </c>
      <c r="AD686" s="1820">
        <f>'Notes- SK Template'!AD702</f>
        <v>-19885</v>
      </c>
      <c r="AE686" s="1820">
        <f>'Notes- SK Template'!AE702</f>
        <v>0</v>
      </c>
      <c r="AF686" s="1820">
        <f>'Notes- SK Template'!AF702</f>
        <v>0</v>
      </c>
      <c r="AG686" s="1820">
        <f>'Notes- SK Template'!AG702</f>
        <v>0</v>
      </c>
    </row>
    <row r="689" spans="1:33" ht="14.25" customHeight="1">
      <c r="D689" s="1924" t="s">
        <v>2971</v>
      </c>
      <c r="E689" s="1924"/>
      <c r="F689" s="1924"/>
      <c r="G689" s="1924"/>
      <c r="H689" s="1924"/>
      <c r="I689" s="1924"/>
      <c r="J689" s="1924"/>
      <c r="K689" s="1924"/>
      <c r="L689" s="1924"/>
      <c r="M689" s="1924"/>
      <c r="N689" s="1924"/>
      <c r="O689" s="1924"/>
      <c r="P689" s="1924"/>
      <c r="Q689" s="1924"/>
      <c r="R689" s="1924"/>
      <c r="S689" s="1924"/>
      <c r="T689" s="1924"/>
      <c r="U689" s="1924"/>
      <c r="V689" s="1924"/>
      <c r="W689" s="1924"/>
      <c r="X689" s="1924"/>
      <c r="Y689" s="1924"/>
      <c r="Z689" s="1924"/>
      <c r="AA689" s="1924"/>
      <c r="AB689" s="1924"/>
      <c r="AC689" s="1924"/>
      <c r="AD689" s="1924"/>
      <c r="AE689" s="1924"/>
      <c r="AF689" s="1924"/>
      <c r="AG689" s="1924"/>
    </row>
    <row r="691" spans="1:33" ht="14.25" customHeight="1">
      <c r="D691" s="2083" t="s">
        <v>2972</v>
      </c>
      <c r="E691" s="2150"/>
      <c r="F691" s="2150"/>
      <c r="G691" s="2150"/>
      <c r="H691" s="2150"/>
      <c r="I691" s="2150"/>
      <c r="J691" s="2150"/>
      <c r="K691" s="2150"/>
      <c r="L691" s="2150"/>
      <c r="M691" s="2150"/>
      <c r="N691" s="2150"/>
      <c r="O691" s="2150"/>
      <c r="P691" s="2150"/>
      <c r="Q691" s="2150"/>
      <c r="R691" s="2150"/>
      <c r="S691" s="2150"/>
      <c r="T691" s="2150"/>
      <c r="U691" s="2150"/>
      <c r="V691" s="2150"/>
      <c r="W691" s="2150"/>
      <c r="X691" s="2150"/>
      <c r="Y691" s="2150"/>
      <c r="Z691" s="2150"/>
      <c r="AA691" s="2150"/>
      <c r="AB691" s="2150"/>
      <c r="AC691" s="2150"/>
      <c r="AD691" s="2150"/>
      <c r="AE691" s="2150"/>
      <c r="AF691" s="2150"/>
      <c r="AG691" s="2150"/>
    </row>
    <row r="692" spans="1:33" ht="6.75" customHeight="1">
      <c r="D692" s="2150"/>
      <c r="E692" s="2150"/>
      <c r="F692" s="2150"/>
      <c r="G692" s="2150"/>
      <c r="H692" s="2150"/>
      <c r="I692" s="2150"/>
      <c r="J692" s="2150"/>
      <c r="K692" s="2150"/>
      <c r="L692" s="2150"/>
      <c r="M692" s="2150"/>
      <c r="N692" s="2150"/>
      <c r="O692" s="2150"/>
      <c r="P692" s="2150"/>
      <c r="Q692" s="2150"/>
      <c r="R692" s="2150"/>
      <c r="S692" s="2150"/>
      <c r="T692" s="2150"/>
      <c r="U692" s="2150"/>
      <c r="V692" s="2150"/>
      <c r="W692" s="2150"/>
      <c r="X692" s="2150"/>
      <c r="Y692" s="2150"/>
      <c r="Z692" s="2150"/>
      <c r="AA692" s="2150"/>
      <c r="AB692" s="2150"/>
      <c r="AC692" s="2150"/>
      <c r="AD692" s="2150"/>
      <c r="AE692" s="2150"/>
      <c r="AF692" s="2150"/>
      <c r="AG692" s="2150"/>
    </row>
    <row r="693" spans="1:33" ht="14.25" customHeight="1" thickBot="1"/>
    <row r="694" spans="1:33" ht="14.25" customHeight="1" thickBot="1">
      <c r="A694" s="597">
        <v>37</v>
      </c>
      <c r="D694" s="1811" t="s">
        <v>1740</v>
      </c>
      <c r="E694" s="1812"/>
      <c r="F694" s="1812"/>
      <c r="G694" s="1812"/>
      <c r="H694" s="1812"/>
      <c r="I694" s="1812"/>
      <c r="J694" s="1812"/>
      <c r="K694" s="1812"/>
      <c r="L694" s="1812"/>
      <c r="M694" s="1813"/>
      <c r="N694" s="1799" t="s">
        <v>1741</v>
      </c>
      <c r="O694" s="1800"/>
      <c r="P694" s="1800"/>
      <c r="Q694" s="1800"/>
      <c r="R694" s="1800"/>
      <c r="S694" s="1800"/>
      <c r="T694" s="1800"/>
      <c r="U694" s="1800"/>
      <c r="V694" s="1800"/>
      <c r="W694" s="1800"/>
      <c r="X694" s="1799" t="s">
        <v>1863</v>
      </c>
      <c r="Y694" s="1800"/>
      <c r="Z694" s="1800"/>
      <c r="AA694" s="1800"/>
      <c r="AB694" s="1800"/>
      <c r="AC694" s="1800"/>
      <c r="AD694" s="1800"/>
      <c r="AE694" s="1800"/>
      <c r="AF694" s="1800"/>
      <c r="AG694" s="1803"/>
    </row>
    <row r="695" spans="1:33" ht="14.25" customHeight="1" thickBot="1">
      <c r="D695" s="1811"/>
      <c r="E695" s="1812"/>
      <c r="F695" s="1812"/>
      <c r="G695" s="1812"/>
      <c r="H695" s="1812"/>
      <c r="I695" s="1812"/>
      <c r="J695" s="1812"/>
      <c r="K695" s="1812"/>
      <c r="L695" s="1812"/>
      <c r="M695" s="1813"/>
      <c r="N695" s="1801"/>
      <c r="O695" s="1802"/>
      <c r="P695" s="1802"/>
      <c r="Q695" s="1802"/>
      <c r="R695" s="1802"/>
      <c r="S695" s="1802"/>
      <c r="T695" s="1802"/>
      <c r="U695" s="1802"/>
      <c r="V695" s="1802"/>
      <c r="W695" s="1802"/>
      <c r="X695" s="1801"/>
      <c r="Y695" s="1802"/>
      <c r="Z695" s="1802"/>
      <c r="AA695" s="1802"/>
      <c r="AB695" s="1802"/>
      <c r="AC695" s="1802"/>
      <c r="AD695" s="1802"/>
      <c r="AE695" s="1802"/>
      <c r="AF695" s="1802"/>
      <c r="AG695" s="1804"/>
    </row>
    <row r="696" spans="1:33" s="588" customFormat="1" ht="27" customHeight="1">
      <c r="A696" s="631"/>
      <c r="D696" s="1925" t="s">
        <v>1942</v>
      </c>
      <c r="E696" s="1926"/>
      <c r="F696" s="1926"/>
      <c r="G696" s="1926"/>
      <c r="H696" s="1926"/>
      <c r="I696" s="1926"/>
      <c r="J696" s="1926"/>
      <c r="K696" s="1926"/>
      <c r="L696" s="1926"/>
      <c r="M696" s="1927"/>
      <c r="N696" s="1928">
        <f>'Notes- SK Template'!N711</f>
        <v>0</v>
      </c>
      <c r="O696" s="1928">
        <f>'Notes- SK Template'!O711</f>
        <v>0</v>
      </c>
      <c r="P696" s="1928">
        <f>'Notes- SK Template'!P711</f>
        <v>0</v>
      </c>
      <c r="Q696" s="1928">
        <f>'Notes- SK Template'!Q711</f>
        <v>0</v>
      </c>
      <c r="R696" s="1928">
        <f>'Notes- SK Template'!R711</f>
        <v>0</v>
      </c>
      <c r="S696" s="1928">
        <f>'Notes- SK Template'!S711</f>
        <v>0</v>
      </c>
      <c r="T696" s="1928">
        <f>'Notes- SK Template'!T711</f>
        <v>0</v>
      </c>
      <c r="U696" s="1928">
        <f>'Notes- SK Template'!U711</f>
        <v>0</v>
      </c>
      <c r="V696" s="1928">
        <f>'Notes- SK Template'!V711</f>
        <v>0</v>
      </c>
      <c r="W696" s="1928">
        <f>'Notes- SK Template'!W711</f>
        <v>0</v>
      </c>
      <c r="X696" s="1928">
        <f>'Notes- SK Template'!X711</f>
        <v>0</v>
      </c>
      <c r="Y696" s="1928">
        <f>'Notes- SK Template'!Y711</f>
        <v>0</v>
      </c>
      <c r="Z696" s="1928">
        <f>'Notes- SK Template'!Z711</f>
        <v>0</v>
      </c>
      <c r="AA696" s="1928">
        <f>'Notes- SK Template'!AA711</f>
        <v>0</v>
      </c>
      <c r="AB696" s="1928">
        <f>'Notes- SK Template'!AB711</f>
        <v>0</v>
      </c>
      <c r="AC696" s="1928">
        <f>'Notes- SK Template'!AC711</f>
        <v>0</v>
      </c>
      <c r="AD696" s="1928">
        <f>'Notes- SK Template'!AD711</f>
        <v>0</v>
      </c>
      <c r="AE696" s="1928">
        <f>'Notes- SK Template'!AE711</f>
        <v>0</v>
      </c>
      <c r="AF696" s="1928">
        <f>'Notes- SK Template'!AF711</f>
        <v>0</v>
      </c>
      <c r="AG696" s="1928">
        <f>'Notes- SK Template'!AG711</f>
        <v>0</v>
      </c>
    </row>
    <row r="697" spans="1:33" s="588" customFormat="1" ht="27" customHeight="1">
      <c r="A697" s="631"/>
      <c r="D697" s="1786" t="s">
        <v>2848</v>
      </c>
      <c r="E697" s="1787">
        <f>'Notes- SK Template'!E712</f>
        <v>0</v>
      </c>
      <c r="F697" s="1787">
        <f>'Notes- SK Template'!F712</f>
        <v>0</v>
      </c>
      <c r="G697" s="1787">
        <f>'Notes- SK Template'!G712</f>
        <v>0</v>
      </c>
      <c r="H697" s="1787">
        <f>'Notes- SK Template'!H712</f>
        <v>0</v>
      </c>
      <c r="I697" s="1787">
        <f>'Notes- SK Template'!I712</f>
        <v>0</v>
      </c>
      <c r="J697" s="1787">
        <f>'Notes- SK Template'!J712</f>
        <v>0</v>
      </c>
      <c r="K697" s="1787">
        <f>'Notes- SK Template'!K712</f>
        <v>0</v>
      </c>
      <c r="L697" s="1787">
        <f>'Notes- SK Template'!L712</f>
        <v>0</v>
      </c>
      <c r="M697" s="1787">
        <f>'Notes- SK Template'!M712</f>
        <v>0</v>
      </c>
      <c r="N697" s="1764">
        <f>'Notes- SK Template'!N712</f>
        <v>0</v>
      </c>
      <c r="O697" s="1764">
        <f>'Notes- SK Template'!O712</f>
        <v>0</v>
      </c>
      <c r="P697" s="1764">
        <f>'Notes- SK Template'!P712</f>
        <v>0</v>
      </c>
      <c r="Q697" s="1764">
        <f>'Notes- SK Template'!Q712</f>
        <v>0</v>
      </c>
      <c r="R697" s="1764">
        <f>'Notes- SK Template'!R712</f>
        <v>0</v>
      </c>
      <c r="S697" s="1764">
        <f>'Notes- SK Template'!S712</f>
        <v>0</v>
      </c>
      <c r="T697" s="1764">
        <f>'Notes- SK Template'!T712</f>
        <v>0</v>
      </c>
      <c r="U697" s="1764">
        <f>'Notes- SK Template'!U712</f>
        <v>0</v>
      </c>
      <c r="V697" s="1764">
        <f>'Notes- SK Template'!V712</f>
        <v>0</v>
      </c>
      <c r="W697" s="1764">
        <f>'Notes- SK Template'!W712</f>
        <v>0</v>
      </c>
      <c r="X697" s="1764">
        <f>'Notes- SK Template'!X712</f>
        <v>0</v>
      </c>
      <c r="Y697" s="1764">
        <f>'Notes- SK Template'!Y712</f>
        <v>0</v>
      </c>
      <c r="Z697" s="1764">
        <f>'Notes- SK Template'!Z712</f>
        <v>0</v>
      </c>
      <c r="AA697" s="1764">
        <f>'Notes- SK Template'!AA712</f>
        <v>0</v>
      </c>
      <c r="AB697" s="1764">
        <f>'Notes- SK Template'!AB712</f>
        <v>0</v>
      </c>
      <c r="AC697" s="1764">
        <f>'Notes- SK Template'!AC712</f>
        <v>0</v>
      </c>
      <c r="AD697" s="1764">
        <f>'Notes- SK Template'!AD712</f>
        <v>0</v>
      </c>
      <c r="AE697" s="1764">
        <f>'Notes- SK Template'!AE712</f>
        <v>0</v>
      </c>
      <c r="AF697" s="1764">
        <f>'Notes- SK Template'!AF712</f>
        <v>0</v>
      </c>
      <c r="AG697" s="1764">
        <f>'Notes- SK Template'!AG712</f>
        <v>0</v>
      </c>
    </row>
    <row r="698" spans="1:33" s="588" customFormat="1" ht="27" customHeight="1">
      <c r="A698" s="631"/>
      <c r="D698" s="1787"/>
      <c r="E698" s="1787"/>
      <c r="F698" s="1787"/>
      <c r="G698" s="1787"/>
      <c r="H698" s="1787"/>
      <c r="I698" s="1787"/>
      <c r="J698" s="1787"/>
      <c r="K698" s="1787"/>
      <c r="L698" s="1787"/>
      <c r="M698" s="1787"/>
      <c r="N698" s="1764"/>
      <c r="O698" s="1764"/>
      <c r="P698" s="1764"/>
      <c r="Q698" s="1764"/>
      <c r="R698" s="1764"/>
      <c r="S698" s="1764"/>
      <c r="T698" s="1764"/>
      <c r="U698" s="1764"/>
      <c r="V698" s="1764"/>
      <c r="W698" s="1764"/>
      <c r="X698" s="1764"/>
      <c r="Y698" s="1764"/>
      <c r="Z698" s="1764"/>
      <c r="AA698" s="1764"/>
      <c r="AB698" s="1764"/>
      <c r="AC698" s="1764"/>
      <c r="AD698" s="1764"/>
      <c r="AE698" s="1764"/>
      <c r="AF698" s="1764"/>
      <c r="AG698" s="1764"/>
    </row>
    <row r="699" spans="1:33" s="588" customFormat="1" ht="27" customHeight="1">
      <c r="A699" s="631"/>
      <c r="D699" s="1818" t="s">
        <v>1943</v>
      </c>
      <c r="E699" s="1818"/>
      <c r="F699" s="1818"/>
      <c r="G699" s="1818"/>
      <c r="H699" s="1818"/>
      <c r="I699" s="1818"/>
      <c r="J699" s="1818"/>
      <c r="K699" s="1818"/>
      <c r="L699" s="1818"/>
      <c r="M699" s="1818"/>
      <c r="N699" s="1819">
        <f>'Notes- SK Template'!N714</f>
        <v>77462</v>
      </c>
      <c r="O699" s="1819">
        <f>'Notes- SK Template'!O714</f>
        <v>0</v>
      </c>
      <c r="P699" s="1819">
        <f>'Notes- SK Template'!P714</f>
        <v>0</v>
      </c>
      <c r="Q699" s="1819">
        <f>'Notes- SK Template'!Q714</f>
        <v>0</v>
      </c>
      <c r="R699" s="1819">
        <f>'Notes- SK Template'!R714</f>
        <v>0</v>
      </c>
      <c r="S699" s="1819">
        <f>'Notes- SK Template'!S714</f>
        <v>0</v>
      </c>
      <c r="T699" s="1819">
        <f>'Notes- SK Template'!T714</f>
        <v>0</v>
      </c>
      <c r="U699" s="1819">
        <f>'Notes- SK Template'!U714</f>
        <v>0</v>
      </c>
      <c r="V699" s="1819">
        <f>'Notes- SK Template'!V714</f>
        <v>0</v>
      </c>
      <c r="W699" s="1819">
        <f>'Notes- SK Template'!W714</f>
        <v>0</v>
      </c>
      <c r="X699" s="1819">
        <f>'Notes- SK Template'!X714</f>
        <v>916</v>
      </c>
      <c r="Y699" s="1819">
        <f>'Notes- SK Template'!Y714</f>
        <v>0</v>
      </c>
      <c r="Z699" s="1819">
        <f>'Notes- SK Template'!Z714</f>
        <v>0</v>
      </c>
      <c r="AA699" s="1819">
        <f>'Notes- SK Template'!AA714</f>
        <v>0</v>
      </c>
      <c r="AB699" s="1819">
        <f>'Notes- SK Template'!AB714</f>
        <v>0</v>
      </c>
      <c r="AC699" s="1819">
        <f>'Notes- SK Template'!AC714</f>
        <v>0</v>
      </c>
      <c r="AD699" s="1819">
        <f>'Notes- SK Template'!AD714</f>
        <v>0</v>
      </c>
      <c r="AE699" s="1819">
        <f>'Notes- SK Template'!AE714</f>
        <v>0</v>
      </c>
      <c r="AF699" s="1819">
        <f>'Notes- SK Template'!AF714</f>
        <v>0</v>
      </c>
      <c r="AG699" s="1819">
        <f>'Notes- SK Template'!AG714</f>
        <v>0</v>
      </c>
    </row>
    <row r="700" spans="1:33" s="588" customFormat="1" ht="27" customHeight="1">
      <c r="A700" s="631"/>
      <c r="D700" s="1786" t="s">
        <v>2846</v>
      </c>
      <c r="E700" s="1787">
        <f>'Notes- SK Template'!E715</f>
        <v>0</v>
      </c>
      <c r="F700" s="1787">
        <f>'Notes- SK Template'!F715</f>
        <v>0</v>
      </c>
      <c r="G700" s="1787">
        <f>'Notes- SK Template'!G715</f>
        <v>0</v>
      </c>
      <c r="H700" s="1787">
        <f>'Notes- SK Template'!H715</f>
        <v>0</v>
      </c>
      <c r="I700" s="1787">
        <f>'Notes- SK Template'!I715</f>
        <v>0</v>
      </c>
      <c r="J700" s="1787">
        <f>'Notes- SK Template'!J715</f>
        <v>0</v>
      </c>
      <c r="K700" s="1787">
        <f>'Notes- SK Template'!K715</f>
        <v>0</v>
      </c>
      <c r="L700" s="1787">
        <f>'Notes- SK Template'!L715</f>
        <v>0</v>
      </c>
      <c r="M700" s="1787">
        <f>'Notes- SK Template'!M715</f>
        <v>0</v>
      </c>
      <c r="N700" s="1764">
        <f>'Notes- SK Template'!N715</f>
        <v>9584</v>
      </c>
      <c r="O700" s="1764">
        <f>'Notes- SK Template'!O715</f>
        <v>0</v>
      </c>
      <c r="P700" s="1764">
        <f>'Notes- SK Template'!P715</f>
        <v>0</v>
      </c>
      <c r="Q700" s="1764">
        <f>'Notes- SK Template'!Q715</f>
        <v>0</v>
      </c>
      <c r="R700" s="1764">
        <f>'Notes- SK Template'!R715</f>
        <v>0</v>
      </c>
      <c r="S700" s="1764">
        <f>'Notes- SK Template'!S715</f>
        <v>0</v>
      </c>
      <c r="T700" s="1764">
        <f>'Notes- SK Template'!T715</f>
        <v>0</v>
      </c>
      <c r="U700" s="1764">
        <f>'Notes- SK Template'!U715</f>
        <v>0</v>
      </c>
      <c r="V700" s="1764">
        <f>'Notes- SK Template'!V715</f>
        <v>0</v>
      </c>
      <c r="W700" s="1764">
        <f>'Notes- SK Template'!W715</f>
        <v>0</v>
      </c>
      <c r="X700" s="1764">
        <f>'Notes- SK Template'!X715</f>
        <v>0</v>
      </c>
      <c r="Y700" s="1764">
        <f>'Notes- SK Template'!Y715</f>
        <v>0</v>
      </c>
      <c r="Z700" s="1764">
        <f>'Notes- SK Template'!Z715</f>
        <v>0</v>
      </c>
      <c r="AA700" s="1764">
        <f>'Notes- SK Template'!AA715</f>
        <v>0</v>
      </c>
      <c r="AB700" s="1764">
        <f>'Notes- SK Template'!AB715</f>
        <v>0</v>
      </c>
      <c r="AC700" s="1764">
        <f>'Notes- SK Template'!AC715</f>
        <v>0</v>
      </c>
      <c r="AD700" s="1764">
        <f>'Notes- SK Template'!AD715</f>
        <v>0</v>
      </c>
      <c r="AE700" s="1764">
        <f>'Notes- SK Template'!AE715</f>
        <v>0</v>
      </c>
      <c r="AF700" s="1764">
        <f>'Notes- SK Template'!AF715</f>
        <v>0</v>
      </c>
      <c r="AG700" s="1764">
        <f>'Notes- SK Template'!AG715</f>
        <v>0</v>
      </c>
    </row>
    <row r="701" spans="1:33" s="588" customFormat="1" ht="27" customHeight="1">
      <c r="A701" s="631"/>
      <c r="D701" s="1786" t="s">
        <v>2847</v>
      </c>
      <c r="E701" s="1787">
        <f>'Notes- SK Template'!E716</f>
        <v>0</v>
      </c>
      <c r="F701" s="1787">
        <f>'Notes- SK Template'!F716</f>
        <v>0</v>
      </c>
      <c r="G701" s="1787">
        <f>'Notes- SK Template'!G716</f>
        <v>0</v>
      </c>
      <c r="H701" s="1787">
        <f>'Notes- SK Template'!H716</f>
        <v>0</v>
      </c>
      <c r="I701" s="1787">
        <f>'Notes- SK Template'!I716</f>
        <v>0</v>
      </c>
      <c r="J701" s="1787">
        <f>'Notes- SK Template'!J716</f>
        <v>0</v>
      </c>
      <c r="K701" s="1787">
        <f>'Notes- SK Template'!K716</f>
        <v>0</v>
      </c>
      <c r="L701" s="1787">
        <f>'Notes- SK Template'!L716</f>
        <v>0</v>
      </c>
      <c r="M701" s="1787">
        <f>'Notes- SK Template'!M716</f>
        <v>0</v>
      </c>
      <c r="N701" s="1764">
        <f>'Notes- SK Template'!N716</f>
        <v>67878</v>
      </c>
      <c r="O701" s="1764">
        <f>'Notes- SK Template'!O716</f>
        <v>0</v>
      </c>
      <c r="P701" s="1764">
        <f>'Notes- SK Template'!P716</f>
        <v>0</v>
      </c>
      <c r="Q701" s="1764">
        <f>'Notes- SK Template'!Q716</f>
        <v>0</v>
      </c>
      <c r="R701" s="1764">
        <f>'Notes- SK Template'!R716</f>
        <v>0</v>
      </c>
      <c r="S701" s="1764">
        <f>'Notes- SK Template'!S716</f>
        <v>0</v>
      </c>
      <c r="T701" s="1764">
        <f>'Notes- SK Template'!T716</f>
        <v>0</v>
      </c>
      <c r="U701" s="1764">
        <f>'Notes- SK Template'!U716</f>
        <v>0</v>
      </c>
      <c r="V701" s="1764">
        <f>'Notes- SK Template'!V716</f>
        <v>0</v>
      </c>
      <c r="W701" s="1764">
        <f>'Notes- SK Template'!W716</f>
        <v>0</v>
      </c>
      <c r="X701" s="1764">
        <f>'Notes- SK Template'!X716</f>
        <v>916</v>
      </c>
      <c r="Y701" s="1764">
        <f>'Notes- SK Template'!Y716</f>
        <v>0</v>
      </c>
      <c r="Z701" s="1764">
        <f>'Notes- SK Template'!Z716</f>
        <v>0</v>
      </c>
      <c r="AA701" s="1764">
        <f>'Notes- SK Template'!AA716</f>
        <v>0</v>
      </c>
      <c r="AB701" s="1764">
        <f>'Notes- SK Template'!AB716</f>
        <v>0</v>
      </c>
      <c r="AC701" s="1764">
        <f>'Notes- SK Template'!AC716</f>
        <v>0</v>
      </c>
      <c r="AD701" s="1764">
        <f>'Notes- SK Template'!AD716</f>
        <v>0</v>
      </c>
      <c r="AE701" s="1764">
        <f>'Notes- SK Template'!AE716</f>
        <v>0</v>
      </c>
      <c r="AF701" s="1764">
        <f>'Notes- SK Template'!AF716</f>
        <v>0</v>
      </c>
      <c r="AG701" s="1764">
        <f>'Notes- SK Template'!AG716</f>
        <v>0</v>
      </c>
    </row>
    <row r="702" spans="1:33" s="588" customFormat="1" ht="27" customHeight="1">
      <c r="A702" s="631"/>
      <c r="D702" s="1818" t="s">
        <v>1944</v>
      </c>
      <c r="E702" s="1818"/>
      <c r="F702" s="1818"/>
      <c r="G702" s="1818"/>
      <c r="H702" s="1818"/>
      <c r="I702" s="1818"/>
      <c r="J702" s="1818"/>
      <c r="K702" s="1818"/>
      <c r="L702" s="1818"/>
      <c r="M702" s="1818"/>
      <c r="N702" s="1764">
        <f>'Notes- SK Template'!N717</f>
        <v>46176</v>
      </c>
      <c r="O702" s="1764">
        <f>'Notes- SK Template'!O717</f>
        <v>0</v>
      </c>
      <c r="P702" s="1764">
        <f>'Notes- SK Template'!P717</f>
        <v>0</v>
      </c>
      <c r="Q702" s="1764">
        <f>'Notes- SK Template'!Q717</f>
        <v>0</v>
      </c>
      <c r="R702" s="1764">
        <f>'Notes- SK Template'!R717</f>
        <v>0</v>
      </c>
      <c r="S702" s="1764">
        <f>'Notes- SK Template'!S717</f>
        <v>0</v>
      </c>
      <c r="T702" s="1764">
        <f>'Notes- SK Template'!T717</f>
        <v>0</v>
      </c>
      <c r="U702" s="1764">
        <f>'Notes- SK Template'!U717</f>
        <v>0</v>
      </c>
      <c r="V702" s="1764">
        <f>'Notes- SK Template'!V717</f>
        <v>0</v>
      </c>
      <c r="W702" s="1764">
        <f>'Notes- SK Template'!W717</f>
        <v>0</v>
      </c>
      <c r="X702" s="1764">
        <f>'Notes- SK Template'!X717</f>
        <v>29145</v>
      </c>
      <c r="Y702" s="1764">
        <f>'Notes- SK Template'!Y717</f>
        <v>0</v>
      </c>
      <c r="Z702" s="1764">
        <f>'Notes- SK Template'!Z717</f>
        <v>0</v>
      </c>
      <c r="AA702" s="1764">
        <f>'Notes- SK Template'!AA717</f>
        <v>0</v>
      </c>
      <c r="AB702" s="1764">
        <f>'Notes- SK Template'!AB717</f>
        <v>0</v>
      </c>
      <c r="AC702" s="1764">
        <f>'Notes- SK Template'!AC717</f>
        <v>0</v>
      </c>
      <c r="AD702" s="1764">
        <f>'Notes- SK Template'!AD717</f>
        <v>0</v>
      </c>
      <c r="AE702" s="1764">
        <f>'Notes- SK Template'!AE717</f>
        <v>0</v>
      </c>
      <c r="AF702" s="1764">
        <f>'Notes- SK Template'!AF717</f>
        <v>0</v>
      </c>
      <c r="AG702" s="1764">
        <f>'Notes- SK Template'!AG717</f>
        <v>0</v>
      </c>
    </row>
    <row r="703" spans="1:33" s="588" customFormat="1" ht="27" customHeight="1">
      <c r="A703" s="631"/>
      <c r="D703" s="1788" t="s">
        <v>1945</v>
      </c>
      <c r="E703" s="1788"/>
      <c r="F703" s="1788"/>
      <c r="G703" s="1788"/>
      <c r="H703" s="1788"/>
      <c r="I703" s="1788"/>
      <c r="J703" s="1788"/>
      <c r="K703" s="1788"/>
      <c r="L703" s="1788"/>
      <c r="M703" s="1788"/>
      <c r="N703" s="1764">
        <f>'Notes- SK Template'!N718</f>
        <v>46176</v>
      </c>
      <c r="O703" s="1764">
        <f>'Notes- SK Template'!O718</f>
        <v>0</v>
      </c>
      <c r="P703" s="1764">
        <f>'Notes- SK Template'!P718</f>
        <v>0</v>
      </c>
      <c r="Q703" s="1764">
        <f>'Notes- SK Template'!Q718</f>
        <v>0</v>
      </c>
      <c r="R703" s="1764">
        <f>'Notes- SK Template'!R718</f>
        <v>0</v>
      </c>
      <c r="S703" s="1764">
        <f>'Notes- SK Template'!S718</f>
        <v>0</v>
      </c>
      <c r="T703" s="1764">
        <f>'Notes- SK Template'!T718</f>
        <v>0</v>
      </c>
      <c r="U703" s="1764">
        <f>'Notes- SK Template'!U718</f>
        <v>0</v>
      </c>
      <c r="V703" s="1764">
        <f>'Notes- SK Template'!V718</f>
        <v>0</v>
      </c>
      <c r="W703" s="1764">
        <f>'Notes- SK Template'!W718</f>
        <v>0</v>
      </c>
      <c r="X703" s="1764">
        <f>'Notes- SK Template'!X718</f>
        <v>29114</v>
      </c>
      <c r="Y703" s="1764">
        <f>'Notes- SK Template'!Y718</f>
        <v>0</v>
      </c>
      <c r="Z703" s="1764">
        <f>'Notes- SK Template'!Z718</f>
        <v>0</v>
      </c>
      <c r="AA703" s="1764">
        <f>'Notes- SK Template'!AA718</f>
        <v>0</v>
      </c>
      <c r="AB703" s="1764">
        <f>'Notes- SK Template'!AB718</f>
        <v>0</v>
      </c>
      <c r="AC703" s="1764">
        <f>'Notes- SK Template'!AC718</f>
        <v>0</v>
      </c>
      <c r="AD703" s="1764">
        <f>'Notes- SK Template'!AD718</f>
        <v>0</v>
      </c>
      <c r="AE703" s="1764">
        <f>'Notes- SK Template'!AE718</f>
        <v>0</v>
      </c>
      <c r="AF703" s="1764">
        <f>'Notes- SK Template'!AF718</f>
        <v>0</v>
      </c>
      <c r="AG703" s="1764">
        <f>'Notes- SK Template'!AG718</f>
        <v>0</v>
      </c>
    </row>
    <row r="704" spans="1:33" s="588" customFormat="1" ht="27" customHeight="1">
      <c r="A704" s="631"/>
      <c r="D704" s="2556" t="s">
        <v>1946</v>
      </c>
      <c r="E704" s="1787"/>
      <c r="F704" s="1787"/>
      <c r="G704" s="1787"/>
      <c r="H704" s="1787"/>
      <c r="I704" s="1787"/>
      <c r="J704" s="1787"/>
      <c r="K704" s="1787"/>
      <c r="L704" s="1787"/>
      <c r="M704" s="1787"/>
      <c r="N704" s="1764">
        <f>'Notes- SK Template'!N719</f>
        <v>46176</v>
      </c>
      <c r="O704" s="1764">
        <f>'Notes- SK Template'!O719</f>
        <v>0</v>
      </c>
      <c r="P704" s="1764">
        <f>'Notes- SK Template'!P719</f>
        <v>0</v>
      </c>
      <c r="Q704" s="1764">
        <f>'Notes- SK Template'!Q719</f>
        <v>0</v>
      </c>
      <c r="R704" s="1764">
        <f>'Notes- SK Template'!R719</f>
        <v>0</v>
      </c>
      <c r="S704" s="1764">
        <f>'Notes- SK Template'!S719</f>
        <v>0</v>
      </c>
      <c r="T704" s="1764">
        <f>'Notes- SK Template'!T719</f>
        <v>0</v>
      </c>
      <c r="U704" s="1764">
        <f>'Notes- SK Template'!U719</f>
        <v>0</v>
      </c>
      <c r="V704" s="1764">
        <f>'Notes- SK Template'!V719</f>
        <v>0</v>
      </c>
      <c r="W704" s="1764">
        <f>'Notes- SK Template'!W719</f>
        <v>0</v>
      </c>
      <c r="X704" s="1764">
        <f>'Notes- SK Template'!X719</f>
        <v>29114</v>
      </c>
      <c r="Y704" s="1764">
        <f>'Notes- SK Template'!Y719</f>
        <v>0</v>
      </c>
      <c r="Z704" s="1764">
        <f>'Notes- SK Template'!Z719</f>
        <v>0</v>
      </c>
      <c r="AA704" s="1764">
        <f>'Notes- SK Template'!AA719</f>
        <v>0</v>
      </c>
      <c r="AB704" s="1764">
        <f>'Notes- SK Template'!AB719</f>
        <v>0</v>
      </c>
      <c r="AC704" s="1764">
        <f>'Notes- SK Template'!AC719</f>
        <v>0</v>
      </c>
      <c r="AD704" s="1764">
        <f>'Notes- SK Template'!AD719</f>
        <v>0</v>
      </c>
      <c r="AE704" s="1764">
        <f>'Notes- SK Template'!AE719</f>
        <v>0</v>
      </c>
      <c r="AF704" s="1764">
        <f>'Notes- SK Template'!AF719</f>
        <v>0</v>
      </c>
      <c r="AG704" s="1764">
        <f>'Notes- SK Template'!AG719</f>
        <v>0</v>
      </c>
    </row>
    <row r="705" spans="1:33" s="588" customFormat="1" ht="27" customHeight="1">
      <c r="A705" s="631"/>
      <c r="D705" s="1788" t="s">
        <v>1947</v>
      </c>
      <c r="E705" s="1788"/>
      <c r="F705" s="1788"/>
      <c r="G705" s="1788"/>
      <c r="H705" s="1788"/>
      <c r="I705" s="1788"/>
      <c r="J705" s="1788"/>
      <c r="K705" s="1788"/>
      <c r="L705" s="1788"/>
      <c r="M705" s="1788"/>
      <c r="N705" s="1764">
        <f>'Notes- SK Template'!N720</f>
        <v>0</v>
      </c>
      <c r="O705" s="1764">
        <f>'Notes- SK Template'!O720</f>
        <v>0</v>
      </c>
      <c r="P705" s="1764">
        <f>'Notes- SK Template'!P720</f>
        <v>0</v>
      </c>
      <c r="Q705" s="1764">
        <f>'Notes- SK Template'!Q720</f>
        <v>0</v>
      </c>
      <c r="R705" s="1764">
        <f>'Notes- SK Template'!R720</f>
        <v>0</v>
      </c>
      <c r="S705" s="1764">
        <f>'Notes- SK Template'!S720</f>
        <v>0</v>
      </c>
      <c r="T705" s="1764">
        <f>'Notes- SK Template'!T720</f>
        <v>0</v>
      </c>
      <c r="U705" s="1764">
        <f>'Notes- SK Template'!U720</f>
        <v>0</v>
      </c>
      <c r="V705" s="1764">
        <f>'Notes- SK Template'!V720</f>
        <v>0</v>
      </c>
      <c r="W705" s="1764">
        <f>'Notes- SK Template'!W720</f>
        <v>0</v>
      </c>
      <c r="X705" s="1764">
        <f>'Notes- SK Template'!X720</f>
        <v>31</v>
      </c>
      <c r="Y705" s="1764">
        <f>'Notes- SK Template'!Y720</f>
        <v>0</v>
      </c>
      <c r="Z705" s="1764">
        <f>'Notes- SK Template'!Z720</f>
        <v>0</v>
      </c>
      <c r="AA705" s="1764">
        <f>'Notes- SK Template'!AA720</f>
        <v>0</v>
      </c>
      <c r="AB705" s="1764">
        <f>'Notes- SK Template'!AB720</f>
        <v>0</v>
      </c>
      <c r="AC705" s="1764">
        <f>'Notes- SK Template'!AC720</f>
        <v>0</v>
      </c>
      <c r="AD705" s="1764">
        <f>'Notes- SK Template'!AD720</f>
        <v>0</v>
      </c>
      <c r="AE705" s="1764">
        <f>'Notes- SK Template'!AE720</f>
        <v>0</v>
      </c>
      <c r="AF705" s="1764">
        <f>'Notes- SK Template'!AF720</f>
        <v>0</v>
      </c>
      <c r="AG705" s="1764">
        <f>'Notes- SK Template'!AG720</f>
        <v>0</v>
      </c>
    </row>
    <row r="706" spans="1:33" s="588" customFormat="1" ht="27" customHeight="1">
      <c r="A706" s="631"/>
      <c r="D706" s="1786" t="s">
        <v>2849</v>
      </c>
      <c r="E706" s="1787">
        <f>'Notes- SK Template'!E721</f>
        <v>0</v>
      </c>
      <c r="F706" s="1787">
        <f>'Notes- SK Template'!F721</f>
        <v>0</v>
      </c>
      <c r="G706" s="1787">
        <f>'Notes- SK Template'!G721</f>
        <v>0</v>
      </c>
      <c r="H706" s="1787">
        <f>'Notes- SK Template'!H721</f>
        <v>0</v>
      </c>
      <c r="I706" s="1787">
        <f>'Notes- SK Template'!I721</f>
        <v>0</v>
      </c>
      <c r="J706" s="1787">
        <f>'Notes- SK Template'!J721</f>
        <v>0</v>
      </c>
      <c r="K706" s="1787">
        <f>'Notes- SK Template'!K721</f>
        <v>0</v>
      </c>
      <c r="L706" s="1787">
        <f>'Notes- SK Template'!L721</f>
        <v>0</v>
      </c>
      <c r="M706" s="1787">
        <f>'Notes- SK Template'!M721</f>
        <v>0</v>
      </c>
      <c r="N706" s="1764">
        <f>'Notes- SK Template'!N721</f>
        <v>0</v>
      </c>
      <c r="O706" s="1764">
        <f>'Notes- SK Template'!O721</f>
        <v>0</v>
      </c>
      <c r="P706" s="1764">
        <f>'Notes- SK Template'!P721</f>
        <v>0</v>
      </c>
      <c r="Q706" s="1764">
        <f>'Notes- SK Template'!Q721</f>
        <v>0</v>
      </c>
      <c r="R706" s="1764">
        <f>'Notes- SK Template'!R721</f>
        <v>0</v>
      </c>
      <c r="S706" s="1764">
        <f>'Notes- SK Template'!S721</f>
        <v>0</v>
      </c>
      <c r="T706" s="1764">
        <f>'Notes- SK Template'!T721</f>
        <v>0</v>
      </c>
      <c r="U706" s="1764">
        <f>'Notes- SK Template'!U721</f>
        <v>0</v>
      </c>
      <c r="V706" s="1764">
        <f>'Notes- SK Template'!V721</f>
        <v>0</v>
      </c>
      <c r="W706" s="1764">
        <f>'Notes- SK Template'!W721</f>
        <v>0</v>
      </c>
      <c r="X706" s="1764">
        <f>'Notes- SK Template'!X721</f>
        <v>31</v>
      </c>
      <c r="Y706" s="1764">
        <f>'Notes- SK Template'!Y721</f>
        <v>0</v>
      </c>
      <c r="Z706" s="1764">
        <f>'Notes- SK Template'!Z721</f>
        <v>0</v>
      </c>
      <c r="AA706" s="1764">
        <f>'Notes- SK Template'!AA721</f>
        <v>0</v>
      </c>
      <c r="AB706" s="1764">
        <f>'Notes- SK Template'!AB721</f>
        <v>0</v>
      </c>
      <c r="AC706" s="1764">
        <f>'Notes- SK Template'!AC721</f>
        <v>0</v>
      </c>
      <c r="AD706" s="1764">
        <f>'Notes- SK Template'!AD721</f>
        <v>0</v>
      </c>
      <c r="AE706" s="1764">
        <f>'Notes- SK Template'!AE721</f>
        <v>0</v>
      </c>
      <c r="AF706" s="1764">
        <f>'Notes- SK Template'!AF721</f>
        <v>0</v>
      </c>
      <c r="AG706" s="1764">
        <f>'Notes- SK Template'!AG721</f>
        <v>0</v>
      </c>
    </row>
    <row r="707" spans="1:33" s="588" customFormat="1" ht="27" customHeight="1">
      <c r="A707" s="631"/>
      <c r="D707" s="1786" t="s">
        <v>2850</v>
      </c>
      <c r="E707" s="1787">
        <f>'Notes- SK Template'!E722</f>
        <v>0</v>
      </c>
      <c r="F707" s="1787">
        <f>'Notes- SK Template'!F722</f>
        <v>0</v>
      </c>
      <c r="G707" s="1787">
        <f>'Notes- SK Template'!G722</f>
        <v>0</v>
      </c>
      <c r="H707" s="1787">
        <f>'Notes- SK Template'!H722</f>
        <v>0</v>
      </c>
      <c r="I707" s="1787">
        <f>'Notes- SK Template'!I722</f>
        <v>0</v>
      </c>
      <c r="J707" s="1787">
        <f>'Notes- SK Template'!J722</f>
        <v>0</v>
      </c>
      <c r="K707" s="1787">
        <f>'Notes- SK Template'!K722</f>
        <v>0</v>
      </c>
      <c r="L707" s="1787">
        <f>'Notes- SK Template'!L722</f>
        <v>0</v>
      </c>
      <c r="M707" s="1787">
        <f>'Notes- SK Template'!M722</f>
        <v>0</v>
      </c>
      <c r="N707" s="1764"/>
      <c r="O707" s="1764"/>
      <c r="P707" s="1764"/>
      <c r="Q707" s="1764"/>
      <c r="R707" s="1764"/>
      <c r="S707" s="1764"/>
      <c r="T707" s="1764"/>
      <c r="U707" s="1764"/>
      <c r="V707" s="1764"/>
      <c r="W707" s="1764"/>
      <c r="X707" s="1764"/>
      <c r="Y707" s="1764"/>
      <c r="Z707" s="1764"/>
      <c r="AA707" s="1764"/>
      <c r="AB707" s="1764"/>
      <c r="AC707" s="1764"/>
      <c r="AD707" s="1764"/>
      <c r="AE707" s="1764"/>
      <c r="AF707" s="1764"/>
      <c r="AG707" s="1764"/>
    </row>
    <row r="708" spans="1:33" s="588" customFormat="1" ht="27" customHeight="1">
      <c r="A708" s="631"/>
      <c r="D708" s="1818" t="s">
        <v>1948</v>
      </c>
      <c r="E708" s="1818"/>
      <c r="F708" s="1818"/>
      <c r="G708" s="1818"/>
      <c r="H708" s="1818"/>
      <c r="I708" s="1818"/>
      <c r="J708" s="1818"/>
      <c r="K708" s="1818"/>
      <c r="L708" s="1818"/>
      <c r="M708" s="1818"/>
      <c r="N708" s="1764"/>
      <c r="O708" s="1764"/>
      <c r="P708" s="1764"/>
      <c r="Q708" s="1764"/>
      <c r="R708" s="1764"/>
      <c r="S708" s="1764"/>
      <c r="T708" s="1764"/>
      <c r="U708" s="1764"/>
      <c r="V708" s="1764"/>
      <c r="W708" s="1764"/>
      <c r="X708" s="1764"/>
      <c r="Y708" s="1764"/>
      <c r="Z708" s="1764"/>
      <c r="AA708" s="1764"/>
      <c r="AB708" s="1764"/>
      <c r="AC708" s="1764"/>
      <c r="AD708" s="1764"/>
      <c r="AE708" s="1764"/>
      <c r="AF708" s="1764"/>
      <c r="AG708" s="1764"/>
    </row>
    <row r="709" spans="1:33" ht="14.25" customHeight="1">
      <c r="D709" s="665"/>
      <c r="E709" s="665"/>
      <c r="F709" s="665"/>
      <c r="G709" s="665"/>
      <c r="H709" s="665"/>
      <c r="I709" s="665"/>
      <c r="J709" s="665"/>
      <c r="K709" s="665"/>
      <c r="L709" s="665"/>
      <c r="M709" s="665"/>
    </row>
    <row r="710" spans="1:33" ht="14.25" customHeight="1">
      <c r="D710" s="1809" t="s">
        <v>1949</v>
      </c>
      <c r="E710" s="1810"/>
      <c r="F710" s="1810"/>
      <c r="G710" s="1810"/>
      <c r="H710" s="1810"/>
      <c r="I710" s="1810"/>
      <c r="J710" s="1810"/>
      <c r="K710" s="1810"/>
      <c r="L710" s="1810"/>
      <c r="M710" s="1810"/>
      <c r="N710" s="1810"/>
      <c r="O710" s="1810"/>
      <c r="P710" s="1810"/>
      <c r="Q710" s="1810"/>
      <c r="R710" s="1810"/>
      <c r="S710" s="1810"/>
      <c r="T710" s="1810"/>
      <c r="U710" s="1810"/>
      <c r="V710" s="1810"/>
      <c r="W710" s="1810"/>
      <c r="X710" s="1810"/>
      <c r="Y710" s="1810"/>
      <c r="Z710" s="1810"/>
      <c r="AA710" s="1810"/>
      <c r="AB710" s="1810"/>
      <c r="AC710" s="1810"/>
      <c r="AD710" s="1810"/>
      <c r="AE710" s="1810"/>
      <c r="AF710" s="1810"/>
      <c r="AG710" s="1810"/>
    </row>
    <row r="711" spans="1:33" ht="14.25" customHeight="1" thickBot="1">
      <c r="D711" s="665"/>
      <c r="E711" s="665"/>
      <c r="F711" s="665"/>
      <c r="G711" s="665"/>
      <c r="H711" s="665"/>
      <c r="I711" s="665"/>
      <c r="J711" s="665"/>
      <c r="K711" s="665"/>
      <c r="L711" s="665"/>
      <c r="M711" s="665"/>
    </row>
    <row r="712" spans="1:33" ht="14.25" customHeight="1" thickBot="1">
      <c r="A712" s="597">
        <v>38</v>
      </c>
      <c r="D712" s="1811" t="s">
        <v>1740</v>
      </c>
      <c r="E712" s="1812"/>
      <c r="F712" s="1812"/>
      <c r="G712" s="1812"/>
      <c r="H712" s="1812"/>
      <c r="I712" s="1812"/>
      <c r="J712" s="1812"/>
      <c r="K712" s="1812"/>
      <c r="L712" s="1812"/>
      <c r="M712" s="1813"/>
      <c r="N712" s="1799" t="s">
        <v>1741</v>
      </c>
      <c r="O712" s="1800"/>
      <c r="P712" s="1800"/>
      <c r="Q712" s="1800"/>
      <c r="R712" s="1800"/>
      <c r="S712" s="1800"/>
      <c r="T712" s="1800"/>
      <c r="U712" s="1800"/>
      <c r="V712" s="1800"/>
      <c r="W712" s="1800"/>
      <c r="X712" s="1799" t="s">
        <v>1863</v>
      </c>
      <c r="Y712" s="1800"/>
      <c r="Z712" s="1800"/>
      <c r="AA712" s="1800"/>
      <c r="AB712" s="1800"/>
      <c r="AC712" s="1800"/>
      <c r="AD712" s="1800"/>
      <c r="AE712" s="1800"/>
      <c r="AF712" s="1800"/>
      <c r="AG712" s="1803"/>
    </row>
    <row r="713" spans="1:33" ht="14.25" customHeight="1" thickBot="1">
      <c r="D713" s="1811"/>
      <c r="E713" s="1812"/>
      <c r="F713" s="1812"/>
      <c r="G713" s="1812"/>
      <c r="H713" s="1812"/>
      <c r="I713" s="1812"/>
      <c r="J713" s="1812"/>
      <c r="K713" s="1812"/>
      <c r="L713" s="1812"/>
      <c r="M713" s="1813"/>
      <c r="N713" s="1801"/>
      <c r="O713" s="1802"/>
      <c r="P713" s="1802"/>
      <c r="Q713" s="1802"/>
      <c r="R713" s="1802"/>
      <c r="S713" s="1802"/>
      <c r="T713" s="1802"/>
      <c r="U713" s="1802"/>
      <c r="V713" s="1802"/>
      <c r="W713" s="1802"/>
      <c r="X713" s="1801"/>
      <c r="Y713" s="1802"/>
      <c r="Z713" s="1802"/>
      <c r="AA713" s="1802"/>
      <c r="AB713" s="1802"/>
      <c r="AC713" s="1802"/>
      <c r="AD713" s="1802"/>
      <c r="AE713" s="1802"/>
      <c r="AF713" s="1802"/>
      <c r="AG713" s="1804"/>
    </row>
    <row r="714" spans="1:33" ht="26.25" customHeight="1">
      <c r="D714" s="2554" t="s">
        <v>1950</v>
      </c>
      <c r="E714" s="1806"/>
      <c r="F714" s="1806"/>
      <c r="G714" s="1806"/>
      <c r="H714" s="1806"/>
      <c r="I714" s="1806"/>
      <c r="J714" s="1806"/>
      <c r="K714" s="1806"/>
      <c r="L714" s="1806"/>
      <c r="M714" s="1807"/>
      <c r="N714" s="1928">
        <f>'Notes- SK Template'!N729</f>
        <v>2645663</v>
      </c>
      <c r="O714" s="1928">
        <f>'Notes- SK Template'!O729</f>
        <v>0</v>
      </c>
      <c r="P714" s="1928">
        <f>'Notes- SK Template'!P729</f>
        <v>0</v>
      </c>
      <c r="Q714" s="1928">
        <f>'Notes- SK Template'!Q729</f>
        <v>0</v>
      </c>
      <c r="R714" s="1928">
        <f>'Notes- SK Template'!R729</f>
        <v>0</v>
      </c>
      <c r="S714" s="1928">
        <f>'Notes- SK Template'!S729</f>
        <v>0</v>
      </c>
      <c r="T714" s="1928">
        <f>'Notes- SK Template'!T729</f>
        <v>0</v>
      </c>
      <c r="U714" s="1928">
        <f>'Notes- SK Template'!U729</f>
        <v>0</v>
      </c>
      <c r="V714" s="1928">
        <f>'Notes- SK Template'!V729</f>
        <v>0</v>
      </c>
      <c r="W714" s="1928">
        <f>'Notes- SK Template'!W729</f>
        <v>0</v>
      </c>
      <c r="X714" s="1928">
        <f>'Notes- SK Template'!X729</f>
        <v>2822910</v>
      </c>
      <c r="Y714" s="1928">
        <f>'Notes- SK Template'!Y729</f>
        <v>0</v>
      </c>
      <c r="Z714" s="1928">
        <f>'Notes- SK Template'!Z729</f>
        <v>0</v>
      </c>
      <c r="AA714" s="1928">
        <f>'Notes- SK Template'!AA729</f>
        <v>0</v>
      </c>
      <c r="AB714" s="1928">
        <f>'Notes- SK Template'!AB729</f>
        <v>0</v>
      </c>
      <c r="AC714" s="1928">
        <f>'Notes- SK Template'!AC729</f>
        <v>0</v>
      </c>
      <c r="AD714" s="1928">
        <f>'Notes- SK Template'!AD729</f>
        <v>0</v>
      </c>
      <c r="AE714" s="1928">
        <f>'Notes- SK Template'!AE729</f>
        <v>0</v>
      </c>
      <c r="AF714" s="1928">
        <f>'Notes- SK Template'!AF729</f>
        <v>0</v>
      </c>
      <c r="AG714" s="1928">
        <f>'Notes- SK Template'!AG729</f>
        <v>0</v>
      </c>
    </row>
    <row r="715" spans="1:33" ht="26.25" customHeight="1">
      <c r="D715" s="2513" t="s">
        <v>1951</v>
      </c>
      <c r="E715" s="1762"/>
      <c r="F715" s="1762"/>
      <c r="G715" s="1762"/>
      <c r="H715" s="1762"/>
      <c r="I715" s="1762"/>
      <c r="J715" s="1762"/>
      <c r="K715" s="1762"/>
      <c r="L715" s="1762"/>
      <c r="M715" s="1763"/>
      <c r="N715" s="1764">
        <f>'Notes- SK Template'!N730</f>
        <v>167741</v>
      </c>
      <c r="O715" s="1764">
        <f>'Notes- SK Template'!O730</f>
        <v>0</v>
      </c>
      <c r="P715" s="1764">
        <f>'Notes- SK Template'!P730</f>
        <v>0</v>
      </c>
      <c r="Q715" s="1764">
        <f>'Notes- SK Template'!Q730</f>
        <v>0</v>
      </c>
      <c r="R715" s="1764">
        <f>'Notes- SK Template'!R730</f>
        <v>0</v>
      </c>
      <c r="S715" s="1764">
        <f>'Notes- SK Template'!S730</f>
        <v>0</v>
      </c>
      <c r="T715" s="1764">
        <f>'Notes- SK Template'!T730</f>
        <v>0</v>
      </c>
      <c r="U715" s="1764">
        <f>'Notes- SK Template'!U730</f>
        <v>0</v>
      </c>
      <c r="V715" s="1764">
        <f>'Notes- SK Template'!V730</f>
        <v>0</v>
      </c>
      <c r="W715" s="1764">
        <f>'Notes- SK Template'!W730</f>
        <v>0</v>
      </c>
      <c r="X715" s="1764">
        <f>'Notes- SK Template'!X730</f>
        <v>163886</v>
      </c>
      <c r="Y715" s="1764">
        <f>'Notes- SK Template'!Y730</f>
        <v>0</v>
      </c>
      <c r="Z715" s="1764">
        <f>'Notes- SK Template'!Z730</f>
        <v>0</v>
      </c>
      <c r="AA715" s="1764">
        <f>'Notes- SK Template'!AA730</f>
        <v>0</v>
      </c>
      <c r="AB715" s="1764">
        <f>'Notes- SK Template'!AB730</f>
        <v>0</v>
      </c>
      <c r="AC715" s="1764">
        <f>'Notes- SK Template'!AC730</f>
        <v>0</v>
      </c>
      <c r="AD715" s="1764">
        <f>'Notes- SK Template'!AD730</f>
        <v>0</v>
      </c>
      <c r="AE715" s="1764">
        <f>'Notes- SK Template'!AE730</f>
        <v>0</v>
      </c>
      <c r="AF715" s="1764">
        <f>'Notes- SK Template'!AF730</f>
        <v>0</v>
      </c>
      <c r="AG715" s="1764">
        <f>'Notes- SK Template'!AG730</f>
        <v>0</v>
      </c>
    </row>
    <row r="716" spans="1:33" ht="26.25" customHeight="1">
      <c r="D716" s="2513" t="s">
        <v>1952</v>
      </c>
      <c r="E716" s="1762"/>
      <c r="F716" s="1762"/>
      <c r="G716" s="1762"/>
      <c r="H716" s="1762"/>
      <c r="I716" s="1762"/>
      <c r="J716" s="1762"/>
      <c r="K716" s="1762"/>
      <c r="L716" s="1762"/>
      <c r="M716" s="1763"/>
      <c r="N716" s="1764">
        <f>'Notes- SK Template'!N731</f>
        <v>2493976</v>
      </c>
      <c r="O716" s="1764">
        <f>'Notes- SK Template'!O731</f>
        <v>0</v>
      </c>
      <c r="P716" s="1764">
        <f>'Notes- SK Template'!P731</f>
        <v>0</v>
      </c>
      <c r="Q716" s="1764">
        <f>'Notes- SK Template'!Q731</f>
        <v>0</v>
      </c>
      <c r="R716" s="1764">
        <f>'Notes- SK Template'!R731</f>
        <v>0</v>
      </c>
      <c r="S716" s="1764">
        <f>'Notes- SK Template'!S731</f>
        <v>0</v>
      </c>
      <c r="T716" s="1764">
        <f>'Notes- SK Template'!T731</f>
        <v>0</v>
      </c>
      <c r="U716" s="1764">
        <f>'Notes- SK Template'!U731</f>
        <v>0</v>
      </c>
      <c r="V716" s="1764">
        <f>'Notes- SK Template'!V731</f>
        <v>0</v>
      </c>
      <c r="W716" s="1764">
        <f>'Notes- SK Template'!W731</f>
        <v>0</v>
      </c>
      <c r="X716" s="1764">
        <f>'Notes- SK Template'!X731</f>
        <v>2351345</v>
      </c>
      <c r="Y716" s="1764">
        <f>'Notes- SK Template'!Y731</f>
        <v>0</v>
      </c>
      <c r="Z716" s="1764">
        <f>'Notes- SK Template'!Z731</f>
        <v>0</v>
      </c>
      <c r="AA716" s="1764">
        <f>'Notes- SK Template'!AA731</f>
        <v>0</v>
      </c>
      <c r="AB716" s="1764">
        <f>'Notes- SK Template'!AB731</f>
        <v>0</v>
      </c>
      <c r="AC716" s="1764">
        <f>'Notes- SK Template'!AC731</f>
        <v>0</v>
      </c>
      <c r="AD716" s="1764">
        <f>'Notes- SK Template'!AD731</f>
        <v>0</v>
      </c>
      <c r="AE716" s="1764">
        <f>'Notes- SK Template'!AE731</f>
        <v>0</v>
      </c>
      <c r="AF716" s="1764">
        <f>'Notes- SK Template'!AF731</f>
        <v>0</v>
      </c>
      <c r="AG716" s="1764">
        <f>'Notes- SK Template'!AG731</f>
        <v>0</v>
      </c>
    </row>
    <row r="717" spans="1:33" ht="26.25" customHeight="1">
      <c r="D717" s="2513" t="s">
        <v>1953</v>
      </c>
      <c r="E717" s="1762"/>
      <c r="F717" s="1762"/>
      <c r="G717" s="1762"/>
      <c r="H717" s="1762"/>
      <c r="I717" s="1762"/>
      <c r="J717" s="1762"/>
      <c r="K717" s="1762"/>
      <c r="L717" s="1762"/>
      <c r="M717" s="1763"/>
      <c r="N717" s="2555">
        <f>'Notes- SK Template'!N732</f>
        <v>0</v>
      </c>
      <c r="O717" s="2555">
        <f>'Notes- SK Template'!O732</f>
        <v>0</v>
      </c>
      <c r="P717" s="2555">
        <f>'Notes- SK Template'!P732</f>
        <v>0</v>
      </c>
      <c r="Q717" s="2555">
        <f>'Notes- SK Template'!Q732</f>
        <v>0</v>
      </c>
      <c r="R717" s="2555">
        <f>'Notes- SK Template'!R732</f>
        <v>0</v>
      </c>
      <c r="S717" s="2555">
        <f>'Notes- SK Template'!S732</f>
        <v>0</v>
      </c>
      <c r="T717" s="2555">
        <f>'Notes- SK Template'!T732</f>
        <v>0</v>
      </c>
      <c r="U717" s="2555">
        <f>'Notes- SK Template'!U732</f>
        <v>0</v>
      </c>
      <c r="V717" s="2555">
        <f>'Notes- SK Template'!V732</f>
        <v>0</v>
      </c>
      <c r="W717" s="2555">
        <f>'Notes- SK Template'!W732</f>
        <v>0</v>
      </c>
      <c r="X717" s="2555">
        <f>'Notes- SK Template'!X732</f>
        <v>0</v>
      </c>
      <c r="Y717" s="2555">
        <f>'Notes- SK Template'!Y732</f>
        <v>0</v>
      </c>
      <c r="Z717" s="2555">
        <f>'Notes- SK Template'!Z732</f>
        <v>0</v>
      </c>
      <c r="AA717" s="2555">
        <f>'Notes- SK Template'!AA732</f>
        <v>0</v>
      </c>
      <c r="AB717" s="2555">
        <f>'Notes- SK Template'!AB732</f>
        <v>0</v>
      </c>
      <c r="AC717" s="2555">
        <f>'Notes- SK Template'!AC732</f>
        <v>0</v>
      </c>
      <c r="AD717" s="2555">
        <f>'Notes- SK Template'!AD732</f>
        <v>0</v>
      </c>
      <c r="AE717" s="2555">
        <f>'Notes- SK Template'!AE732</f>
        <v>0</v>
      </c>
      <c r="AF717" s="2555">
        <f>'Notes- SK Template'!AF732</f>
        <v>0</v>
      </c>
      <c r="AG717" s="2555">
        <f>'Notes- SK Template'!AG732</f>
        <v>0</v>
      </c>
    </row>
    <row r="718" spans="1:33" ht="26.25" customHeight="1">
      <c r="D718" s="2513" t="s">
        <v>1954</v>
      </c>
      <c r="E718" s="1762"/>
      <c r="F718" s="1762"/>
      <c r="G718" s="1762"/>
      <c r="H718" s="1762"/>
      <c r="I718" s="1762"/>
      <c r="J718" s="1762"/>
      <c r="K718" s="1762"/>
      <c r="L718" s="1762"/>
      <c r="M718" s="1763"/>
      <c r="N718" s="1822">
        <f>'Notes- SK Template'!N733</f>
        <v>0</v>
      </c>
      <c r="O718" s="1822">
        <f>'Notes- SK Template'!O733</f>
        <v>0</v>
      </c>
      <c r="P718" s="1822">
        <f>'Notes- SK Template'!P733</f>
        <v>0</v>
      </c>
      <c r="Q718" s="1822">
        <f>'Notes- SK Template'!Q733</f>
        <v>0</v>
      </c>
      <c r="R718" s="1822">
        <f>'Notes- SK Template'!R733</f>
        <v>0</v>
      </c>
      <c r="S718" s="1822">
        <f>'Notes- SK Template'!S733</f>
        <v>0</v>
      </c>
      <c r="T718" s="1822">
        <f>'Notes- SK Template'!T733</f>
        <v>0</v>
      </c>
      <c r="U718" s="1822">
        <f>'Notes- SK Template'!U733</f>
        <v>0</v>
      </c>
      <c r="V718" s="1822">
        <f>'Notes- SK Template'!V733</f>
        <v>0</v>
      </c>
      <c r="W718" s="1822">
        <f>'Notes- SK Template'!W733</f>
        <v>0</v>
      </c>
      <c r="X718" s="1822">
        <f>'Notes- SK Template'!X733</f>
        <v>0</v>
      </c>
      <c r="Y718" s="1822">
        <f>'Notes- SK Template'!Y733</f>
        <v>0</v>
      </c>
      <c r="Z718" s="1822">
        <f>'Notes- SK Template'!Z733</f>
        <v>0</v>
      </c>
      <c r="AA718" s="1822">
        <f>'Notes- SK Template'!AA733</f>
        <v>0</v>
      </c>
      <c r="AB718" s="1822">
        <f>'Notes- SK Template'!AB733</f>
        <v>0</v>
      </c>
      <c r="AC718" s="1822">
        <f>'Notes- SK Template'!AC733</f>
        <v>0</v>
      </c>
      <c r="AD718" s="1822">
        <f>'Notes- SK Template'!AD733</f>
        <v>0</v>
      </c>
      <c r="AE718" s="1822">
        <f>'Notes- SK Template'!AE733</f>
        <v>0</v>
      </c>
      <c r="AF718" s="1822">
        <f>'Notes- SK Template'!AF733</f>
        <v>0</v>
      </c>
      <c r="AG718" s="1822">
        <f>'Notes- SK Template'!AG733</f>
        <v>0</v>
      </c>
    </row>
    <row r="719" spans="1:33" ht="26.25" customHeight="1">
      <c r="D719" s="2513" t="s">
        <v>1955</v>
      </c>
      <c r="E719" s="1762"/>
      <c r="F719" s="1762"/>
      <c r="G719" s="1762"/>
      <c r="H719" s="1762"/>
      <c r="I719" s="1762"/>
      <c r="J719" s="1762"/>
      <c r="K719" s="1762"/>
      <c r="L719" s="1762"/>
      <c r="M719" s="1763"/>
      <c r="N719" s="1819">
        <f>'Notes- SK Template'!N734</f>
        <v>0</v>
      </c>
      <c r="O719" s="1819">
        <f>'Notes- SK Template'!O734</f>
        <v>0</v>
      </c>
      <c r="P719" s="1819">
        <f>'Notes- SK Template'!P734</f>
        <v>0</v>
      </c>
      <c r="Q719" s="1819">
        <f>'Notes- SK Template'!Q734</f>
        <v>0</v>
      </c>
      <c r="R719" s="1819">
        <f>'Notes- SK Template'!R734</f>
        <v>0</v>
      </c>
      <c r="S719" s="1819">
        <f>'Notes- SK Template'!S734</f>
        <v>0</v>
      </c>
      <c r="T719" s="1819">
        <f>'Notes- SK Template'!T734</f>
        <v>0</v>
      </c>
      <c r="U719" s="1819">
        <f>'Notes- SK Template'!U734</f>
        <v>0</v>
      </c>
      <c r="V719" s="1819">
        <f>'Notes- SK Template'!V734</f>
        <v>0</v>
      </c>
      <c r="W719" s="1819">
        <f>'Notes- SK Template'!W734</f>
        <v>0</v>
      </c>
      <c r="X719" s="1819">
        <f>'Notes- SK Template'!X734</f>
        <v>0</v>
      </c>
      <c r="Y719" s="1819">
        <f>'Notes- SK Template'!Y734</f>
        <v>0</v>
      </c>
      <c r="Z719" s="1819">
        <f>'Notes- SK Template'!Z734</f>
        <v>0</v>
      </c>
      <c r="AA719" s="1819">
        <f>'Notes- SK Template'!AA734</f>
        <v>0</v>
      </c>
      <c r="AB719" s="1819">
        <f>'Notes- SK Template'!AB734</f>
        <v>0</v>
      </c>
      <c r="AC719" s="1819">
        <f>'Notes- SK Template'!AC734</f>
        <v>0</v>
      </c>
      <c r="AD719" s="1819">
        <f>'Notes- SK Template'!AD734</f>
        <v>0</v>
      </c>
      <c r="AE719" s="1819">
        <f>'Notes- SK Template'!AE734</f>
        <v>0</v>
      </c>
      <c r="AF719" s="1819">
        <f>'Notes- SK Template'!AF734</f>
        <v>0</v>
      </c>
      <c r="AG719" s="1819">
        <f>'Notes- SK Template'!AG734</f>
        <v>0</v>
      </c>
    </row>
    <row r="720" spans="1:33" ht="26.25" customHeight="1" thickBot="1">
      <c r="D720" s="1766" t="s">
        <v>1956</v>
      </c>
      <c r="E720" s="1767"/>
      <c r="F720" s="1767"/>
      <c r="G720" s="1767"/>
      <c r="H720" s="1767"/>
      <c r="I720" s="1767"/>
      <c r="J720" s="1767"/>
      <c r="K720" s="1767"/>
      <c r="L720" s="1767"/>
      <c r="M720" s="1768"/>
      <c r="N720" s="1770">
        <f>'Notes- SK Template'!N735</f>
        <v>5307380</v>
      </c>
      <c r="O720" s="1770">
        <f>'Notes- SK Template'!O735</f>
        <v>0</v>
      </c>
      <c r="P720" s="1770">
        <f>'Notes- SK Template'!P735</f>
        <v>0</v>
      </c>
      <c r="Q720" s="1770">
        <f>'Notes- SK Template'!Q735</f>
        <v>0</v>
      </c>
      <c r="R720" s="1770">
        <f>'Notes- SK Template'!R735</f>
        <v>0</v>
      </c>
      <c r="S720" s="1770">
        <f>'Notes- SK Template'!S735</f>
        <v>0</v>
      </c>
      <c r="T720" s="1770">
        <f>'Notes- SK Template'!T735</f>
        <v>0</v>
      </c>
      <c r="U720" s="1770">
        <f>'Notes- SK Template'!U735</f>
        <v>0</v>
      </c>
      <c r="V720" s="1770">
        <f>'Notes- SK Template'!V735</f>
        <v>0</v>
      </c>
      <c r="W720" s="1770">
        <f>'Notes- SK Template'!W735</f>
        <v>0</v>
      </c>
      <c r="X720" s="1770">
        <f>'Notes- SK Template'!X735</f>
        <v>5338141</v>
      </c>
      <c r="Y720" s="1770">
        <f>'Notes- SK Template'!Y735</f>
        <v>0</v>
      </c>
      <c r="Z720" s="1770">
        <f>'Notes- SK Template'!Z735</f>
        <v>0</v>
      </c>
      <c r="AA720" s="1770">
        <f>'Notes- SK Template'!AA735</f>
        <v>0</v>
      </c>
      <c r="AB720" s="1770">
        <f>'Notes- SK Template'!AB735</f>
        <v>0</v>
      </c>
      <c r="AC720" s="1770">
        <f>'Notes- SK Template'!AC735</f>
        <v>0</v>
      </c>
      <c r="AD720" s="1770">
        <f>'Notes- SK Template'!AD735</f>
        <v>0</v>
      </c>
      <c r="AE720" s="1770">
        <f>'Notes- SK Template'!AE735</f>
        <v>0</v>
      </c>
      <c r="AF720" s="1770">
        <f>'Notes- SK Template'!AF735</f>
        <v>0</v>
      </c>
      <c r="AG720" s="1770">
        <f>'Notes- SK Template'!AG735</f>
        <v>0</v>
      </c>
    </row>
    <row r="723" spans="1:33" ht="14.25" customHeight="1">
      <c r="D723" s="1924" t="s">
        <v>1957</v>
      </c>
      <c r="E723" s="1924"/>
      <c r="F723" s="1924"/>
      <c r="G723" s="1924"/>
      <c r="H723" s="1924"/>
      <c r="I723" s="1924"/>
      <c r="J723" s="1924"/>
      <c r="K723" s="1924"/>
      <c r="L723" s="1924"/>
      <c r="M723" s="1924"/>
      <c r="N723" s="1924"/>
      <c r="O723" s="1924"/>
      <c r="P723" s="1924"/>
      <c r="Q723" s="1924"/>
      <c r="R723" s="1924"/>
      <c r="S723" s="1924"/>
      <c r="T723" s="1924"/>
      <c r="U723" s="1924"/>
      <c r="V723" s="1924"/>
      <c r="W723" s="1924"/>
      <c r="X723" s="1924"/>
      <c r="Y723" s="1924"/>
      <c r="Z723" s="1924"/>
      <c r="AA723" s="1924"/>
      <c r="AB723" s="1924"/>
      <c r="AC723" s="1924"/>
      <c r="AD723" s="1924"/>
      <c r="AE723" s="1924"/>
      <c r="AF723" s="1924"/>
      <c r="AG723" s="1924"/>
    </row>
    <row r="725" spans="1:33" ht="14.25" customHeight="1">
      <c r="D725" s="1809" t="s">
        <v>1958</v>
      </c>
      <c r="E725" s="1810"/>
      <c r="F725" s="1810"/>
      <c r="G725" s="1810"/>
      <c r="H725" s="1810"/>
      <c r="I725" s="1810"/>
      <c r="J725" s="1810"/>
      <c r="K725" s="1810"/>
      <c r="L725" s="1810"/>
      <c r="M725" s="1810"/>
      <c r="N725" s="1810"/>
      <c r="O725" s="1810"/>
      <c r="P725" s="1810"/>
      <c r="Q725" s="1810"/>
      <c r="R725" s="1810"/>
      <c r="S725" s="1810"/>
      <c r="T725" s="1810"/>
      <c r="U725" s="1810"/>
      <c r="V725" s="1810"/>
      <c r="W725" s="1810"/>
      <c r="X725" s="1810"/>
      <c r="Y725" s="1810"/>
      <c r="Z725" s="1810"/>
      <c r="AA725" s="1810"/>
      <c r="AB725" s="1810"/>
      <c r="AC725" s="1810"/>
      <c r="AD725" s="1810"/>
      <c r="AE725" s="1810"/>
      <c r="AF725" s="1810"/>
      <c r="AG725" s="1810"/>
    </row>
    <row r="726" spans="1:33" ht="14.25" customHeight="1" thickBot="1"/>
    <row r="727" spans="1:33" ht="14.25" customHeight="1">
      <c r="A727" s="597">
        <v>39</v>
      </c>
      <c r="D727" s="2233" t="s">
        <v>1740</v>
      </c>
      <c r="E727" s="2234"/>
      <c r="F727" s="2234"/>
      <c r="G727" s="2234"/>
      <c r="H727" s="2234"/>
      <c r="I727" s="2234"/>
      <c r="J727" s="2234"/>
      <c r="K727" s="2234"/>
      <c r="L727" s="2234"/>
      <c r="M727" s="2235"/>
      <c r="N727" s="1799" t="s">
        <v>1741</v>
      </c>
      <c r="O727" s="1800"/>
      <c r="P727" s="1800"/>
      <c r="Q727" s="1800"/>
      <c r="R727" s="1800"/>
      <c r="S727" s="1800"/>
      <c r="T727" s="1800"/>
      <c r="U727" s="1800"/>
      <c r="V727" s="1800"/>
      <c r="W727" s="1800"/>
      <c r="X727" s="1799" t="s">
        <v>1863</v>
      </c>
      <c r="Y727" s="1800"/>
      <c r="Z727" s="1800"/>
      <c r="AA727" s="1800"/>
      <c r="AB727" s="1800"/>
      <c r="AC727" s="1800"/>
      <c r="AD727" s="1800"/>
      <c r="AE727" s="1800"/>
      <c r="AF727" s="1800"/>
      <c r="AG727" s="1803"/>
    </row>
    <row r="728" spans="1:33" ht="14.25" customHeight="1" thickBot="1">
      <c r="D728" s="2236"/>
      <c r="E728" s="2237"/>
      <c r="F728" s="2237"/>
      <c r="G728" s="2237"/>
      <c r="H728" s="2237"/>
      <c r="I728" s="2237"/>
      <c r="J728" s="2237"/>
      <c r="K728" s="2237"/>
      <c r="L728" s="2237"/>
      <c r="M728" s="2238"/>
      <c r="N728" s="1801"/>
      <c r="O728" s="1802"/>
      <c r="P728" s="1802"/>
      <c r="Q728" s="1802"/>
      <c r="R728" s="1802"/>
      <c r="S728" s="1802"/>
      <c r="T728" s="1802"/>
      <c r="U728" s="1802"/>
      <c r="V728" s="1802"/>
      <c r="W728" s="1802"/>
      <c r="X728" s="1801"/>
      <c r="Y728" s="1802"/>
      <c r="Z728" s="1802"/>
      <c r="AA728" s="1802"/>
      <c r="AB728" s="1802"/>
      <c r="AC728" s="1802"/>
      <c r="AD728" s="1802"/>
      <c r="AE728" s="1802"/>
      <c r="AF728" s="1802"/>
      <c r="AG728" s="1804"/>
    </row>
    <row r="729" spans="1:33" s="20" customFormat="1" ht="29.25" customHeight="1">
      <c r="A729" s="912"/>
      <c r="D729" s="1903" t="s">
        <v>1959</v>
      </c>
      <c r="E729" s="1904"/>
      <c r="F729" s="1904"/>
      <c r="G729" s="1904"/>
      <c r="H729" s="1904"/>
      <c r="I729" s="1904"/>
      <c r="J729" s="1904"/>
      <c r="K729" s="1904"/>
      <c r="L729" s="1904"/>
      <c r="M729" s="1905"/>
      <c r="N729" s="1764">
        <f>'Notes- SK Template'!N744</f>
        <v>441930</v>
      </c>
      <c r="O729" s="1764">
        <f>'Notes- SK Template'!O744</f>
        <v>0</v>
      </c>
      <c r="P729" s="1764">
        <f>'Notes- SK Template'!P744</f>
        <v>0</v>
      </c>
      <c r="Q729" s="1764">
        <f>'Notes- SK Template'!Q744</f>
        <v>0</v>
      </c>
      <c r="R729" s="1764">
        <f>'Notes- SK Template'!R744</f>
        <v>0</v>
      </c>
      <c r="S729" s="1764">
        <f>'Notes- SK Template'!S744</f>
        <v>0</v>
      </c>
      <c r="T729" s="1764">
        <f>'Notes- SK Template'!T744</f>
        <v>0</v>
      </c>
      <c r="U729" s="1764">
        <f>'Notes- SK Template'!U744</f>
        <v>0</v>
      </c>
      <c r="V729" s="1764">
        <f>'Notes- SK Template'!V744</f>
        <v>0</v>
      </c>
      <c r="W729" s="1764">
        <f>'Notes- SK Template'!W744</f>
        <v>0</v>
      </c>
      <c r="X729" s="1764">
        <f>'Notes- SK Template'!X744</f>
        <v>359364</v>
      </c>
      <c r="Y729" s="1764">
        <f>'Notes- SK Template'!Y744</f>
        <v>0</v>
      </c>
      <c r="Z729" s="1764">
        <f>'Notes- SK Template'!Z744</f>
        <v>0</v>
      </c>
      <c r="AA729" s="1764">
        <f>'Notes- SK Template'!AA744</f>
        <v>0</v>
      </c>
      <c r="AB729" s="1764">
        <f>'Notes- SK Template'!AB744</f>
        <v>0</v>
      </c>
      <c r="AC729" s="1764">
        <f>'Notes- SK Template'!AC744</f>
        <v>0</v>
      </c>
      <c r="AD729" s="1764">
        <f>'Notes- SK Template'!AD744</f>
        <v>0</v>
      </c>
      <c r="AE729" s="1764">
        <f>'Notes- SK Template'!AE744</f>
        <v>0</v>
      </c>
      <c r="AF729" s="1764">
        <f>'Notes- SK Template'!AF744</f>
        <v>0</v>
      </c>
      <c r="AG729" s="1764">
        <f>'Notes- SK Template'!AG744</f>
        <v>0</v>
      </c>
    </row>
    <row r="730" spans="1:33" s="20" customFormat="1" ht="29.25" customHeight="1">
      <c r="A730" s="912"/>
      <c r="D730" s="2513" t="s">
        <v>1960</v>
      </c>
      <c r="E730" s="1762"/>
      <c r="F730" s="1762"/>
      <c r="G730" s="1762"/>
      <c r="H730" s="1762"/>
      <c r="I730" s="1762"/>
      <c r="J730" s="1762"/>
      <c r="K730" s="1762"/>
      <c r="L730" s="1762"/>
      <c r="M730" s="1763"/>
      <c r="N730" s="1764">
        <f>'Notes- SK Template'!N745</f>
        <v>16000</v>
      </c>
      <c r="O730" s="1764">
        <f>'Notes- SK Template'!O745</f>
        <v>0</v>
      </c>
      <c r="P730" s="1764">
        <f>'Notes- SK Template'!P745</f>
        <v>0</v>
      </c>
      <c r="Q730" s="1764">
        <f>'Notes- SK Template'!Q745</f>
        <v>0</v>
      </c>
      <c r="R730" s="1764">
        <f>'Notes- SK Template'!R745</f>
        <v>0</v>
      </c>
      <c r="S730" s="1764">
        <f>'Notes- SK Template'!S745</f>
        <v>0</v>
      </c>
      <c r="T730" s="1764">
        <f>'Notes- SK Template'!T745</f>
        <v>0</v>
      </c>
      <c r="U730" s="1764">
        <f>'Notes- SK Template'!U745</f>
        <v>0</v>
      </c>
      <c r="V730" s="1764">
        <f>'Notes- SK Template'!V745</f>
        <v>0</v>
      </c>
      <c r="W730" s="1764">
        <f>'Notes- SK Template'!W745</f>
        <v>0</v>
      </c>
      <c r="X730" s="1764">
        <f>'Notes- SK Template'!X745</f>
        <v>10120</v>
      </c>
      <c r="Y730" s="1764">
        <f>'Notes- SK Template'!Y745</f>
        <v>0</v>
      </c>
      <c r="Z730" s="1764">
        <f>'Notes- SK Template'!Z745</f>
        <v>0</v>
      </c>
      <c r="AA730" s="1764">
        <f>'Notes- SK Template'!AA745</f>
        <v>0</v>
      </c>
      <c r="AB730" s="1764">
        <f>'Notes- SK Template'!AB745</f>
        <v>0</v>
      </c>
      <c r="AC730" s="1764">
        <f>'Notes- SK Template'!AC745</f>
        <v>0</v>
      </c>
      <c r="AD730" s="1764">
        <f>'Notes- SK Template'!AD745</f>
        <v>0</v>
      </c>
      <c r="AE730" s="1764">
        <f>'Notes- SK Template'!AE745</f>
        <v>0</v>
      </c>
      <c r="AF730" s="1764">
        <f>'Notes- SK Template'!AF745</f>
        <v>0</v>
      </c>
      <c r="AG730" s="1764">
        <f>'Notes- SK Template'!AG745</f>
        <v>0</v>
      </c>
    </row>
    <row r="731" spans="1:33" s="20" customFormat="1" ht="29.25" customHeight="1">
      <c r="A731" s="912"/>
      <c r="D731" s="1761" t="s">
        <v>1966</v>
      </c>
      <c r="E731" s="1762"/>
      <c r="F731" s="1762"/>
      <c r="G731" s="1762"/>
      <c r="H731" s="1762"/>
      <c r="I731" s="1762"/>
      <c r="J731" s="1762"/>
      <c r="K731" s="1762"/>
      <c r="L731" s="1762"/>
      <c r="M731" s="1763"/>
      <c r="N731" s="2551">
        <f>'Notes- SK Template'!N746</f>
        <v>16000</v>
      </c>
      <c r="O731" s="2552">
        <f>'Notes- SK Template'!O746</f>
        <v>0</v>
      </c>
      <c r="P731" s="2552">
        <f>'Notes- SK Template'!P746</f>
        <v>0</v>
      </c>
      <c r="Q731" s="2552">
        <f>'Notes- SK Template'!Q746</f>
        <v>0</v>
      </c>
      <c r="R731" s="2552">
        <f>'Notes- SK Template'!R746</f>
        <v>0</v>
      </c>
      <c r="S731" s="2552">
        <f>'Notes- SK Template'!S746</f>
        <v>0</v>
      </c>
      <c r="T731" s="2552">
        <f>'Notes- SK Template'!T746</f>
        <v>0</v>
      </c>
      <c r="U731" s="2552">
        <f>'Notes- SK Template'!U746</f>
        <v>0</v>
      </c>
      <c r="V731" s="2552">
        <f>'Notes- SK Template'!V746</f>
        <v>0</v>
      </c>
      <c r="W731" s="2553">
        <f>'Notes- SK Template'!W746</f>
        <v>0</v>
      </c>
      <c r="X731" s="2551">
        <f>'Notes- SK Template'!X746</f>
        <v>10120</v>
      </c>
      <c r="Y731" s="2552">
        <f>'Notes- SK Template'!Y746</f>
        <v>0</v>
      </c>
      <c r="Z731" s="2552">
        <f>'Notes- SK Template'!Z746</f>
        <v>0</v>
      </c>
      <c r="AA731" s="2552">
        <f>'Notes- SK Template'!AA746</f>
        <v>0</v>
      </c>
      <c r="AB731" s="2552">
        <f>'Notes- SK Template'!AB746</f>
        <v>0</v>
      </c>
      <c r="AC731" s="2552">
        <f>'Notes- SK Template'!AC746</f>
        <v>0</v>
      </c>
      <c r="AD731" s="2552">
        <f>'Notes- SK Template'!AD746</f>
        <v>0</v>
      </c>
      <c r="AE731" s="2552">
        <f>'Notes- SK Template'!AE746</f>
        <v>0</v>
      </c>
      <c r="AF731" s="2552">
        <f>'Notes- SK Template'!AF746</f>
        <v>0</v>
      </c>
      <c r="AG731" s="2553">
        <f>'Notes- SK Template'!AG746</f>
        <v>0</v>
      </c>
    </row>
    <row r="732" spans="1:33" s="20" customFormat="1" ht="29.25" customHeight="1">
      <c r="A732" s="912"/>
      <c r="D732" s="1761" t="s">
        <v>1967</v>
      </c>
      <c r="E732" s="1762"/>
      <c r="F732" s="1762"/>
      <c r="G732" s="1762"/>
      <c r="H732" s="1762"/>
      <c r="I732" s="1762"/>
      <c r="J732" s="1762"/>
      <c r="K732" s="1762"/>
      <c r="L732" s="1762"/>
      <c r="M732" s="1763"/>
      <c r="N732" s="2548">
        <f>'Notes- SK Template'!N747</f>
        <v>0</v>
      </c>
      <c r="O732" s="2549">
        <f>'Notes- SK Template'!O747</f>
        <v>0</v>
      </c>
      <c r="P732" s="2549">
        <f>'Notes- SK Template'!P747</f>
        <v>0</v>
      </c>
      <c r="Q732" s="2549">
        <f>'Notes- SK Template'!Q747</f>
        <v>0</v>
      </c>
      <c r="R732" s="2549">
        <f>'Notes- SK Template'!R747</f>
        <v>0</v>
      </c>
      <c r="S732" s="2549">
        <f>'Notes- SK Template'!S747</f>
        <v>0</v>
      </c>
      <c r="T732" s="2549">
        <f>'Notes- SK Template'!T747</f>
        <v>0</v>
      </c>
      <c r="U732" s="2549">
        <f>'Notes- SK Template'!U747</f>
        <v>0</v>
      </c>
      <c r="V732" s="2549">
        <f>'Notes- SK Template'!V747</f>
        <v>0</v>
      </c>
      <c r="W732" s="2550">
        <f>'Notes- SK Template'!W747</f>
        <v>0</v>
      </c>
      <c r="X732" s="2548">
        <f>'Notes- SK Template'!X747</f>
        <v>0</v>
      </c>
      <c r="Y732" s="2549">
        <f>'Notes- SK Template'!Y747</f>
        <v>0</v>
      </c>
      <c r="Z732" s="2549">
        <f>'Notes- SK Template'!Z747</f>
        <v>0</v>
      </c>
      <c r="AA732" s="2549">
        <f>'Notes- SK Template'!AA747</f>
        <v>0</v>
      </c>
      <c r="AB732" s="2549">
        <f>'Notes- SK Template'!AB747</f>
        <v>0</v>
      </c>
      <c r="AC732" s="2549">
        <f>'Notes- SK Template'!AC747</f>
        <v>0</v>
      </c>
      <c r="AD732" s="2549">
        <f>'Notes- SK Template'!AD747</f>
        <v>0</v>
      </c>
      <c r="AE732" s="2549">
        <f>'Notes- SK Template'!AE747</f>
        <v>0</v>
      </c>
      <c r="AF732" s="2549">
        <f>'Notes- SK Template'!AF747</f>
        <v>0</v>
      </c>
      <c r="AG732" s="2550">
        <f>'Notes- SK Template'!AG747</f>
        <v>0</v>
      </c>
    </row>
    <row r="733" spans="1:33" s="20" customFormat="1" ht="29.25" customHeight="1">
      <c r="A733" s="912"/>
      <c r="D733" s="1761" t="s">
        <v>1968</v>
      </c>
      <c r="E733" s="1762"/>
      <c r="F733" s="1762"/>
      <c r="G733" s="1762"/>
      <c r="H733" s="1762"/>
      <c r="I733" s="1762"/>
      <c r="J733" s="1762"/>
      <c r="K733" s="1762"/>
      <c r="L733" s="1762"/>
      <c r="M733" s="1763"/>
      <c r="N733" s="2548">
        <f>'Notes- SK Template'!N748</f>
        <v>0</v>
      </c>
      <c r="O733" s="2549">
        <f>'Notes- SK Template'!O748</f>
        <v>0</v>
      </c>
      <c r="P733" s="2549">
        <f>'Notes- SK Template'!P748</f>
        <v>0</v>
      </c>
      <c r="Q733" s="2549">
        <f>'Notes- SK Template'!Q748</f>
        <v>0</v>
      </c>
      <c r="R733" s="2549">
        <f>'Notes- SK Template'!R748</f>
        <v>0</v>
      </c>
      <c r="S733" s="2549">
        <f>'Notes- SK Template'!S748</f>
        <v>0</v>
      </c>
      <c r="T733" s="2549">
        <f>'Notes- SK Template'!T748</f>
        <v>0</v>
      </c>
      <c r="U733" s="2549">
        <f>'Notes- SK Template'!U748</f>
        <v>0</v>
      </c>
      <c r="V733" s="2549">
        <f>'Notes- SK Template'!V748</f>
        <v>0</v>
      </c>
      <c r="W733" s="2550">
        <f>'Notes- SK Template'!W748</f>
        <v>0</v>
      </c>
      <c r="X733" s="2548">
        <f>'Notes- SK Template'!X748</f>
        <v>0</v>
      </c>
      <c r="Y733" s="2549">
        <f>'Notes- SK Template'!Y748</f>
        <v>0</v>
      </c>
      <c r="Z733" s="2549">
        <f>'Notes- SK Template'!Z748</f>
        <v>0</v>
      </c>
      <c r="AA733" s="2549">
        <f>'Notes- SK Template'!AA748</f>
        <v>0</v>
      </c>
      <c r="AB733" s="2549">
        <f>'Notes- SK Template'!AB748</f>
        <v>0</v>
      </c>
      <c r="AC733" s="2549">
        <f>'Notes- SK Template'!AC748</f>
        <v>0</v>
      </c>
      <c r="AD733" s="2549">
        <f>'Notes- SK Template'!AD748</f>
        <v>0</v>
      </c>
      <c r="AE733" s="2549">
        <f>'Notes- SK Template'!AE748</f>
        <v>0</v>
      </c>
      <c r="AF733" s="2549">
        <f>'Notes- SK Template'!AF748</f>
        <v>0</v>
      </c>
      <c r="AG733" s="2550">
        <f>'Notes- SK Template'!AG748</f>
        <v>0</v>
      </c>
    </row>
    <row r="734" spans="1:33" s="20" customFormat="1" ht="29.25" customHeight="1">
      <c r="A734" s="912"/>
      <c r="D734" s="1761" t="s">
        <v>1969</v>
      </c>
      <c r="E734" s="1762"/>
      <c r="F734" s="1762"/>
      <c r="G734" s="1762"/>
      <c r="H734" s="1762"/>
      <c r="I734" s="1762"/>
      <c r="J734" s="1762"/>
      <c r="K734" s="1762"/>
      <c r="L734" s="1762"/>
      <c r="M734" s="1763"/>
      <c r="N734" s="2548">
        <f>'Notes- SK Template'!N749</f>
        <v>0</v>
      </c>
      <c r="O734" s="2549">
        <f>'Notes- SK Template'!O749</f>
        <v>0</v>
      </c>
      <c r="P734" s="2549">
        <f>'Notes- SK Template'!P749</f>
        <v>0</v>
      </c>
      <c r="Q734" s="2549">
        <f>'Notes- SK Template'!Q749</f>
        <v>0</v>
      </c>
      <c r="R734" s="2549">
        <f>'Notes- SK Template'!R749</f>
        <v>0</v>
      </c>
      <c r="S734" s="2549">
        <f>'Notes- SK Template'!S749</f>
        <v>0</v>
      </c>
      <c r="T734" s="2549">
        <f>'Notes- SK Template'!T749</f>
        <v>0</v>
      </c>
      <c r="U734" s="2549">
        <f>'Notes- SK Template'!U749</f>
        <v>0</v>
      </c>
      <c r="V734" s="2549">
        <f>'Notes- SK Template'!V749</f>
        <v>0</v>
      </c>
      <c r="W734" s="2550">
        <f>'Notes- SK Template'!W749</f>
        <v>0</v>
      </c>
      <c r="X734" s="2548">
        <f>'Notes- SK Template'!X749</f>
        <v>0</v>
      </c>
      <c r="Y734" s="2549">
        <f>'Notes- SK Template'!Y749</f>
        <v>0</v>
      </c>
      <c r="Z734" s="2549">
        <f>'Notes- SK Template'!Z749</f>
        <v>0</v>
      </c>
      <c r="AA734" s="2549">
        <f>'Notes- SK Template'!AA749</f>
        <v>0</v>
      </c>
      <c r="AB734" s="2549">
        <f>'Notes- SK Template'!AB749</f>
        <v>0</v>
      </c>
      <c r="AC734" s="2549">
        <f>'Notes- SK Template'!AC749</f>
        <v>0</v>
      </c>
      <c r="AD734" s="2549">
        <f>'Notes- SK Template'!AD749</f>
        <v>0</v>
      </c>
      <c r="AE734" s="2549">
        <f>'Notes- SK Template'!AE749</f>
        <v>0</v>
      </c>
      <c r="AF734" s="2549">
        <f>'Notes- SK Template'!AF749</f>
        <v>0</v>
      </c>
      <c r="AG734" s="2550">
        <f>'Notes- SK Template'!AG749</f>
        <v>0</v>
      </c>
    </row>
    <row r="735" spans="1:33" s="20" customFormat="1" ht="29.25" customHeight="1">
      <c r="A735" s="912"/>
      <c r="D735" s="1761" t="s">
        <v>1970</v>
      </c>
      <c r="E735" s="1762"/>
      <c r="F735" s="1762"/>
      <c r="G735" s="1762"/>
      <c r="H735" s="1762"/>
      <c r="I735" s="1762"/>
      <c r="J735" s="1762"/>
      <c r="K735" s="1762"/>
      <c r="L735" s="1762"/>
      <c r="M735" s="1763"/>
      <c r="N735" s="2548">
        <f>'Notes- SK Template'!N750</f>
        <v>0</v>
      </c>
      <c r="O735" s="2549">
        <f>'Notes- SK Template'!O750</f>
        <v>0</v>
      </c>
      <c r="P735" s="2549">
        <f>'Notes- SK Template'!P750</f>
        <v>0</v>
      </c>
      <c r="Q735" s="2549">
        <f>'Notes- SK Template'!Q750</f>
        <v>0</v>
      </c>
      <c r="R735" s="2549">
        <f>'Notes- SK Template'!R750</f>
        <v>0</v>
      </c>
      <c r="S735" s="2549">
        <f>'Notes- SK Template'!S750</f>
        <v>0</v>
      </c>
      <c r="T735" s="2549">
        <f>'Notes- SK Template'!T750</f>
        <v>0</v>
      </c>
      <c r="U735" s="2549">
        <f>'Notes- SK Template'!U750</f>
        <v>0</v>
      </c>
      <c r="V735" s="2549">
        <f>'Notes- SK Template'!V750</f>
        <v>0</v>
      </c>
      <c r="W735" s="2550">
        <f>'Notes- SK Template'!W750</f>
        <v>0</v>
      </c>
      <c r="X735" s="2548">
        <f>'Notes- SK Template'!X750</f>
        <v>0</v>
      </c>
      <c r="Y735" s="2549">
        <f>'Notes- SK Template'!Y750</f>
        <v>0</v>
      </c>
      <c r="Z735" s="2549">
        <f>'Notes- SK Template'!Z750</f>
        <v>0</v>
      </c>
      <c r="AA735" s="2549">
        <f>'Notes- SK Template'!AA750</f>
        <v>0</v>
      </c>
      <c r="AB735" s="2549">
        <f>'Notes- SK Template'!AB750</f>
        <v>0</v>
      </c>
      <c r="AC735" s="2549">
        <f>'Notes- SK Template'!AC750</f>
        <v>0</v>
      </c>
      <c r="AD735" s="2549">
        <f>'Notes- SK Template'!AD750</f>
        <v>0</v>
      </c>
      <c r="AE735" s="2549">
        <f>'Notes- SK Template'!AE750</f>
        <v>0</v>
      </c>
      <c r="AF735" s="2549">
        <f>'Notes- SK Template'!AF750</f>
        <v>0</v>
      </c>
      <c r="AG735" s="2550">
        <f>'Notes- SK Template'!AG750</f>
        <v>0</v>
      </c>
    </row>
    <row r="736" spans="1:33" s="20" customFormat="1" ht="34.5" customHeight="1">
      <c r="A736" s="912"/>
      <c r="D736" s="1783" t="s">
        <v>2851</v>
      </c>
      <c r="E736" s="1784">
        <f>'Notes- SK Template'!E751</f>
        <v>0</v>
      </c>
      <c r="F736" s="1784">
        <f>'Notes- SK Template'!F751</f>
        <v>0</v>
      </c>
      <c r="G736" s="1784">
        <f>'Notes- SK Template'!G751</f>
        <v>0</v>
      </c>
      <c r="H736" s="1784">
        <f>'Notes- SK Template'!H751</f>
        <v>0</v>
      </c>
      <c r="I736" s="1784">
        <f>'Notes- SK Template'!I751</f>
        <v>0</v>
      </c>
      <c r="J736" s="1784">
        <f>'Notes- SK Template'!J751</f>
        <v>0</v>
      </c>
      <c r="K736" s="1784">
        <f>'Notes- SK Template'!K751</f>
        <v>0</v>
      </c>
      <c r="L736" s="1784">
        <f>'Notes- SK Template'!L751</f>
        <v>0</v>
      </c>
      <c r="M736" s="1785">
        <f>'Notes- SK Template'!M751</f>
        <v>0</v>
      </c>
      <c r="N736" s="2548">
        <f>'Notes- SK Template'!N751</f>
        <v>425930</v>
      </c>
      <c r="O736" s="2549">
        <f>'Notes- SK Template'!O751</f>
        <v>0</v>
      </c>
      <c r="P736" s="2549">
        <f>'Notes- SK Template'!P751</f>
        <v>0</v>
      </c>
      <c r="Q736" s="2549">
        <f>'Notes- SK Template'!Q751</f>
        <v>0</v>
      </c>
      <c r="R736" s="2549">
        <f>'Notes- SK Template'!R751</f>
        <v>0</v>
      </c>
      <c r="S736" s="2549">
        <f>'Notes- SK Template'!S751</f>
        <v>0</v>
      </c>
      <c r="T736" s="2549">
        <f>'Notes- SK Template'!T751</f>
        <v>0</v>
      </c>
      <c r="U736" s="2549">
        <f>'Notes- SK Template'!U751</f>
        <v>0</v>
      </c>
      <c r="V736" s="2549">
        <f>'Notes- SK Template'!V751</f>
        <v>0</v>
      </c>
      <c r="W736" s="2550">
        <f>'Notes- SK Template'!W751</f>
        <v>0</v>
      </c>
      <c r="X736" s="2548">
        <f>'Notes- SK Template'!X751</f>
        <v>349244</v>
      </c>
      <c r="Y736" s="2549">
        <f>'Notes- SK Template'!Y751</f>
        <v>0</v>
      </c>
      <c r="Z736" s="2549">
        <f>'Notes- SK Template'!Z751</f>
        <v>0</v>
      </c>
      <c r="AA736" s="2549">
        <f>'Notes- SK Template'!AA751</f>
        <v>0</v>
      </c>
      <c r="AB736" s="2549">
        <f>'Notes- SK Template'!AB751</f>
        <v>0</v>
      </c>
      <c r="AC736" s="2549">
        <f>'Notes- SK Template'!AC751</f>
        <v>0</v>
      </c>
      <c r="AD736" s="2549">
        <f>'Notes- SK Template'!AD751</f>
        <v>0</v>
      </c>
      <c r="AE736" s="2549">
        <f>'Notes- SK Template'!AE751</f>
        <v>0</v>
      </c>
      <c r="AF736" s="2549">
        <f>'Notes- SK Template'!AF751</f>
        <v>0</v>
      </c>
      <c r="AG736" s="2550">
        <f>'Notes- SK Template'!AG751</f>
        <v>0</v>
      </c>
    </row>
    <row r="737" spans="1:33" s="20" customFormat="1" ht="29.25" customHeight="1">
      <c r="A737" s="912"/>
      <c r="D737" s="1786" t="s">
        <v>2852</v>
      </c>
      <c r="E737" s="1786">
        <f>'Notes- SK Template'!E752</f>
        <v>0</v>
      </c>
      <c r="F737" s="1786">
        <f>'Notes- SK Template'!F752</f>
        <v>0</v>
      </c>
      <c r="G737" s="1786">
        <f>'Notes- SK Template'!G752</f>
        <v>0</v>
      </c>
      <c r="H737" s="1786">
        <f>'Notes- SK Template'!H752</f>
        <v>0</v>
      </c>
      <c r="I737" s="1786">
        <f>'Notes- SK Template'!I752</f>
        <v>0</v>
      </c>
      <c r="J737" s="1786">
        <f>'Notes- SK Template'!J752</f>
        <v>0</v>
      </c>
      <c r="K737" s="1786">
        <f>'Notes- SK Template'!K752</f>
        <v>0</v>
      </c>
      <c r="L737" s="1786">
        <f>'Notes- SK Template'!L752</f>
        <v>0</v>
      </c>
      <c r="M737" s="1786">
        <f>'Notes- SK Template'!M752</f>
        <v>0</v>
      </c>
      <c r="N737" s="1764">
        <f>'Notes- SK Template'!N752</f>
        <v>23798</v>
      </c>
      <c r="O737" s="1764">
        <f>'Notes- SK Template'!O752</f>
        <v>0</v>
      </c>
      <c r="P737" s="1764">
        <f>'Notes- SK Template'!P752</f>
        <v>0</v>
      </c>
      <c r="Q737" s="1764">
        <f>'Notes- SK Template'!Q752</f>
        <v>0</v>
      </c>
      <c r="R737" s="1764">
        <f>'Notes- SK Template'!R752</f>
        <v>0</v>
      </c>
      <c r="S737" s="1764">
        <f>'Notes- SK Template'!S752</f>
        <v>0</v>
      </c>
      <c r="T737" s="1764">
        <f>'Notes- SK Template'!T752</f>
        <v>0</v>
      </c>
      <c r="U737" s="1764">
        <f>'Notes- SK Template'!U752</f>
        <v>0</v>
      </c>
      <c r="V737" s="1764">
        <f>'Notes- SK Template'!V752</f>
        <v>0</v>
      </c>
      <c r="W737" s="1764">
        <f>'Notes- SK Template'!W752</f>
        <v>0</v>
      </c>
      <c r="X737" s="1764">
        <f>'Notes- SK Template'!X752</f>
        <v>19930</v>
      </c>
      <c r="Y737" s="1764">
        <f>'Notes- SK Template'!Y752</f>
        <v>0</v>
      </c>
      <c r="Z737" s="1764">
        <f>'Notes- SK Template'!Z752</f>
        <v>0</v>
      </c>
      <c r="AA737" s="1764">
        <f>'Notes- SK Template'!AA752</f>
        <v>0</v>
      </c>
      <c r="AB737" s="1764">
        <f>'Notes- SK Template'!AB752</f>
        <v>0</v>
      </c>
      <c r="AC737" s="1764">
        <f>'Notes- SK Template'!AC752</f>
        <v>0</v>
      </c>
      <c r="AD737" s="1764">
        <f>'Notes- SK Template'!AD752</f>
        <v>0</v>
      </c>
      <c r="AE737" s="1764">
        <f>'Notes- SK Template'!AE752</f>
        <v>0</v>
      </c>
      <c r="AF737" s="1764">
        <f>'Notes- SK Template'!AF752</f>
        <v>0</v>
      </c>
      <c r="AG737" s="1764">
        <f>'Notes- SK Template'!AG752</f>
        <v>0</v>
      </c>
    </row>
    <row r="738" spans="1:33" s="20" customFormat="1" ht="29.25" customHeight="1">
      <c r="A738" s="1501"/>
      <c r="D738" s="1786" t="s">
        <v>2853</v>
      </c>
      <c r="E738" s="1786">
        <f>'Notes- SK Template'!E753</f>
        <v>0</v>
      </c>
      <c r="F738" s="1786">
        <f>'Notes- SK Template'!F753</f>
        <v>0</v>
      </c>
      <c r="G738" s="1786">
        <f>'Notes- SK Template'!G753</f>
        <v>0</v>
      </c>
      <c r="H738" s="1786">
        <f>'Notes- SK Template'!H753</f>
        <v>0</v>
      </c>
      <c r="I738" s="1786">
        <f>'Notes- SK Template'!I753</f>
        <v>0</v>
      </c>
      <c r="J738" s="1786">
        <f>'Notes- SK Template'!J753</f>
        <v>0</v>
      </c>
      <c r="K738" s="1786">
        <f>'Notes- SK Template'!K753</f>
        <v>0</v>
      </c>
      <c r="L738" s="1786">
        <f>'Notes- SK Template'!L753</f>
        <v>0</v>
      </c>
      <c r="M738" s="1786">
        <f>'Notes- SK Template'!M753</f>
        <v>0</v>
      </c>
      <c r="N738" s="1764">
        <f>'Notes- SK Template'!N753</f>
        <v>9822</v>
      </c>
      <c r="O738" s="1764">
        <f>'Notes- SK Template'!O753</f>
        <v>0</v>
      </c>
      <c r="P738" s="1764">
        <f>'Notes- SK Template'!P753</f>
        <v>0</v>
      </c>
      <c r="Q738" s="1764">
        <f>'Notes- SK Template'!Q753</f>
        <v>0</v>
      </c>
      <c r="R738" s="1764">
        <f>'Notes- SK Template'!R753</f>
        <v>0</v>
      </c>
      <c r="S738" s="1764">
        <f>'Notes- SK Template'!S753</f>
        <v>0</v>
      </c>
      <c r="T738" s="1764">
        <f>'Notes- SK Template'!T753</f>
        <v>0</v>
      </c>
      <c r="U738" s="1764">
        <f>'Notes- SK Template'!U753</f>
        <v>0</v>
      </c>
      <c r="V738" s="1764">
        <f>'Notes- SK Template'!V753</f>
        <v>0</v>
      </c>
      <c r="W738" s="1764">
        <f>'Notes- SK Template'!W753</f>
        <v>0</v>
      </c>
      <c r="X738" s="1764">
        <f>'Notes- SK Template'!X753</f>
        <v>8827</v>
      </c>
      <c r="Y738" s="1764">
        <f>'Notes- SK Template'!Y753</f>
        <v>0</v>
      </c>
      <c r="Z738" s="1764">
        <f>'Notes- SK Template'!Z753</f>
        <v>0</v>
      </c>
      <c r="AA738" s="1764">
        <f>'Notes- SK Template'!AA753</f>
        <v>0</v>
      </c>
      <c r="AB738" s="1764">
        <f>'Notes- SK Template'!AB753</f>
        <v>0</v>
      </c>
      <c r="AC738" s="1764">
        <f>'Notes- SK Template'!AC753</f>
        <v>0</v>
      </c>
      <c r="AD738" s="1764">
        <f>'Notes- SK Template'!AD753</f>
        <v>0</v>
      </c>
      <c r="AE738" s="1764">
        <f>'Notes- SK Template'!AE753</f>
        <v>0</v>
      </c>
      <c r="AF738" s="1764">
        <f>'Notes- SK Template'!AF753</f>
        <v>0</v>
      </c>
      <c r="AG738" s="1764">
        <f>'Notes- SK Template'!AG753</f>
        <v>0</v>
      </c>
    </row>
    <row r="739" spans="1:33" s="20" customFormat="1" ht="29.25" customHeight="1">
      <c r="A739" s="1501"/>
      <c r="D739" s="1786" t="s">
        <v>1939</v>
      </c>
      <c r="E739" s="1786">
        <f>'Notes- SK Template'!E754</f>
        <v>0</v>
      </c>
      <c r="F739" s="1786">
        <f>'Notes- SK Template'!F754</f>
        <v>0</v>
      </c>
      <c r="G739" s="1786">
        <f>'Notes- SK Template'!G754</f>
        <v>0</v>
      </c>
      <c r="H739" s="1786">
        <f>'Notes- SK Template'!H754</f>
        <v>0</v>
      </c>
      <c r="I739" s="1786">
        <f>'Notes- SK Template'!I754</f>
        <v>0</v>
      </c>
      <c r="J739" s="1786">
        <f>'Notes- SK Template'!J754</f>
        <v>0</v>
      </c>
      <c r="K739" s="1786">
        <f>'Notes- SK Template'!K754</f>
        <v>0</v>
      </c>
      <c r="L739" s="1786">
        <f>'Notes- SK Template'!L754</f>
        <v>0</v>
      </c>
      <c r="M739" s="1786">
        <f>'Notes- SK Template'!M754</f>
        <v>0</v>
      </c>
      <c r="N739" s="1764">
        <f>'Notes- SK Template'!N754</f>
        <v>6643</v>
      </c>
      <c r="O739" s="1764">
        <f>'Notes- SK Template'!O754</f>
        <v>0</v>
      </c>
      <c r="P739" s="1764">
        <f>'Notes- SK Template'!P754</f>
        <v>0</v>
      </c>
      <c r="Q739" s="1764">
        <f>'Notes- SK Template'!Q754</f>
        <v>0</v>
      </c>
      <c r="R739" s="1764">
        <f>'Notes- SK Template'!R754</f>
        <v>0</v>
      </c>
      <c r="S739" s="1764">
        <f>'Notes- SK Template'!S754</f>
        <v>0</v>
      </c>
      <c r="T739" s="1764">
        <f>'Notes- SK Template'!T754</f>
        <v>0</v>
      </c>
      <c r="U739" s="1764">
        <f>'Notes- SK Template'!U754</f>
        <v>0</v>
      </c>
      <c r="V739" s="1764">
        <f>'Notes- SK Template'!V754</f>
        <v>0</v>
      </c>
      <c r="W739" s="1764">
        <f>'Notes- SK Template'!W754</f>
        <v>0</v>
      </c>
      <c r="X739" s="1764">
        <f>'Notes- SK Template'!X754</f>
        <v>5088</v>
      </c>
      <c r="Y739" s="1764">
        <f>'Notes- SK Template'!Y754</f>
        <v>0</v>
      </c>
      <c r="Z739" s="1764">
        <f>'Notes- SK Template'!Z754</f>
        <v>0</v>
      </c>
      <c r="AA739" s="1764">
        <f>'Notes- SK Template'!AA754</f>
        <v>0</v>
      </c>
      <c r="AB739" s="1764">
        <f>'Notes- SK Template'!AB754</f>
        <v>0</v>
      </c>
      <c r="AC739" s="1764">
        <f>'Notes- SK Template'!AC754</f>
        <v>0</v>
      </c>
      <c r="AD739" s="1764">
        <f>'Notes- SK Template'!AD754</f>
        <v>0</v>
      </c>
      <c r="AE739" s="1764">
        <f>'Notes- SK Template'!AE754</f>
        <v>0</v>
      </c>
      <c r="AF739" s="1764">
        <f>'Notes- SK Template'!AF754</f>
        <v>0</v>
      </c>
      <c r="AG739" s="1764">
        <f>'Notes- SK Template'!AG754</f>
        <v>0</v>
      </c>
    </row>
    <row r="740" spans="1:33" s="20" customFormat="1" ht="29.25" customHeight="1">
      <c r="A740" s="1501"/>
      <c r="D740" s="1786" t="s">
        <v>2854</v>
      </c>
      <c r="E740" s="1786">
        <f>'Notes- SK Template'!E755</f>
        <v>0</v>
      </c>
      <c r="F740" s="1786">
        <f>'Notes- SK Template'!F755</f>
        <v>0</v>
      </c>
      <c r="G740" s="1786">
        <f>'Notes- SK Template'!G755</f>
        <v>0</v>
      </c>
      <c r="H740" s="1786">
        <f>'Notes- SK Template'!H755</f>
        <v>0</v>
      </c>
      <c r="I740" s="1786">
        <f>'Notes- SK Template'!I755</f>
        <v>0</v>
      </c>
      <c r="J740" s="1786">
        <f>'Notes- SK Template'!J755</f>
        <v>0</v>
      </c>
      <c r="K740" s="1786">
        <f>'Notes- SK Template'!K755</f>
        <v>0</v>
      </c>
      <c r="L740" s="1786">
        <f>'Notes- SK Template'!L755</f>
        <v>0</v>
      </c>
      <c r="M740" s="1786">
        <f>'Notes- SK Template'!M755</f>
        <v>0</v>
      </c>
      <c r="N740" s="1764">
        <f>'Notes- SK Template'!N755</f>
        <v>46928</v>
      </c>
      <c r="O740" s="1764">
        <f>'Notes- SK Template'!O755</f>
        <v>0</v>
      </c>
      <c r="P740" s="1764">
        <f>'Notes- SK Template'!P755</f>
        <v>0</v>
      </c>
      <c r="Q740" s="1764">
        <f>'Notes- SK Template'!Q755</f>
        <v>0</v>
      </c>
      <c r="R740" s="1764">
        <f>'Notes- SK Template'!R755</f>
        <v>0</v>
      </c>
      <c r="S740" s="1764">
        <f>'Notes- SK Template'!S755</f>
        <v>0</v>
      </c>
      <c r="T740" s="1764">
        <f>'Notes- SK Template'!T755</f>
        <v>0</v>
      </c>
      <c r="U740" s="1764">
        <f>'Notes- SK Template'!U755</f>
        <v>0</v>
      </c>
      <c r="V740" s="1764">
        <f>'Notes- SK Template'!V755</f>
        <v>0</v>
      </c>
      <c r="W740" s="1764">
        <f>'Notes- SK Template'!W755</f>
        <v>0</v>
      </c>
      <c r="X740" s="1764">
        <f>'Notes- SK Template'!X755</f>
        <v>29098</v>
      </c>
      <c r="Y740" s="1764">
        <f>'Notes- SK Template'!Y755</f>
        <v>0</v>
      </c>
      <c r="Z740" s="1764">
        <f>'Notes- SK Template'!Z755</f>
        <v>0</v>
      </c>
      <c r="AA740" s="1764">
        <f>'Notes- SK Template'!AA755</f>
        <v>0</v>
      </c>
      <c r="AB740" s="1764">
        <f>'Notes- SK Template'!AB755</f>
        <v>0</v>
      </c>
      <c r="AC740" s="1764">
        <f>'Notes- SK Template'!AC755</f>
        <v>0</v>
      </c>
      <c r="AD740" s="1764">
        <f>'Notes- SK Template'!AD755</f>
        <v>0</v>
      </c>
      <c r="AE740" s="1764">
        <f>'Notes- SK Template'!AE755</f>
        <v>0</v>
      </c>
      <c r="AF740" s="1764">
        <f>'Notes- SK Template'!AF755</f>
        <v>0</v>
      </c>
      <c r="AG740" s="1764">
        <f>'Notes- SK Template'!AG755</f>
        <v>0</v>
      </c>
    </row>
    <row r="741" spans="1:33" s="20" customFormat="1" ht="29.25" customHeight="1">
      <c r="A741" s="1501"/>
      <c r="D741" s="1786" t="s">
        <v>2855</v>
      </c>
      <c r="E741" s="1786">
        <f>'Notes- SK Template'!E756</f>
        <v>0</v>
      </c>
      <c r="F741" s="1786">
        <f>'Notes- SK Template'!F756</f>
        <v>0</v>
      </c>
      <c r="G741" s="1786">
        <f>'Notes- SK Template'!G756</f>
        <v>0</v>
      </c>
      <c r="H741" s="1786">
        <f>'Notes- SK Template'!H756</f>
        <v>0</v>
      </c>
      <c r="I741" s="1786">
        <f>'Notes- SK Template'!I756</f>
        <v>0</v>
      </c>
      <c r="J741" s="1786">
        <f>'Notes- SK Template'!J756</f>
        <v>0</v>
      </c>
      <c r="K741" s="1786">
        <f>'Notes- SK Template'!K756</f>
        <v>0</v>
      </c>
      <c r="L741" s="1786">
        <f>'Notes- SK Template'!L756</f>
        <v>0</v>
      </c>
      <c r="M741" s="1786">
        <f>'Notes- SK Template'!M756</f>
        <v>0</v>
      </c>
      <c r="N741" s="1764">
        <f>'Notes- SK Template'!N756</f>
        <v>37056</v>
      </c>
      <c r="O741" s="1764">
        <f>'Notes- SK Template'!O756</f>
        <v>0</v>
      </c>
      <c r="P741" s="1764">
        <f>'Notes- SK Template'!P756</f>
        <v>0</v>
      </c>
      <c r="Q741" s="1764">
        <f>'Notes- SK Template'!Q756</f>
        <v>0</v>
      </c>
      <c r="R741" s="1764">
        <f>'Notes- SK Template'!R756</f>
        <v>0</v>
      </c>
      <c r="S741" s="1764">
        <f>'Notes- SK Template'!S756</f>
        <v>0</v>
      </c>
      <c r="T741" s="1764">
        <f>'Notes- SK Template'!T756</f>
        <v>0</v>
      </c>
      <c r="U741" s="1764">
        <f>'Notes- SK Template'!U756</f>
        <v>0</v>
      </c>
      <c r="V741" s="1764">
        <f>'Notes- SK Template'!V756</f>
        <v>0</v>
      </c>
      <c r="W741" s="1764">
        <f>'Notes- SK Template'!W756</f>
        <v>0</v>
      </c>
      <c r="X741" s="1764">
        <f>'Notes- SK Template'!X756</f>
        <v>39291</v>
      </c>
      <c r="Y741" s="1764">
        <f>'Notes- SK Template'!Y756</f>
        <v>0</v>
      </c>
      <c r="Z741" s="1764">
        <f>'Notes- SK Template'!Z756</f>
        <v>0</v>
      </c>
      <c r="AA741" s="1764">
        <f>'Notes- SK Template'!AA756</f>
        <v>0</v>
      </c>
      <c r="AB741" s="1764">
        <f>'Notes- SK Template'!AB756</f>
        <v>0</v>
      </c>
      <c r="AC741" s="1764">
        <f>'Notes- SK Template'!AC756</f>
        <v>0</v>
      </c>
      <c r="AD741" s="1764">
        <f>'Notes- SK Template'!AD756</f>
        <v>0</v>
      </c>
      <c r="AE741" s="1764">
        <f>'Notes- SK Template'!AE756</f>
        <v>0</v>
      </c>
      <c r="AF741" s="1764">
        <f>'Notes- SK Template'!AF756</f>
        <v>0</v>
      </c>
      <c r="AG741" s="1764">
        <f>'Notes- SK Template'!AG756</f>
        <v>0</v>
      </c>
    </row>
    <row r="742" spans="1:33" s="20" customFormat="1" ht="29.25" customHeight="1">
      <c r="A742" s="1501"/>
      <c r="D742" s="1786" t="s">
        <v>2856</v>
      </c>
      <c r="E742" s="1786">
        <f>'Notes- SK Template'!E757</f>
        <v>0</v>
      </c>
      <c r="F742" s="1786">
        <f>'Notes- SK Template'!F757</f>
        <v>0</v>
      </c>
      <c r="G742" s="1786">
        <f>'Notes- SK Template'!G757</f>
        <v>0</v>
      </c>
      <c r="H742" s="1786">
        <f>'Notes- SK Template'!H757</f>
        <v>0</v>
      </c>
      <c r="I742" s="1786">
        <f>'Notes- SK Template'!I757</f>
        <v>0</v>
      </c>
      <c r="J742" s="1786">
        <f>'Notes- SK Template'!J757</f>
        <v>0</v>
      </c>
      <c r="K742" s="1786">
        <f>'Notes- SK Template'!K757</f>
        <v>0</v>
      </c>
      <c r="L742" s="1786">
        <f>'Notes- SK Template'!L757</f>
        <v>0</v>
      </c>
      <c r="M742" s="1786">
        <f>'Notes- SK Template'!M757</f>
        <v>0</v>
      </c>
      <c r="N742" s="1764">
        <f>'Notes- SK Template'!N757</f>
        <v>766</v>
      </c>
      <c r="O742" s="1764">
        <f>'Notes- SK Template'!O757</f>
        <v>0</v>
      </c>
      <c r="P742" s="1764">
        <f>'Notes- SK Template'!P757</f>
        <v>0</v>
      </c>
      <c r="Q742" s="1764">
        <f>'Notes- SK Template'!Q757</f>
        <v>0</v>
      </c>
      <c r="R742" s="1764">
        <f>'Notes- SK Template'!R757</f>
        <v>0</v>
      </c>
      <c r="S742" s="1764">
        <f>'Notes- SK Template'!S757</f>
        <v>0</v>
      </c>
      <c r="T742" s="1764">
        <f>'Notes- SK Template'!T757</f>
        <v>0</v>
      </c>
      <c r="U742" s="1764">
        <f>'Notes- SK Template'!U757</f>
        <v>0</v>
      </c>
      <c r="V742" s="1764">
        <f>'Notes- SK Template'!V757</f>
        <v>0</v>
      </c>
      <c r="W742" s="1764">
        <f>'Notes- SK Template'!W757</f>
        <v>0</v>
      </c>
      <c r="X742" s="1764">
        <f>'Notes- SK Template'!X757</f>
        <v>0</v>
      </c>
      <c r="Y742" s="1764">
        <f>'Notes- SK Template'!Y757</f>
        <v>0</v>
      </c>
      <c r="Z742" s="1764">
        <f>'Notes- SK Template'!Z757</f>
        <v>0</v>
      </c>
      <c r="AA742" s="1764">
        <f>'Notes- SK Template'!AA757</f>
        <v>0</v>
      </c>
      <c r="AB742" s="1764">
        <f>'Notes- SK Template'!AB757</f>
        <v>0</v>
      </c>
      <c r="AC742" s="1764">
        <f>'Notes- SK Template'!AC757</f>
        <v>0</v>
      </c>
      <c r="AD742" s="1764">
        <f>'Notes- SK Template'!AD757</f>
        <v>0</v>
      </c>
      <c r="AE742" s="1764">
        <f>'Notes- SK Template'!AE757</f>
        <v>0</v>
      </c>
      <c r="AF742" s="1764">
        <f>'Notes- SK Template'!AF757</f>
        <v>0</v>
      </c>
      <c r="AG742" s="1764">
        <f>'Notes- SK Template'!AG757</f>
        <v>0</v>
      </c>
    </row>
    <row r="743" spans="1:33" s="20" customFormat="1" ht="29.25" customHeight="1">
      <c r="A743" s="1501"/>
      <c r="D743" s="1786" t="s">
        <v>2857</v>
      </c>
      <c r="E743" s="1786">
        <f>'Notes- SK Template'!E758</f>
        <v>0</v>
      </c>
      <c r="F743" s="1786">
        <f>'Notes- SK Template'!F758</f>
        <v>0</v>
      </c>
      <c r="G743" s="1786">
        <f>'Notes- SK Template'!G758</f>
        <v>0</v>
      </c>
      <c r="H743" s="1786">
        <f>'Notes- SK Template'!H758</f>
        <v>0</v>
      </c>
      <c r="I743" s="1786">
        <f>'Notes- SK Template'!I758</f>
        <v>0</v>
      </c>
      <c r="J743" s="1786">
        <f>'Notes- SK Template'!J758</f>
        <v>0</v>
      </c>
      <c r="K743" s="1786">
        <f>'Notes- SK Template'!K758</f>
        <v>0</v>
      </c>
      <c r="L743" s="1786">
        <f>'Notes- SK Template'!L758</f>
        <v>0</v>
      </c>
      <c r="M743" s="1786">
        <f>'Notes- SK Template'!M758</f>
        <v>0</v>
      </c>
      <c r="N743" s="1764">
        <f>'Notes- SK Template'!N758</f>
        <v>236407</v>
      </c>
      <c r="O743" s="1764">
        <f>'Notes- SK Template'!O758</f>
        <v>0</v>
      </c>
      <c r="P743" s="1764">
        <f>'Notes- SK Template'!P758</f>
        <v>0</v>
      </c>
      <c r="Q743" s="1764">
        <f>'Notes- SK Template'!Q758</f>
        <v>0</v>
      </c>
      <c r="R743" s="1764">
        <f>'Notes- SK Template'!R758</f>
        <v>0</v>
      </c>
      <c r="S743" s="1764">
        <f>'Notes- SK Template'!S758</f>
        <v>0</v>
      </c>
      <c r="T743" s="1764">
        <f>'Notes- SK Template'!T758</f>
        <v>0</v>
      </c>
      <c r="U743" s="1764">
        <f>'Notes- SK Template'!U758</f>
        <v>0</v>
      </c>
      <c r="V743" s="1764">
        <f>'Notes- SK Template'!V758</f>
        <v>0</v>
      </c>
      <c r="W743" s="1764">
        <f>'Notes- SK Template'!W758</f>
        <v>0</v>
      </c>
      <c r="X743" s="1764">
        <f>'Notes- SK Template'!X758</f>
        <v>184710</v>
      </c>
      <c r="Y743" s="1764">
        <f>'Notes- SK Template'!Y758</f>
        <v>0</v>
      </c>
      <c r="Z743" s="1764">
        <f>'Notes- SK Template'!Z758</f>
        <v>0</v>
      </c>
      <c r="AA743" s="1764">
        <f>'Notes- SK Template'!AA758</f>
        <v>0</v>
      </c>
      <c r="AB743" s="1764">
        <f>'Notes- SK Template'!AB758</f>
        <v>0</v>
      </c>
      <c r="AC743" s="1764">
        <f>'Notes- SK Template'!AC758</f>
        <v>0</v>
      </c>
      <c r="AD743" s="1764">
        <f>'Notes- SK Template'!AD758</f>
        <v>0</v>
      </c>
      <c r="AE743" s="1764">
        <f>'Notes- SK Template'!AE758</f>
        <v>0</v>
      </c>
      <c r="AF743" s="1764">
        <f>'Notes- SK Template'!AF758</f>
        <v>0</v>
      </c>
      <c r="AG743" s="1764">
        <f>'Notes- SK Template'!AG758</f>
        <v>0</v>
      </c>
    </row>
    <row r="744" spans="1:33" s="20" customFormat="1" ht="29.25" customHeight="1">
      <c r="A744" s="1501"/>
      <c r="D744" s="1786" t="s">
        <v>2858</v>
      </c>
      <c r="E744" s="1786">
        <f>'Notes- SK Template'!E759</f>
        <v>0</v>
      </c>
      <c r="F744" s="1786">
        <f>'Notes- SK Template'!F759</f>
        <v>0</v>
      </c>
      <c r="G744" s="1786">
        <f>'Notes- SK Template'!G759</f>
        <v>0</v>
      </c>
      <c r="H744" s="1786">
        <f>'Notes- SK Template'!H759</f>
        <v>0</v>
      </c>
      <c r="I744" s="1786">
        <f>'Notes- SK Template'!I759</f>
        <v>0</v>
      </c>
      <c r="J744" s="1786">
        <f>'Notes- SK Template'!J759</f>
        <v>0</v>
      </c>
      <c r="K744" s="1786">
        <f>'Notes- SK Template'!K759</f>
        <v>0</v>
      </c>
      <c r="L744" s="1786">
        <f>'Notes- SK Template'!L759</f>
        <v>0</v>
      </c>
      <c r="M744" s="1786">
        <f>'Notes- SK Template'!M759</f>
        <v>0</v>
      </c>
      <c r="N744" s="1764">
        <f>'Notes- SK Template'!N759</f>
        <v>3146</v>
      </c>
      <c r="O744" s="1764">
        <f>'Notes- SK Template'!O759</f>
        <v>0</v>
      </c>
      <c r="P744" s="1764">
        <f>'Notes- SK Template'!P759</f>
        <v>0</v>
      </c>
      <c r="Q744" s="1764">
        <f>'Notes- SK Template'!Q759</f>
        <v>0</v>
      </c>
      <c r="R744" s="1764">
        <f>'Notes- SK Template'!R759</f>
        <v>0</v>
      </c>
      <c r="S744" s="1764">
        <f>'Notes- SK Template'!S759</f>
        <v>0</v>
      </c>
      <c r="T744" s="1764">
        <f>'Notes- SK Template'!T759</f>
        <v>0</v>
      </c>
      <c r="U744" s="1764">
        <f>'Notes- SK Template'!U759</f>
        <v>0</v>
      </c>
      <c r="V744" s="1764">
        <f>'Notes- SK Template'!V759</f>
        <v>0</v>
      </c>
      <c r="W744" s="1764">
        <f>'Notes- SK Template'!W759</f>
        <v>0</v>
      </c>
      <c r="X744" s="1764">
        <f>'Notes- SK Template'!X759</f>
        <v>1496</v>
      </c>
      <c r="Y744" s="1764">
        <f>'Notes- SK Template'!Y759</f>
        <v>0</v>
      </c>
      <c r="Z744" s="1764">
        <f>'Notes- SK Template'!Z759</f>
        <v>0</v>
      </c>
      <c r="AA744" s="1764">
        <f>'Notes- SK Template'!AA759</f>
        <v>0</v>
      </c>
      <c r="AB744" s="1764">
        <f>'Notes- SK Template'!AB759</f>
        <v>0</v>
      </c>
      <c r="AC744" s="1764">
        <f>'Notes- SK Template'!AC759</f>
        <v>0</v>
      </c>
      <c r="AD744" s="1764">
        <f>'Notes- SK Template'!AD759</f>
        <v>0</v>
      </c>
      <c r="AE744" s="1764">
        <f>'Notes- SK Template'!AE759</f>
        <v>0</v>
      </c>
      <c r="AF744" s="1764">
        <f>'Notes- SK Template'!AF759</f>
        <v>0</v>
      </c>
      <c r="AG744" s="1764">
        <f>'Notes- SK Template'!AG759</f>
        <v>0</v>
      </c>
    </row>
    <row r="745" spans="1:33" s="20" customFormat="1" ht="29.25" customHeight="1">
      <c r="A745" s="1501"/>
      <c r="D745" s="1786" t="s">
        <v>1882</v>
      </c>
      <c r="E745" s="1786">
        <f>'Notes- SK Template'!E760</f>
        <v>0</v>
      </c>
      <c r="F745" s="1786">
        <f>'Notes- SK Template'!F760</f>
        <v>0</v>
      </c>
      <c r="G745" s="1786">
        <f>'Notes- SK Template'!G760</f>
        <v>0</v>
      </c>
      <c r="H745" s="1786">
        <f>'Notes- SK Template'!H760</f>
        <v>0</v>
      </c>
      <c r="I745" s="1786">
        <f>'Notes- SK Template'!I760</f>
        <v>0</v>
      </c>
      <c r="J745" s="1786">
        <f>'Notes- SK Template'!J760</f>
        <v>0</v>
      </c>
      <c r="K745" s="1786">
        <f>'Notes- SK Template'!K760</f>
        <v>0</v>
      </c>
      <c r="L745" s="1786">
        <f>'Notes- SK Template'!L760</f>
        <v>0</v>
      </c>
      <c r="M745" s="1786">
        <f>'Notes- SK Template'!M760</f>
        <v>0</v>
      </c>
      <c r="N745" s="1764">
        <f>'Notes- SK Template'!N760</f>
        <v>61364</v>
      </c>
      <c r="O745" s="1764">
        <f>'Notes- SK Template'!O760</f>
        <v>0</v>
      </c>
      <c r="P745" s="1764">
        <f>'Notes- SK Template'!P760</f>
        <v>0</v>
      </c>
      <c r="Q745" s="1764">
        <f>'Notes- SK Template'!Q760</f>
        <v>0</v>
      </c>
      <c r="R745" s="1764">
        <f>'Notes- SK Template'!R760</f>
        <v>0</v>
      </c>
      <c r="S745" s="1764">
        <f>'Notes- SK Template'!S760</f>
        <v>0</v>
      </c>
      <c r="T745" s="1764">
        <f>'Notes- SK Template'!T760</f>
        <v>0</v>
      </c>
      <c r="U745" s="1764">
        <f>'Notes- SK Template'!U760</f>
        <v>0</v>
      </c>
      <c r="V745" s="1764">
        <f>'Notes- SK Template'!V760</f>
        <v>0</v>
      </c>
      <c r="W745" s="1764">
        <f>'Notes- SK Template'!W760</f>
        <v>0</v>
      </c>
      <c r="X745" s="1764">
        <f>'Notes- SK Template'!X760</f>
        <v>60804</v>
      </c>
      <c r="Y745" s="1764">
        <f>'Notes- SK Template'!Y760</f>
        <v>0</v>
      </c>
      <c r="Z745" s="1764">
        <f>'Notes- SK Template'!Z760</f>
        <v>0</v>
      </c>
      <c r="AA745" s="1764">
        <f>'Notes- SK Template'!AA760</f>
        <v>0</v>
      </c>
      <c r="AB745" s="1764">
        <f>'Notes- SK Template'!AB760</f>
        <v>0</v>
      </c>
      <c r="AC745" s="1764">
        <f>'Notes- SK Template'!AC760</f>
        <v>0</v>
      </c>
      <c r="AD745" s="1764">
        <f>'Notes- SK Template'!AD760</f>
        <v>0</v>
      </c>
      <c r="AE745" s="1764">
        <f>'Notes- SK Template'!AE760</f>
        <v>0</v>
      </c>
      <c r="AF745" s="1764">
        <f>'Notes- SK Template'!AF760</f>
        <v>0</v>
      </c>
      <c r="AG745" s="1764">
        <f>'Notes- SK Template'!AG760</f>
        <v>0</v>
      </c>
    </row>
    <row r="746" spans="1:33" s="20" customFormat="1" ht="29.25" customHeight="1">
      <c r="A746" s="912"/>
      <c r="D746" s="1818" t="s">
        <v>1961</v>
      </c>
      <c r="E746" s="1818"/>
      <c r="F746" s="1818"/>
      <c r="G746" s="1818"/>
      <c r="H746" s="1818"/>
      <c r="I746" s="1818"/>
      <c r="J746" s="1818"/>
      <c r="K746" s="1818"/>
      <c r="L746" s="1818"/>
      <c r="M746" s="1818"/>
      <c r="N746" s="1764">
        <f>'Notes- SK Template'!N761</f>
        <v>86546</v>
      </c>
      <c r="O746" s="1764">
        <f>'Notes- SK Template'!O761</f>
        <v>0</v>
      </c>
      <c r="P746" s="1764">
        <f>'Notes- SK Template'!P761</f>
        <v>0</v>
      </c>
      <c r="Q746" s="1764">
        <f>'Notes- SK Template'!Q761</f>
        <v>0</v>
      </c>
      <c r="R746" s="1764">
        <f>'Notes- SK Template'!R761</f>
        <v>0</v>
      </c>
      <c r="S746" s="1764">
        <f>'Notes- SK Template'!S761</f>
        <v>0</v>
      </c>
      <c r="T746" s="1764">
        <f>'Notes- SK Template'!T761</f>
        <v>0</v>
      </c>
      <c r="U746" s="1764">
        <f>'Notes- SK Template'!U761</f>
        <v>0</v>
      </c>
      <c r="V746" s="1764">
        <f>'Notes- SK Template'!V761</f>
        <v>0</v>
      </c>
      <c r="W746" s="1764">
        <f>'Notes- SK Template'!W761</f>
        <v>0</v>
      </c>
      <c r="X746" s="1764">
        <f>'Notes- SK Template'!X761</f>
        <v>9570</v>
      </c>
      <c r="Y746" s="1764">
        <f>'Notes- SK Template'!Y761</f>
        <v>0</v>
      </c>
      <c r="Z746" s="1764">
        <f>'Notes- SK Template'!Z761</f>
        <v>0</v>
      </c>
      <c r="AA746" s="1764">
        <f>'Notes- SK Template'!AA761</f>
        <v>0</v>
      </c>
      <c r="AB746" s="1764">
        <f>'Notes- SK Template'!AB761</f>
        <v>0</v>
      </c>
      <c r="AC746" s="1764">
        <f>'Notes- SK Template'!AC761</f>
        <v>0</v>
      </c>
      <c r="AD746" s="1764">
        <f>'Notes- SK Template'!AD761</f>
        <v>0</v>
      </c>
      <c r="AE746" s="1764">
        <f>'Notes- SK Template'!AE761</f>
        <v>0</v>
      </c>
      <c r="AF746" s="1764">
        <f>'Notes- SK Template'!AF761</f>
        <v>0</v>
      </c>
      <c r="AG746" s="1764">
        <f>'Notes- SK Template'!AG761</f>
        <v>0</v>
      </c>
    </row>
    <row r="747" spans="1:33" s="20" customFormat="1" ht="29.25" customHeight="1">
      <c r="A747" s="1501"/>
      <c r="D747" s="1786" t="s">
        <v>2859</v>
      </c>
      <c r="E747" s="1787">
        <f>'Notes- SK Template'!E762</f>
        <v>0</v>
      </c>
      <c r="F747" s="1787">
        <f>'Notes- SK Template'!F762</f>
        <v>0</v>
      </c>
      <c r="G747" s="1787">
        <f>'Notes- SK Template'!G762</f>
        <v>0</v>
      </c>
      <c r="H747" s="1787">
        <f>'Notes- SK Template'!H762</f>
        <v>0</v>
      </c>
      <c r="I747" s="1787">
        <f>'Notes- SK Template'!I762</f>
        <v>0</v>
      </c>
      <c r="J747" s="1787">
        <f>'Notes- SK Template'!J762</f>
        <v>0</v>
      </c>
      <c r="K747" s="1787">
        <f>'Notes- SK Template'!K762</f>
        <v>0</v>
      </c>
      <c r="L747" s="1787">
        <f>'Notes- SK Template'!L762</f>
        <v>0</v>
      </c>
      <c r="M747" s="1787">
        <f>'Notes- SK Template'!M762</f>
        <v>0</v>
      </c>
      <c r="N747" s="1764">
        <f>'Notes- SK Template'!N762</f>
        <v>0</v>
      </c>
      <c r="O747" s="1764">
        <f>'Notes- SK Template'!O762</f>
        <v>0</v>
      </c>
      <c r="P747" s="1764">
        <f>'Notes- SK Template'!P762</f>
        <v>0</v>
      </c>
      <c r="Q747" s="1764">
        <f>'Notes- SK Template'!Q762</f>
        <v>0</v>
      </c>
      <c r="R747" s="1764">
        <f>'Notes- SK Template'!R762</f>
        <v>0</v>
      </c>
      <c r="S747" s="1764">
        <f>'Notes- SK Template'!S762</f>
        <v>0</v>
      </c>
      <c r="T747" s="1764">
        <f>'Notes- SK Template'!T762</f>
        <v>0</v>
      </c>
      <c r="U747" s="1764">
        <f>'Notes- SK Template'!U762</f>
        <v>0</v>
      </c>
      <c r="V747" s="1764">
        <f>'Notes- SK Template'!V762</f>
        <v>0</v>
      </c>
      <c r="W747" s="1764">
        <f>'Notes- SK Template'!W762</f>
        <v>0</v>
      </c>
      <c r="X747" s="1764">
        <f>'Notes- SK Template'!X762</f>
        <v>0</v>
      </c>
      <c r="Y747" s="1764">
        <f>'Notes- SK Template'!Y762</f>
        <v>0</v>
      </c>
      <c r="Z747" s="1764">
        <f>'Notes- SK Template'!Z762</f>
        <v>0</v>
      </c>
      <c r="AA747" s="1764">
        <f>'Notes- SK Template'!AA762</f>
        <v>0</v>
      </c>
      <c r="AB747" s="1764">
        <f>'Notes- SK Template'!AB762</f>
        <v>0</v>
      </c>
      <c r="AC747" s="1764">
        <f>'Notes- SK Template'!AC762</f>
        <v>0</v>
      </c>
      <c r="AD747" s="1764">
        <f>'Notes- SK Template'!AD762</f>
        <v>0</v>
      </c>
      <c r="AE747" s="1764">
        <f>'Notes- SK Template'!AE762</f>
        <v>0</v>
      </c>
      <c r="AF747" s="1764">
        <f>'Notes- SK Template'!AF762</f>
        <v>0</v>
      </c>
      <c r="AG747" s="1764">
        <f>'Notes- SK Template'!AG762</f>
        <v>0</v>
      </c>
    </row>
    <row r="748" spans="1:33" s="20" customFormat="1" ht="29.25" customHeight="1">
      <c r="A748" s="1501"/>
      <c r="D748" s="1786" t="s">
        <v>1940</v>
      </c>
      <c r="E748" s="1787">
        <f>'Notes- SK Template'!E763</f>
        <v>0</v>
      </c>
      <c r="F748" s="1787">
        <f>'Notes- SK Template'!F763</f>
        <v>0</v>
      </c>
      <c r="G748" s="1787">
        <f>'Notes- SK Template'!G763</f>
        <v>0</v>
      </c>
      <c r="H748" s="1787">
        <f>'Notes- SK Template'!H763</f>
        <v>0</v>
      </c>
      <c r="I748" s="1787">
        <f>'Notes- SK Template'!I763</f>
        <v>0</v>
      </c>
      <c r="J748" s="1787">
        <f>'Notes- SK Template'!J763</f>
        <v>0</v>
      </c>
      <c r="K748" s="1787">
        <f>'Notes- SK Template'!K763</f>
        <v>0</v>
      </c>
      <c r="L748" s="1787">
        <f>'Notes- SK Template'!L763</f>
        <v>0</v>
      </c>
      <c r="M748" s="1787">
        <f>'Notes- SK Template'!M763</f>
        <v>0</v>
      </c>
      <c r="N748" s="1764">
        <f>'Notes- SK Template'!N763</f>
        <v>0</v>
      </c>
      <c r="O748" s="1764">
        <f>'Notes- SK Template'!O763</f>
        <v>0</v>
      </c>
      <c r="P748" s="1764">
        <f>'Notes- SK Template'!P763</f>
        <v>0</v>
      </c>
      <c r="Q748" s="1764">
        <f>'Notes- SK Template'!Q763</f>
        <v>0</v>
      </c>
      <c r="R748" s="1764">
        <f>'Notes- SK Template'!R763</f>
        <v>0</v>
      </c>
      <c r="S748" s="1764">
        <f>'Notes- SK Template'!S763</f>
        <v>0</v>
      </c>
      <c r="T748" s="1764">
        <f>'Notes- SK Template'!T763</f>
        <v>0</v>
      </c>
      <c r="U748" s="1764">
        <f>'Notes- SK Template'!U763</f>
        <v>0</v>
      </c>
      <c r="V748" s="1764">
        <f>'Notes- SK Template'!V763</f>
        <v>0</v>
      </c>
      <c r="W748" s="1764">
        <f>'Notes- SK Template'!W763</f>
        <v>0</v>
      </c>
      <c r="X748" s="1764">
        <f>'Notes- SK Template'!X763</f>
        <v>150</v>
      </c>
      <c r="Y748" s="1764">
        <f>'Notes- SK Template'!Y763</f>
        <v>0</v>
      </c>
      <c r="Z748" s="1764">
        <f>'Notes- SK Template'!Z763</f>
        <v>0</v>
      </c>
      <c r="AA748" s="1764">
        <f>'Notes- SK Template'!AA763</f>
        <v>0</v>
      </c>
      <c r="AB748" s="1764">
        <f>'Notes- SK Template'!AB763</f>
        <v>0</v>
      </c>
      <c r="AC748" s="1764">
        <f>'Notes- SK Template'!AC763</f>
        <v>0</v>
      </c>
      <c r="AD748" s="1764">
        <f>'Notes- SK Template'!AD763</f>
        <v>0</v>
      </c>
      <c r="AE748" s="1764">
        <f>'Notes- SK Template'!AE763</f>
        <v>0</v>
      </c>
      <c r="AF748" s="1764">
        <f>'Notes- SK Template'!AF763</f>
        <v>0</v>
      </c>
      <c r="AG748" s="1764">
        <f>'Notes- SK Template'!AG763</f>
        <v>0</v>
      </c>
    </row>
    <row r="749" spans="1:33" s="20" customFormat="1" ht="29.25" customHeight="1">
      <c r="A749" s="1501"/>
      <c r="D749" s="1786" t="s">
        <v>2860</v>
      </c>
      <c r="E749" s="1787">
        <f>'Notes- SK Template'!E764</f>
        <v>0</v>
      </c>
      <c r="F749" s="1787">
        <f>'Notes- SK Template'!F764</f>
        <v>0</v>
      </c>
      <c r="G749" s="1787">
        <f>'Notes- SK Template'!G764</f>
        <v>0</v>
      </c>
      <c r="H749" s="1787">
        <f>'Notes- SK Template'!H764</f>
        <v>0</v>
      </c>
      <c r="I749" s="1787">
        <f>'Notes- SK Template'!I764</f>
        <v>0</v>
      </c>
      <c r="J749" s="1787">
        <f>'Notes- SK Template'!J764</f>
        <v>0</v>
      </c>
      <c r="K749" s="1787">
        <f>'Notes- SK Template'!K764</f>
        <v>0</v>
      </c>
      <c r="L749" s="1787">
        <f>'Notes- SK Template'!L764</f>
        <v>0</v>
      </c>
      <c r="M749" s="1787">
        <f>'Notes- SK Template'!M764</f>
        <v>0</v>
      </c>
      <c r="N749" s="1764">
        <f>'Notes- SK Template'!N764</f>
        <v>428</v>
      </c>
      <c r="O749" s="1764">
        <f>'Notes- SK Template'!O764</f>
        <v>0</v>
      </c>
      <c r="P749" s="1764">
        <f>'Notes- SK Template'!P764</f>
        <v>0</v>
      </c>
      <c r="Q749" s="1764">
        <f>'Notes- SK Template'!Q764</f>
        <v>0</v>
      </c>
      <c r="R749" s="1764">
        <f>'Notes- SK Template'!R764</f>
        <v>0</v>
      </c>
      <c r="S749" s="1764">
        <f>'Notes- SK Template'!S764</f>
        <v>0</v>
      </c>
      <c r="T749" s="1764">
        <f>'Notes- SK Template'!T764</f>
        <v>0</v>
      </c>
      <c r="U749" s="1764">
        <f>'Notes- SK Template'!U764</f>
        <v>0</v>
      </c>
      <c r="V749" s="1764">
        <f>'Notes- SK Template'!V764</f>
        <v>0</v>
      </c>
      <c r="W749" s="1764">
        <f>'Notes- SK Template'!W764</f>
        <v>0</v>
      </c>
      <c r="X749" s="1764">
        <f>'Notes- SK Template'!X764</f>
        <v>15</v>
      </c>
      <c r="Y749" s="1764">
        <f>'Notes- SK Template'!Y764</f>
        <v>0</v>
      </c>
      <c r="Z749" s="1764">
        <f>'Notes- SK Template'!Z764</f>
        <v>0</v>
      </c>
      <c r="AA749" s="1764">
        <f>'Notes- SK Template'!AA764</f>
        <v>0</v>
      </c>
      <c r="AB749" s="1764">
        <f>'Notes- SK Template'!AB764</f>
        <v>0</v>
      </c>
      <c r="AC749" s="1764">
        <f>'Notes- SK Template'!AC764</f>
        <v>0</v>
      </c>
      <c r="AD749" s="1764">
        <f>'Notes- SK Template'!AD764</f>
        <v>0</v>
      </c>
      <c r="AE749" s="1764">
        <f>'Notes- SK Template'!AE764</f>
        <v>0</v>
      </c>
      <c r="AF749" s="1764">
        <f>'Notes- SK Template'!AF764</f>
        <v>0</v>
      </c>
      <c r="AG749" s="1764">
        <f>'Notes- SK Template'!AG764</f>
        <v>0</v>
      </c>
    </row>
    <row r="750" spans="1:33" s="20" customFormat="1" ht="29.25" customHeight="1">
      <c r="A750" s="912"/>
      <c r="D750" s="1786" t="s">
        <v>2861</v>
      </c>
      <c r="E750" s="1787">
        <f>'Notes- SK Template'!E765</f>
        <v>0</v>
      </c>
      <c r="F750" s="1787">
        <f>'Notes- SK Template'!F765</f>
        <v>0</v>
      </c>
      <c r="G750" s="1787">
        <f>'Notes- SK Template'!G765</f>
        <v>0</v>
      </c>
      <c r="H750" s="1787">
        <f>'Notes- SK Template'!H765</f>
        <v>0</v>
      </c>
      <c r="I750" s="1787">
        <f>'Notes- SK Template'!I765</f>
        <v>0</v>
      </c>
      <c r="J750" s="1787">
        <f>'Notes- SK Template'!J765</f>
        <v>0</v>
      </c>
      <c r="K750" s="1787">
        <f>'Notes- SK Template'!K765</f>
        <v>0</v>
      </c>
      <c r="L750" s="1787">
        <f>'Notes- SK Template'!L765</f>
        <v>0</v>
      </c>
      <c r="M750" s="1787">
        <f>'Notes- SK Template'!M765</f>
        <v>0</v>
      </c>
      <c r="N750" s="1764">
        <f>'Notes- SK Template'!N765</f>
        <v>326</v>
      </c>
      <c r="O750" s="1764">
        <f>'Notes- SK Template'!O765</f>
        <v>0</v>
      </c>
      <c r="P750" s="1764">
        <f>'Notes- SK Template'!P765</f>
        <v>0</v>
      </c>
      <c r="Q750" s="1764">
        <f>'Notes- SK Template'!Q765</f>
        <v>0</v>
      </c>
      <c r="R750" s="1764">
        <f>'Notes- SK Template'!R765</f>
        <v>0</v>
      </c>
      <c r="S750" s="1764">
        <f>'Notes- SK Template'!S765</f>
        <v>0</v>
      </c>
      <c r="T750" s="1764">
        <f>'Notes- SK Template'!T765</f>
        <v>0</v>
      </c>
      <c r="U750" s="1764">
        <f>'Notes- SK Template'!U765</f>
        <v>0</v>
      </c>
      <c r="V750" s="1764">
        <f>'Notes- SK Template'!V765</f>
        <v>0</v>
      </c>
      <c r="W750" s="1764">
        <f>'Notes- SK Template'!W765</f>
        <v>0</v>
      </c>
      <c r="X750" s="1764">
        <f>'Notes- SK Template'!X765</f>
        <v>118</v>
      </c>
      <c r="Y750" s="1764">
        <f>'Notes- SK Template'!Y765</f>
        <v>0</v>
      </c>
      <c r="Z750" s="1764">
        <f>'Notes- SK Template'!Z765</f>
        <v>0</v>
      </c>
      <c r="AA750" s="1764">
        <f>'Notes- SK Template'!AA765</f>
        <v>0</v>
      </c>
      <c r="AB750" s="1764">
        <f>'Notes- SK Template'!AB765</f>
        <v>0</v>
      </c>
      <c r="AC750" s="1764">
        <f>'Notes- SK Template'!AC765</f>
        <v>0</v>
      </c>
      <c r="AD750" s="1764">
        <f>'Notes- SK Template'!AD765</f>
        <v>0</v>
      </c>
      <c r="AE750" s="1764">
        <f>'Notes- SK Template'!AE765</f>
        <v>0</v>
      </c>
      <c r="AF750" s="1764">
        <f>'Notes- SK Template'!AF765</f>
        <v>0</v>
      </c>
      <c r="AG750" s="1764">
        <f>'Notes- SK Template'!AG765</f>
        <v>0</v>
      </c>
    </row>
    <row r="751" spans="1:33" s="20" customFormat="1" ht="29.25" customHeight="1">
      <c r="A751" s="912"/>
      <c r="D751" s="1786" t="s">
        <v>2862</v>
      </c>
      <c r="E751" s="1787">
        <f>'Notes- SK Template'!E766</f>
        <v>0</v>
      </c>
      <c r="F751" s="1787">
        <f>'Notes- SK Template'!F766</f>
        <v>0</v>
      </c>
      <c r="G751" s="1787">
        <f>'Notes- SK Template'!G766</f>
        <v>0</v>
      </c>
      <c r="H751" s="1787">
        <f>'Notes- SK Template'!H766</f>
        <v>0</v>
      </c>
      <c r="I751" s="1787">
        <f>'Notes- SK Template'!I766</f>
        <v>0</v>
      </c>
      <c r="J751" s="1787">
        <f>'Notes- SK Template'!J766</f>
        <v>0</v>
      </c>
      <c r="K751" s="1787">
        <f>'Notes- SK Template'!K766</f>
        <v>0</v>
      </c>
      <c r="L751" s="1787">
        <f>'Notes- SK Template'!L766</f>
        <v>0</v>
      </c>
      <c r="M751" s="1787">
        <f>'Notes- SK Template'!M766</f>
        <v>0</v>
      </c>
      <c r="N751" s="1764">
        <f>'Notes- SK Template'!N766</f>
        <v>65210</v>
      </c>
      <c r="O751" s="1764">
        <f>'Notes- SK Template'!O766</f>
        <v>0</v>
      </c>
      <c r="P751" s="1764">
        <f>'Notes- SK Template'!P766</f>
        <v>0</v>
      </c>
      <c r="Q751" s="1764">
        <f>'Notes- SK Template'!Q766</f>
        <v>0</v>
      </c>
      <c r="R751" s="1764">
        <f>'Notes- SK Template'!R766</f>
        <v>0</v>
      </c>
      <c r="S751" s="1764">
        <f>'Notes- SK Template'!S766</f>
        <v>0</v>
      </c>
      <c r="T751" s="1764">
        <f>'Notes- SK Template'!T766</f>
        <v>0</v>
      </c>
      <c r="U751" s="1764">
        <f>'Notes- SK Template'!U766</f>
        <v>0</v>
      </c>
      <c r="V751" s="1764">
        <f>'Notes- SK Template'!V766</f>
        <v>0</v>
      </c>
      <c r="W751" s="1764">
        <f>'Notes- SK Template'!W766</f>
        <v>0</v>
      </c>
      <c r="X751" s="1764">
        <f>'Notes- SK Template'!X766</f>
        <v>0</v>
      </c>
      <c r="Y751" s="1764">
        <f>'Notes- SK Template'!Y766</f>
        <v>0</v>
      </c>
      <c r="Z751" s="1764">
        <f>'Notes- SK Template'!Z766</f>
        <v>0</v>
      </c>
      <c r="AA751" s="1764">
        <f>'Notes- SK Template'!AA766</f>
        <v>0</v>
      </c>
      <c r="AB751" s="1764">
        <f>'Notes- SK Template'!AB766</f>
        <v>0</v>
      </c>
      <c r="AC751" s="1764">
        <f>'Notes- SK Template'!AC766</f>
        <v>0</v>
      </c>
      <c r="AD751" s="1764">
        <f>'Notes- SK Template'!AD766</f>
        <v>0</v>
      </c>
      <c r="AE751" s="1764">
        <f>'Notes- SK Template'!AE766</f>
        <v>0</v>
      </c>
      <c r="AF751" s="1764">
        <f>'Notes- SK Template'!AF766</f>
        <v>0</v>
      </c>
      <c r="AG751" s="1764">
        <f>'Notes- SK Template'!AG766</f>
        <v>0</v>
      </c>
    </row>
    <row r="752" spans="1:33" s="20" customFormat="1" ht="29.25" customHeight="1">
      <c r="A752" s="912"/>
      <c r="D752" s="1786" t="s">
        <v>2863</v>
      </c>
      <c r="E752" s="1787">
        <f>'Notes- SK Template'!E767</f>
        <v>0</v>
      </c>
      <c r="F752" s="1787">
        <f>'Notes- SK Template'!F767</f>
        <v>0</v>
      </c>
      <c r="G752" s="1787">
        <f>'Notes- SK Template'!G767</f>
        <v>0</v>
      </c>
      <c r="H752" s="1787">
        <f>'Notes- SK Template'!H767</f>
        <v>0</v>
      </c>
      <c r="I752" s="1787">
        <f>'Notes- SK Template'!I767</f>
        <v>0</v>
      </c>
      <c r="J752" s="1787">
        <f>'Notes- SK Template'!J767</f>
        <v>0</v>
      </c>
      <c r="K752" s="1787">
        <f>'Notes- SK Template'!K767</f>
        <v>0</v>
      </c>
      <c r="L752" s="1787">
        <f>'Notes- SK Template'!L767</f>
        <v>0</v>
      </c>
      <c r="M752" s="1787">
        <f>'Notes- SK Template'!M767</f>
        <v>0</v>
      </c>
      <c r="N752" s="1764">
        <f>'Notes- SK Template'!N767</f>
        <v>20582</v>
      </c>
      <c r="O752" s="1764">
        <f>'Notes- SK Template'!O767</f>
        <v>0</v>
      </c>
      <c r="P752" s="1764">
        <f>'Notes- SK Template'!P767</f>
        <v>0</v>
      </c>
      <c r="Q752" s="1764">
        <f>'Notes- SK Template'!Q767</f>
        <v>0</v>
      </c>
      <c r="R752" s="1764">
        <f>'Notes- SK Template'!R767</f>
        <v>0</v>
      </c>
      <c r="S752" s="1764">
        <f>'Notes- SK Template'!S767</f>
        <v>0</v>
      </c>
      <c r="T752" s="1764">
        <f>'Notes- SK Template'!T767</f>
        <v>0</v>
      </c>
      <c r="U752" s="1764">
        <f>'Notes- SK Template'!U767</f>
        <v>0</v>
      </c>
      <c r="V752" s="1764">
        <f>'Notes- SK Template'!V767</f>
        <v>0</v>
      </c>
      <c r="W752" s="1764">
        <f>'Notes- SK Template'!W767</f>
        <v>0</v>
      </c>
      <c r="X752" s="1764">
        <f>'Notes- SK Template'!X767</f>
        <v>9287</v>
      </c>
      <c r="Y752" s="1764">
        <f>'Notes- SK Template'!Y767</f>
        <v>0</v>
      </c>
      <c r="Z752" s="1764">
        <f>'Notes- SK Template'!Z767</f>
        <v>0</v>
      </c>
      <c r="AA752" s="1764">
        <f>'Notes- SK Template'!AA767</f>
        <v>0</v>
      </c>
      <c r="AB752" s="1764">
        <f>'Notes- SK Template'!AB767</f>
        <v>0</v>
      </c>
      <c r="AC752" s="1764">
        <f>'Notes- SK Template'!AC767</f>
        <v>0</v>
      </c>
      <c r="AD752" s="1764">
        <f>'Notes- SK Template'!AD767</f>
        <v>0</v>
      </c>
      <c r="AE752" s="1764">
        <f>'Notes- SK Template'!AE767</f>
        <v>0</v>
      </c>
      <c r="AF752" s="1764">
        <f>'Notes- SK Template'!AF767</f>
        <v>0</v>
      </c>
      <c r="AG752" s="1764">
        <f>'Notes- SK Template'!AG767</f>
        <v>0</v>
      </c>
    </row>
    <row r="753" spans="1:33" s="20" customFormat="1" ht="29.25" customHeight="1">
      <c r="A753" s="912"/>
      <c r="D753" s="2204" t="s">
        <v>1962</v>
      </c>
      <c r="E753" s="2205"/>
      <c r="F753" s="2205"/>
      <c r="G753" s="2205"/>
      <c r="H753" s="2205"/>
      <c r="I753" s="2205"/>
      <c r="J753" s="2205"/>
      <c r="K753" s="2205"/>
      <c r="L753" s="2205"/>
      <c r="M753" s="2290"/>
      <c r="N753" s="1764">
        <f>'Notes- SK Template'!N768</f>
        <v>33910</v>
      </c>
      <c r="O753" s="1764">
        <f>'Notes- SK Template'!O768</f>
        <v>0</v>
      </c>
      <c r="P753" s="1764">
        <f>'Notes- SK Template'!P768</f>
        <v>0</v>
      </c>
      <c r="Q753" s="1764">
        <f>'Notes- SK Template'!Q768</f>
        <v>0</v>
      </c>
      <c r="R753" s="1764">
        <f>'Notes- SK Template'!R768</f>
        <v>0</v>
      </c>
      <c r="S753" s="1764">
        <f>'Notes- SK Template'!S768</f>
        <v>0</v>
      </c>
      <c r="T753" s="1764">
        <f>'Notes- SK Template'!T768</f>
        <v>0</v>
      </c>
      <c r="U753" s="1764">
        <f>'Notes- SK Template'!U768</f>
        <v>0</v>
      </c>
      <c r="V753" s="1764">
        <f>'Notes- SK Template'!V768</f>
        <v>0</v>
      </c>
      <c r="W753" s="1764">
        <f>'Notes- SK Template'!W768</f>
        <v>0</v>
      </c>
      <c r="X753" s="1764">
        <f>'Notes- SK Template'!X768</f>
        <v>40476</v>
      </c>
      <c r="Y753" s="1764">
        <f>'Notes- SK Template'!Y768</f>
        <v>0</v>
      </c>
      <c r="Z753" s="1764">
        <f>'Notes- SK Template'!Z768</f>
        <v>0</v>
      </c>
      <c r="AA753" s="1764">
        <f>'Notes- SK Template'!AA768</f>
        <v>0</v>
      </c>
      <c r="AB753" s="1764">
        <f>'Notes- SK Template'!AB768</f>
        <v>0</v>
      </c>
      <c r="AC753" s="1764">
        <f>'Notes- SK Template'!AC768</f>
        <v>0</v>
      </c>
      <c r="AD753" s="1764">
        <f>'Notes- SK Template'!AD768</f>
        <v>0</v>
      </c>
      <c r="AE753" s="1764">
        <f>'Notes- SK Template'!AE768</f>
        <v>0</v>
      </c>
      <c r="AF753" s="1764">
        <f>'Notes- SK Template'!AF768</f>
        <v>0</v>
      </c>
      <c r="AG753" s="1764">
        <f>'Notes- SK Template'!AG768</f>
        <v>0</v>
      </c>
    </row>
    <row r="754" spans="1:33" s="20" customFormat="1" ht="29.25" customHeight="1">
      <c r="A754" s="912"/>
      <c r="D754" s="1783" t="s">
        <v>1963</v>
      </c>
      <c r="E754" s="1784"/>
      <c r="F754" s="1784"/>
      <c r="G754" s="1784"/>
      <c r="H754" s="1784"/>
      <c r="I754" s="1784"/>
      <c r="J754" s="1784"/>
      <c r="K754" s="1784"/>
      <c r="L754" s="1784"/>
      <c r="M754" s="1785"/>
      <c r="N754" s="1764">
        <f>'Notes- SK Template'!N769</f>
        <v>28482</v>
      </c>
      <c r="O754" s="1764">
        <f>'Notes- SK Template'!O769</f>
        <v>0</v>
      </c>
      <c r="P754" s="1764">
        <f>'Notes- SK Template'!P769</f>
        <v>0</v>
      </c>
      <c r="Q754" s="1764">
        <f>'Notes- SK Template'!Q769</f>
        <v>0</v>
      </c>
      <c r="R754" s="1764">
        <f>'Notes- SK Template'!R769</f>
        <v>0</v>
      </c>
      <c r="S754" s="1764">
        <f>'Notes- SK Template'!S769</f>
        <v>0</v>
      </c>
      <c r="T754" s="1764">
        <f>'Notes- SK Template'!T769</f>
        <v>0</v>
      </c>
      <c r="U754" s="1764">
        <f>'Notes- SK Template'!U769</f>
        <v>0</v>
      </c>
      <c r="V754" s="1764">
        <f>'Notes- SK Template'!V769</f>
        <v>0</v>
      </c>
      <c r="W754" s="1764">
        <f>'Notes- SK Template'!W769</f>
        <v>0</v>
      </c>
      <c r="X754" s="1764">
        <f>'Notes- SK Template'!X769</f>
        <v>35174</v>
      </c>
      <c r="Y754" s="1764">
        <f>'Notes- SK Template'!Y769</f>
        <v>0</v>
      </c>
      <c r="Z754" s="1764">
        <f>'Notes- SK Template'!Z769</f>
        <v>0</v>
      </c>
      <c r="AA754" s="1764">
        <f>'Notes- SK Template'!AA769</f>
        <v>0</v>
      </c>
      <c r="AB754" s="1764">
        <f>'Notes- SK Template'!AB769</f>
        <v>0</v>
      </c>
      <c r="AC754" s="1764">
        <f>'Notes- SK Template'!AC769</f>
        <v>0</v>
      </c>
      <c r="AD754" s="1764">
        <f>'Notes- SK Template'!AD769</f>
        <v>0</v>
      </c>
      <c r="AE754" s="1764">
        <f>'Notes- SK Template'!AE769</f>
        <v>0</v>
      </c>
      <c r="AF754" s="1764">
        <f>'Notes- SK Template'!AF769</f>
        <v>0</v>
      </c>
      <c r="AG754" s="1764">
        <f>'Notes- SK Template'!AG769</f>
        <v>0</v>
      </c>
    </row>
    <row r="755" spans="1:33" s="20" customFormat="1" ht="29.25" customHeight="1">
      <c r="A755" s="912"/>
      <c r="D755" s="2513" t="s">
        <v>1964</v>
      </c>
      <c r="E755" s="1762"/>
      <c r="F755" s="1762"/>
      <c r="G755" s="1762"/>
      <c r="H755" s="1762"/>
      <c r="I755" s="1762"/>
      <c r="J755" s="1762"/>
      <c r="K755" s="1762"/>
      <c r="L755" s="1762"/>
      <c r="M755" s="1763"/>
      <c r="N755" s="1764">
        <f>'Notes- SK Template'!N770</f>
        <v>28482</v>
      </c>
      <c r="O755" s="1764">
        <f>'Notes- SK Template'!O770</f>
        <v>0</v>
      </c>
      <c r="P755" s="1764">
        <f>'Notes- SK Template'!P770</f>
        <v>0</v>
      </c>
      <c r="Q755" s="1764">
        <f>'Notes- SK Template'!Q770</f>
        <v>0</v>
      </c>
      <c r="R755" s="1764">
        <f>'Notes- SK Template'!R770</f>
        <v>0</v>
      </c>
      <c r="S755" s="1764">
        <f>'Notes- SK Template'!S770</f>
        <v>0</v>
      </c>
      <c r="T755" s="1764">
        <f>'Notes- SK Template'!T770</f>
        <v>0</v>
      </c>
      <c r="U755" s="1764">
        <f>'Notes- SK Template'!U770</f>
        <v>0</v>
      </c>
      <c r="V755" s="1764">
        <f>'Notes- SK Template'!V770</f>
        <v>0</v>
      </c>
      <c r="W755" s="1764">
        <f>'Notes- SK Template'!W770</f>
        <v>0</v>
      </c>
      <c r="X755" s="1764">
        <f>'Notes- SK Template'!X770</f>
        <v>35174</v>
      </c>
      <c r="Y755" s="1764">
        <f>'Notes- SK Template'!Y770</f>
        <v>0</v>
      </c>
      <c r="Z755" s="1764">
        <f>'Notes- SK Template'!Z770</f>
        <v>0</v>
      </c>
      <c r="AA755" s="1764">
        <f>'Notes- SK Template'!AA770</f>
        <v>0</v>
      </c>
      <c r="AB755" s="1764">
        <f>'Notes- SK Template'!AB770</f>
        <v>0</v>
      </c>
      <c r="AC755" s="1764">
        <f>'Notes- SK Template'!AC770</f>
        <v>0</v>
      </c>
      <c r="AD755" s="1764">
        <f>'Notes- SK Template'!AD770</f>
        <v>0</v>
      </c>
      <c r="AE755" s="1764">
        <f>'Notes- SK Template'!AE770</f>
        <v>0</v>
      </c>
      <c r="AF755" s="1764">
        <f>'Notes- SK Template'!AF770</f>
        <v>0</v>
      </c>
      <c r="AG755" s="1764">
        <f>'Notes- SK Template'!AG770</f>
        <v>0</v>
      </c>
    </row>
    <row r="756" spans="1:33" s="20" customFormat="1" ht="29.25" customHeight="1">
      <c r="A756" s="912"/>
      <c r="D756" s="1783" t="s">
        <v>1965</v>
      </c>
      <c r="E756" s="1784"/>
      <c r="F756" s="1784"/>
      <c r="G756" s="1784"/>
      <c r="H756" s="1784"/>
      <c r="I756" s="1784"/>
      <c r="J756" s="1784"/>
      <c r="K756" s="1784"/>
      <c r="L756" s="1784"/>
      <c r="M756" s="1785"/>
      <c r="N756" s="1764">
        <f>'Notes- SK Template'!N771</f>
        <v>5428</v>
      </c>
      <c r="O756" s="1764">
        <f>'Notes- SK Template'!O771</f>
        <v>0</v>
      </c>
      <c r="P756" s="1764">
        <f>'Notes- SK Template'!P771</f>
        <v>0</v>
      </c>
      <c r="Q756" s="1764">
        <f>'Notes- SK Template'!Q771</f>
        <v>0</v>
      </c>
      <c r="R756" s="1764">
        <f>'Notes- SK Template'!R771</f>
        <v>0</v>
      </c>
      <c r="S756" s="1764">
        <f>'Notes- SK Template'!S771</f>
        <v>0</v>
      </c>
      <c r="T756" s="1764">
        <f>'Notes- SK Template'!T771</f>
        <v>0</v>
      </c>
      <c r="U756" s="1764">
        <f>'Notes- SK Template'!U771</f>
        <v>0</v>
      </c>
      <c r="V756" s="1764">
        <f>'Notes- SK Template'!V771</f>
        <v>0</v>
      </c>
      <c r="W756" s="1764">
        <f>'Notes- SK Template'!W771</f>
        <v>0</v>
      </c>
      <c r="X756" s="1764">
        <f>'Notes- SK Template'!X771</f>
        <v>5302</v>
      </c>
      <c r="Y756" s="1764">
        <f>'Notes- SK Template'!Y771</f>
        <v>0</v>
      </c>
      <c r="Z756" s="1764">
        <f>'Notes- SK Template'!Z771</f>
        <v>0</v>
      </c>
      <c r="AA756" s="1764">
        <f>'Notes- SK Template'!AA771</f>
        <v>0</v>
      </c>
      <c r="AB756" s="1764">
        <f>'Notes- SK Template'!AB771</f>
        <v>0</v>
      </c>
      <c r="AC756" s="1764">
        <f>'Notes- SK Template'!AC771</f>
        <v>0</v>
      </c>
      <c r="AD756" s="1764">
        <f>'Notes- SK Template'!AD771</f>
        <v>0</v>
      </c>
      <c r="AE756" s="1764">
        <f>'Notes- SK Template'!AE771</f>
        <v>0</v>
      </c>
      <c r="AF756" s="1764">
        <f>'Notes- SK Template'!AF771</f>
        <v>0</v>
      </c>
      <c r="AG756" s="1764">
        <f>'Notes- SK Template'!AG771</f>
        <v>0</v>
      </c>
    </row>
    <row r="757" spans="1:33" s="20" customFormat="1" ht="29.25" customHeight="1">
      <c r="A757" s="912"/>
      <c r="D757" s="1846" t="s">
        <v>2864</v>
      </c>
      <c r="E757" s="1762" t="e">
        <f>'Notes- SK Template'!#REF!</f>
        <v>#REF!</v>
      </c>
      <c r="F757" s="1762" t="e">
        <f>'Notes- SK Template'!#REF!</f>
        <v>#REF!</v>
      </c>
      <c r="G757" s="1762" t="e">
        <f>'Notes- SK Template'!#REF!</f>
        <v>#REF!</v>
      </c>
      <c r="H757" s="1762" t="e">
        <f>'Notes- SK Template'!#REF!</f>
        <v>#REF!</v>
      </c>
      <c r="I757" s="1762" t="e">
        <f>'Notes- SK Template'!#REF!</f>
        <v>#REF!</v>
      </c>
      <c r="J757" s="1762" t="e">
        <f>'Notes- SK Template'!#REF!</f>
        <v>#REF!</v>
      </c>
      <c r="K757" s="1762" t="e">
        <f>'Notes- SK Template'!#REF!</f>
        <v>#REF!</v>
      </c>
      <c r="L757" s="1762" t="e">
        <f>'Notes- SK Template'!#REF!</f>
        <v>#REF!</v>
      </c>
      <c r="M757" s="1763" t="e">
        <f>'Notes- SK Template'!#REF!</f>
        <v>#REF!</v>
      </c>
      <c r="N757" s="1764">
        <f>'Notes- SK Template'!N772</f>
        <v>5428</v>
      </c>
      <c r="O757" s="1764">
        <f>'Notes- SK Template'!O772</f>
        <v>0</v>
      </c>
      <c r="P757" s="1764">
        <f>'Notes- SK Template'!P772</f>
        <v>0</v>
      </c>
      <c r="Q757" s="1764">
        <f>'Notes- SK Template'!Q772</f>
        <v>0</v>
      </c>
      <c r="R757" s="1764">
        <f>'Notes- SK Template'!R772</f>
        <v>0</v>
      </c>
      <c r="S757" s="1764">
        <f>'Notes- SK Template'!S772</f>
        <v>0</v>
      </c>
      <c r="T757" s="1764">
        <f>'Notes- SK Template'!T772</f>
        <v>0</v>
      </c>
      <c r="U757" s="1764">
        <f>'Notes- SK Template'!U772</f>
        <v>0</v>
      </c>
      <c r="V757" s="1764">
        <f>'Notes- SK Template'!V772</f>
        <v>0</v>
      </c>
      <c r="W757" s="1764">
        <f>'Notes- SK Template'!W772</f>
        <v>0</v>
      </c>
      <c r="X757" s="1764">
        <f>'Notes- SK Template'!X772</f>
        <v>5302</v>
      </c>
      <c r="Y757" s="1764">
        <f>'Notes- SK Template'!Y772</f>
        <v>0</v>
      </c>
      <c r="Z757" s="1764">
        <f>'Notes- SK Template'!Z772</f>
        <v>0</v>
      </c>
      <c r="AA757" s="1764">
        <f>'Notes- SK Template'!AA772</f>
        <v>0</v>
      </c>
      <c r="AB757" s="1764">
        <f>'Notes- SK Template'!AB772</f>
        <v>0</v>
      </c>
      <c r="AC757" s="1764">
        <f>'Notes- SK Template'!AC772</f>
        <v>0</v>
      </c>
      <c r="AD757" s="1764">
        <f>'Notes- SK Template'!AD772</f>
        <v>0</v>
      </c>
      <c r="AE757" s="1764">
        <f>'Notes- SK Template'!AE772</f>
        <v>0</v>
      </c>
      <c r="AF757" s="1764">
        <f>'Notes- SK Template'!AF772</f>
        <v>0</v>
      </c>
      <c r="AG757" s="1764">
        <f>'Notes- SK Template'!AG772</f>
        <v>0</v>
      </c>
    </row>
    <row r="758" spans="1:33" ht="14.25" hidden="1" customHeight="1">
      <c r="A758" s="597">
        <v>39</v>
      </c>
      <c r="D758" s="2233" t="s">
        <v>1740</v>
      </c>
      <c r="E758" s="2234"/>
      <c r="F758" s="2234"/>
      <c r="G758" s="2234"/>
      <c r="H758" s="2234"/>
      <c r="I758" s="2234"/>
      <c r="J758" s="2234"/>
      <c r="K758" s="2234"/>
      <c r="L758" s="2234"/>
      <c r="M758" s="2235"/>
      <c r="N758" s="1799" t="s">
        <v>1741</v>
      </c>
      <c r="O758" s="1800"/>
      <c r="P758" s="1800"/>
      <c r="Q758" s="1800"/>
      <c r="R758" s="1800"/>
      <c r="S758" s="1800"/>
      <c r="T758" s="1800"/>
      <c r="U758" s="1800"/>
      <c r="V758" s="1800"/>
      <c r="W758" s="1800"/>
      <c r="X758" s="1799" t="s">
        <v>1863</v>
      </c>
      <c r="Y758" s="1800"/>
      <c r="Z758" s="1800"/>
      <c r="AA758" s="1800"/>
      <c r="AB758" s="1800"/>
      <c r="AC758" s="1800"/>
      <c r="AD758" s="1800"/>
      <c r="AE758" s="1800"/>
      <c r="AF758" s="1800"/>
      <c r="AG758" s="1803"/>
    </row>
    <row r="759" spans="1:33" ht="14.25" hidden="1" customHeight="1" thickBot="1">
      <c r="D759" s="2236"/>
      <c r="E759" s="2237"/>
      <c r="F759" s="2237"/>
      <c r="G759" s="2237"/>
      <c r="H759" s="2237"/>
      <c r="I759" s="2237"/>
      <c r="J759" s="2237"/>
      <c r="K759" s="2237"/>
      <c r="L759" s="2237"/>
      <c r="M759" s="2238"/>
      <c r="N759" s="1801"/>
      <c r="O759" s="1802"/>
      <c r="P759" s="1802"/>
      <c r="Q759" s="1802"/>
      <c r="R759" s="1802"/>
      <c r="S759" s="1802"/>
      <c r="T759" s="1802"/>
      <c r="U759" s="1802"/>
      <c r="V759" s="1802"/>
      <c r="W759" s="1802"/>
      <c r="X759" s="1801"/>
      <c r="Y759" s="1802"/>
      <c r="Z759" s="1802"/>
      <c r="AA759" s="1802"/>
      <c r="AB759" s="1802"/>
      <c r="AC759" s="1802"/>
      <c r="AD759" s="1802"/>
      <c r="AE759" s="1802"/>
      <c r="AF759" s="1802"/>
      <c r="AG759" s="1804"/>
    </row>
    <row r="760" spans="1:33" s="20" customFormat="1" ht="29.25" hidden="1" customHeight="1">
      <c r="A760" s="912"/>
      <c r="D760" s="1903" t="s">
        <v>1960</v>
      </c>
      <c r="E760" s="1904"/>
      <c r="F760" s="1904"/>
      <c r="G760" s="1904"/>
      <c r="H760" s="1904"/>
      <c r="I760" s="1904"/>
      <c r="J760" s="1904"/>
      <c r="K760" s="1904"/>
      <c r="L760" s="1904"/>
      <c r="M760" s="1905"/>
      <c r="N760" s="1764">
        <f>'Notes- SK Template'!N786</f>
        <v>0</v>
      </c>
      <c r="O760" s="1764">
        <f>'Notes- SK Template'!O786</f>
        <v>0</v>
      </c>
      <c r="P760" s="1764">
        <f>'Notes- SK Template'!P786</f>
        <v>0</v>
      </c>
      <c r="Q760" s="1764">
        <f>'Notes- SK Template'!Q786</f>
        <v>0</v>
      </c>
      <c r="R760" s="1764">
        <f>'Notes- SK Template'!R786</f>
        <v>0</v>
      </c>
      <c r="S760" s="1764">
        <f>'Notes- SK Template'!S786</f>
        <v>0</v>
      </c>
      <c r="T760" s="1764">
        <f>'Notes- SK Template'!T786</f>
        <v>0</v>
      </c>
      <c r="U760" s="1764">
        <f>'Notes- SK Template'!U786</f>
        <v>0</v>
      </c>
      <c r="V760" s="1764">
        <f>'Notes- SK Template'!V786</f>
        <v>0</v>
      </c>
      <c r="W760" s="1764">
        <f>'Notes- SK Template'!W786</f>
        <v>0</v>
      </c>
      <c r="X760" s="1764">
        <f>'Notes- SK Template'!X786</f>
        <v>0</v>
      </c>
      <c r="Y760" s="1764">
        <f>'Notes- SK Template'!Y786</f>
        <v>0</v>
      </c>
      <c r="Z760" s="1764">
        <f>'Notes- SK Template'!Z786</f>
        <v>0</v>
      </c>
      <c r="AA760" s="1764">
        <f>'Notes- SK Template'!AA786</f>
        <v>0</v>
      </c>
      <c r="AB760" s="1764">
        <f>'Notes- SK Template'!AB786</f>
        <v>0</v>
      </c>
      <c r="AC760" s="1764">
        <f>'Notes- SK Template'!AC786</f>
        <v>0</v>
      </c>
      <c r="AD760" s="1764">
        <f>'Notes- SK Template'!AD786</f>
        <v>0</v>
      </c>
      <c r="AE760" s="1764">
        <f>'Notes- SK Template'!AE786</f>
        <v>0</v>
      </c>
      <c r="AF760" s="1764">
        <f>'Notes- SK Template'!AF786</f>
        <v>0</v>
      </c>
      <c r="AG760" s="1764">
        <f>'Notes- SK Template'!AG786</f>
        <v>0</v>
      </c>
    </row>
    <row r="761" spans="1:33" s="20" customFormat="1" ht="29.25" hidden="1" customHeight="1">
      <c r="A761" s="912"/>
      <c r="D761" s="2513" t="s">
        <v>1966</v>
      </c>
      <c r="E761" s="1762"/>
      <c r="F761" s="1762"/>
      <c r="G761" s="1762"/>
      <c r="H761" s="1762"/>
      <c r="I761" s="1762"/>
      <c r="J761" s="1762"/>
      <c r="K761" s="1762"/>
      <c r="L761" s="1762"/>
      <c r="M761" s="1763"/>
      <c r="N761" s="1819">
        <f>'Notes- SK Template'!N787</f>
        <v>0</v>
      </c>
      <c r="O761" s="1819">
        <f>'Notes- SK Template'!O787</f>
        <v>0</v>
      </c>
      <c r="P761" s="1819">
        <f>'Notes- SK Template'!P787</f>
        <v>0</v>
      </c>
      <c r="Q761" s="1819">
        <f>'Notes- SK Template'!Q787</f>
        <v>0</v>
      </c>
      <c r="R761" s="1819">
        <f>'Notes- SK Template'!R787</f>
        <v>0</v>
      </c>
      <c r="S761" s="1819">
        <f>'Notes- SK Template'!S787</f>
        <v>0</v>
      </c>
      <c r="T761" s="1819">
        <f>'Notes- SK Template'!T787</f>
        <v>0</v>
      </c>
      <c r="U761" s="1819">
        <f>'Notes- SK Template'!U787</f>
        <v>0</v>
      </c>
      <c r="V761" s="1819">
        <f>'Notes- SK Template'!V787</f>
        <v>0</v>
      </c>
      <c r="W761" s="1819">
        <f>'Notes- SK Template'!W787</f>
        <v>0</v>
      </c>
      <c r="X761" s="1819">
        <f>'Notes- SK Template'!X787</f>
        <v>0</v>
      </c>
      <c r="Y761" s="1819">
        <f>'Notes- SK Template'!Y787</f>
        <v>0</v>
      </c>
      <c r="Z761" s="1819">
        <f>'Notes- SK Template'!Z787</f>
        <v>0</v>
      </c>
      <c r="AA761" s="1819">
        <f>'Notes- SK Template'!AA787</f>
        <v>0</v>
      </c>
      <c r="AB761" s="1819">
        <f>'Notes- SK Template'!AB787</f>
        <v>0</v>
      </c>
      <c r="AC761" s="1819">
        <f>'Notes- SK Template'!AC787</f>
        <v>0</v>
      </c>
      <c r="AD761" s="1819">
        <f>'Notes- SK Template'!AD787</f>
        <v>0</v>
      </c>
      <c r="AE761" s="1819">
        <f>'Notes- SK Template'!AE787</f>
        <v>0</v>
      </c>
      <c r="AF761" s="1819">
        <f>'Notes- SK Template'!AF787</f>
        <v>0</v>
      </c>
      <c r="AG761" s="1819">
        <f>'Notes- SK Template'!AG787</f>
        <v>0</v>
      </c>
    </row>
    <row r="762" spans="1:33" s="20" customFormat="1" ht="29.25" hidden="1" customHeight="1">
      <c r="A762" s="912"/>
      <c r="D762" s="2513" t="s">
        <v>1967</v>
      </c>
      <c r="E762" s="1762"/>
      <c r="F762" s="1762"/>
      <c r="G762" s="1762"/>
      <c r="H762" s="1762"/>
      <c r="I762" s="1762"/>
      <c r="J762" s="1762"/>
      <c r="K762" s="1762"/>
      <c r="L762" s="1762"/>
      <c r="M762" s="1763"/>
      <c r="N762" s="1764">
        <f>'Notes- SK Template'!N788</f>
        <v>0</v>
      </c>
      <c r="O762" s="1764">
        <f>'Notes- SK Template'!O788</f>
        <v>0</v>
      </c>
      <c r="P762" s="1764">
        <f>'Notes- SK Template'!P788</f>
        <v>0</v>
      </c>
      <c r="Q762" s="1764">
        <f>'Notes- SK Template'!Q788</f>
        <v>0</v>
      </c>
      <c r="R762" s="1764">
        <f>'Notes- SK Template'!R788</f>
        <v>0</v>
      </c>
      <c r="S762" s="1764">
        <f>'Notes- SK Template'!S788</f>
        <v>0</v>
      </c>
      <c r="T762" s="1764">
        <f>'Notes- SK Template'!T788</f>
        <v>0</v>
      </c>
      <c r="U762" s="1764">
        <f>'Notes- SK Template'!U788</f>
        <v>0</v>
      </c>
      <c r="V762" s="1764">
        <f>'Notes- SK Template'!V788</f>
        <v>0</v>
      </c>
      <c r="W762" s="1764">
        <f>'Notes- SK Template'!W788</f>
        <v>0</v>
      </c>
      <c r="X762" s="1764">
        <f>'Notes- SK Template'!X788</f>
        <v>0</v>
      </c>
      <c r="Y762" s="1764">
        <f>'Notes- SK Template'!Y788</f>
        <v>0</v>
      </c>
      <c r="Z762" s="1764">
        <f>'Notes- SK Template'!Z788</f>
        <v>0</v>
      </c>
      <c r="AA762" s="1764">
        <f>'Notes- SK Template'!AA788</f>
        <v>0</v>
      </c>
      <c r="AB762" s="1764">
        <f>'Notes- SK Template'!AB788</f>
        <v>0</v>
      </c>
      <c r="AC762" s="1764">
        <f>'Notes- SK Template'!AC788</f>
        <v>0</v>
      </c>
      <c r="AD762" s="1764">
        <f>'Notes- SK Template'!AD788</f>
        <v>0</v>
      </c>
      <c r="AE762" s="1764">
        <f>'Notes- SK Template'!AE788</f>
        <v>0</v>
      </c>
      <c r="AF762" s="1764">
        <f>'Notes- SK Template'!AF788</f>
        <v>0</v>
      </c>
      <c r="AG762" s="1764">
        <f>'Notes- SK Template'!AG788</f>
        <v>0</v>
      </c>
    </row>
    <row r="763" spans="1:33" s="20" customFormat="1" ht="29.25" hidden="1" customHeight="1">
      <c r="A763" s="912"/>
      <c r="D763" s="2513" t="s">
        <v>1968</v>
      </c>
      <c r="E763" s="1762"/>
      <c r="F763" s="1762"/>
      <c r="G763" s="1762"/>
      <c r="H763" s="1762"/>
      <c r="I763" s="1762"/>
      <c r="J763" s="1762"/>
      <c r="K763" s="1762"/>
      <c r="L763" s="1762"/>
      <c r="M763" s="1763"/>
      <c r="N763" s="1764">
        <f>'Notes- SK Template'!N789</f>
        <v>0</v>
      </c>
      <c r="O763" s="1764">
        <f>'Notes- SK Template'!O789</f>
        <v>0</v>
      </c>
      <c r="P763" s="1764">
        <f>'Notes- SK Template'!P789</f>
        <v>0</v>
      </c>
      <c r="Q763" s="1764">
        <f>'Notes- SK Template'!Q789</f>
        <v>0</v>
      </c>
      <c r="R763" s="1764">
        <f>'Notes- SK Template'!R789</f>
        <v>0</v>
      </c>
      <c r="S763" s="1764">
        <f>'Notes- SK Template'!S789</f>
        <v>0</v>
      </c>
      <c r="T763" s="1764">
        <f>'Notes- SK Template'!T789</f>
        <v>0</v>
      </c>
      <c r="U763" s="1764">
        <f>'Notes- SK Template'!U789</f>
        <v>0</v>
      </c>
      <c r="V763" s="1764">
        <f>'Notes- SK Template'!V789</f>
        <v>0</v>
      </c>
      <c r="W763" s="1764">
        <f>'Notes- SK Template'!W789</f>
        <v>0</v>
      </c>
      <c r="X763" s="1764">
        <f>'Notes- SK Template'!X789</f>
        <v>0</v>
      </c>
      <c r="Y763" s="1764">
        <f>'Notes- SK Template'!Y789</f>
        <v>0</v>
      </c>
      <c r="Z763" s="1764">
        <f>'Notes- SK Template'!Z789</f>
        <v>0</v>
      </c>
      <c r="AA763" s="1764">
        <f>'Notes- SK Template'!AA789</f>
        <v>0</v>
      </c>
      <c r="AB763" s="1764">
        <f>'Notes- SK Template'!AB789</f>
        <v>0</v>
      </c>
      <c r="AC763" s="1764">
        <f>'Notes- SK Template'!AC789</f>
        <v>0</v>
      </c>
      <c r="AD763" s="1764">
        <f>'Notes- SK Template'!AD789</f>
        <v>0</v>
      </c>
      <c r="AE763" s="1764">
        <f>'Notes- SK Template'!AE789</f>
        <v>0</v>
      </c>
      <c r="AF763" s="1764">
        <f>'Notes- SK Template'!AF789</f>
        <v>0</v>
      </c>
      <c r="AG763" s="1764">
        <f>'Notes- SK Template'!AG789</f>
        <v>0</v>
      </c>
    </row>
    <row r="764" spans="1:33" s="20" customFormat="1" ht="29.25" hidden="1" customHeight="1">
      <c r="A764" s="912"/>
      <c r="D764" s="2513" t="s">
        <v>1969</v>
      </c>
      <c r="E764" s="1762"/>
      <c r="F764" s="1762"/>
      <c r="G764" s="1762"/>
      <c r="H764" s="1762"/>
      <c r="I764" s="1762"/>
      <c r="J764" s="1762"/>
      <c r="K764" s="1762"/>
      <c r="L764" s="1762"/>
      <c r="M764" s="1763"/>
      <c r="N764" s="1764">
        <f>'Notes- SK Template'!N790</f>
        <v>0</v>
      </c>
      <c r="O764" s="1764">
        <f>'Notes- SK Template'!O790</f>
        <v>0</v>
      </c>
      <c r="P764" s="1764">
        <f>'Notes- SK Template'!P790</f>
        <v>0</v>
      </c>
      <c r="Q764" s="1764">
        <f>'Notes- SK Template'!Q790</f>
        <v>0</v>
      </c>
      <c r="R764" s="1764">
        <f>'Notes- SK Template'!R790</f>
        <v>0</v>
      </c>
      <c r="S764" s="1764">
        <f>'Notes- SK Template'!S790</f>
        <v>0</v>
      </c>
      <c r="T764" s="1764">
        <f>'Notes- SK Template'!T790</f>
        <v>0</v>
      </c>
      <c r="U764" s="1764">
        <f>'Notes- SK Template'!U790</f>
        <v>0</v>
      </c>
      <c r="V764" s="1764">
        <f>'Notes- SK Template'!V790</f>
        <v>0</v>
      </c>
      <c r="W764" s="1764">
        <f>'Notes- SK Template'!W790</f>
        <v>0</v>
      </c>
      <c r="X764" s="1764">
        <f>'Notes- SK Template'!X790</f>
        <v>0</v>
      </c>
      <c r="Y764" s="1764">
        <f>'Notes- SK Template'!Y790</f>
        <v>0</v>
      </c>
      <c r="Z764" s="1764">
        <f>'Notes- SK Template'!Z790</f>
        <v>0</v>
      </c>
      <c r="AA764" s="1764">
        <f>'Notes- SK Template'!AA790</f>
        <v>0</v>
      </c>
      <c r="AB764" s="1764">
        <f>'Notes- SK Template'!AB790</f>
        <v>0</v>
      </c>
      <c r="AC764" s="1764">
        <f>'Notes- SK Template'!AC790</f>
        <v>0</v>
      </c>
      <c r="AD764" s="1764">
        <f>'Notes- SK Template'!AD790</f>
        <v>0</v>
      </c>
      <c r="AE764" s="1764">
        <f>'Notes- SK Template'!AE790</f>
        <v>0</v>
      </c>
      <c r="AF764" s="1764">
        <f>'Notes- SK Template'!AF790</f>
        <v>0</v>
      </c>
      <c r="AG764" s="1764">
        <f>'Notes- SK Template'!AG790</f>
        <v>0</v>
      </c>
    </row>
    <row r="765" spans="1:33" s="20" customFormat="1" ht="29.25" hidden="1" customHeight="1" thickBot="1">
      <c r="A765" s="912"/>
      <c r="D765" s="2514" t="s">
        <v>1970</v>
      </c>
      <c r="E765" s="2027"/>
      <c r="F765" s="2027"/>
      <c r="G765" s="2027"/>
      <c r="H765" s="2027"/>
      <c r="I765" s="2027"/>
      <c r="J765" s="2027"/>
      <c r="K765" s="2027"/>
      <c r="L765" s="2027"/>
      <c r="M765" s="2028"/>
      <c r="N765" s="2547">
        <f>'Notes- SK Template'!N791</f>
        <v>0</v>
      </c>
      <c r="O765" s="2547">
        <f>'Notes- SK Template'!O791</f>
        <v>0</v>
      </c>
      <c r="P765" s="2547">
        <f>'Notes- SK Template'!P791</f>
        <v>0</v>
      </c>
      <c r="Q765" s="2547">
        <f>'Notes- SK Template'!Q791</f>
        <v>0</v>
      </c>
      <c r="R765" s="2547">
        <f>'Notes- SK Template'!R791</f>
        <v>0</v>
      </c>
      <c r="S765" s="2547">
        <f>'Notes- SK Template'!S791</f>
        <v>0</v>
      </c>
      <c r="T765" s="2547">
        <f>'Notes- SK Template'!T791</f>
        <v>0</v>
      </c>
      <c r="U765" s="2547">
        <f>'Notes- SK Template'!U791</f>
        <v>0</v>
      </c>
      <c r="V765" s="2547">
        <f>'Notes- SK Template'!V791</f>
        <v>0</v>
      </c>
      <c r="W765" s="2547">
        <f>'Notes- SK Template'!W791</f>
        <v>0</v>
      </c>
      <c r="X765" s="2547">
        <f>'Notes- SK Template'!X791</f>
        <v>0</v>
      </c>
      <c r="Y765" s="2547">
        <f>'Notes- SK Template'!Y791</f>
        <v>0</v>
      </c>
      <c r="Z765" s="2547">
        <f>'Notes- SK Template'!Z791</f>
        <v>0</v>
      </c>
      <c r="AA765" s="2547">
        <f>'Notes- SK Template'!AA791</f>
        <v>0</v>
      </c>
      <c r="AB765" s="2547">
        <f>'Notes- SK Template'!AB791</f>
        <v>0</v>
      </c>
      <c r="AC765" s="2547">
        <f>'Notes- SK Template'!AC791</f>
        <v>0</v>
      </c>
      <c r="AD765" s="2547">
        <f>'Notes- SK Template'!AD791</f>
        <v>0</v>
      </c>
      <c r="AE765" s="2547">
        <f>'Notes- SK Template'!AE791</f>
        <v>0</v>
      </c>
      <c r="AF765" s="2547">
        <f>'Notes- SK Template'!AF791</f>
        <v>0</v>
      </c>
      <c r="AG765" s="2547">
        <f>'Notes- SK Template'!AG791</f>
        <v>0</v>
      </c>
    </row>
    <row r="766" spans="1:33" ht="14.25" hidden="1" customHeight="1">
      <c r="D766" s="671"/>
      <c r="E766" s="671"/>
      <c r="F766" s="671"/>
      <c r="G766" s="671"/>
      <c r="H766" s="671"/>
      <c r="I766" s="671"/>
      <c r="J766" s="671"/>
      <c r="K766" s="671"/>
      <c r="L766" s="671"/>
      <c r="M766" s="671"/>
      <c r="N766" s="672"/>
      <c r="O766" s="672"/>
      <c r="P766" s="672"/>
      <c r="Q766" s="672"/>
      <c r="R766" s="672"/>
      <c r="S766" s="672"/>
      <c r="T766" s="672"/>
      <c r="U766" s="672"/>
      <c r="V766" s="672"/>
      <c r="W766" s="672"/>
      <c r="X766" s="672"/>
      <c r="Y766" s="672"/>
      <c r="Z766" s="672"/>
      <c r="AA766" s="672"/>
      <c r="AB766" s="672"/>
      <c r="AC766" s="672"/>
      <c r="AD766" s="672"/>
      <c r="AE766" s="672"/>
      <c r="AF766" s="672"/>
      <c r="AG766" s="672"/>
    </row>
    <row r="767" spans="1:33" ht="14.25" customHeight="1">
      <c r="D767" s="671"/>
      <c r="E767" s="671"/>
      <c r="F767" s="671"/>
      <c r="G767" s="671"/>
      <c r="H767" s="671"/>
      <c r="I767" s="671"/>
      <c r="J767" s="671"/>
      <c r="K767" s="671"/>
      <c r="L767" s="671"/>
      <c r="M767" s="671"/>
      <c r="N767" s="672"/>
      <c r="O767" s="672"/>
      <c r="P767" s="672"/>
      <c r="Q767" s="672"/>
      <c r="R767" s="672"/>
      <c r="S767" s="672"/>
      <c r="T767" s="672"/>
      <c r="U767" s="672"/>
      <c r="V767" s="672"/>
      <c r="W767" s="672"/>
      <c r="X767" s="672"/>
      <c r="Y767" s="672"/>
      <c r="Z767" s="672"/>
      <c r="AA767" s="672"/>
      <c r="AB767" s="672"/>
      <c r="AC767" s="672"/>
      <c r="AD767" s="672"/>
      <c r="AE767" s="672"/>
      <c r="AF767" s="672"/>
      <c r="AG767" s="672"/>
    </row>
    <row r="768" spans="1:33" ht="14.25" customHeight="1">
      <c r="D768" s="1809" t="s">
        <v>2973</v>
      </c>
      <c r="E768" s="1809"/>
      <c r="F768" s="1809"/>
      <c r="G768" s="1809"/>
      <c r="H768" s="1809"/>
      <c r="I768" s="1809"/>
      <c r="J768" s="1809"/>
      <c r="K768" s="1809"/>
      <c r="L768" s="1809"/>
      <c r="M768" s="1809"/>
      <c r="N768" s="1809"/>
      <c r="O768" s="1809"/>
      <c r="P768" s="1809"/>
      <c r="Q768" s="1809"/>
      <c r="R768" s="1809"/>
      <c r="S768" s="1809"/>
      <c r="T768" s="1809"/>
      <c r="U768" s="1809"/>
      <c r="V768" s="1809"/>
      <c r="W768" s="1809"/>
      <c r="X768" s="1809"/>
      <c r="Y768" s="1809"/>
      <c r="Z768" s="1809"/>
      <c r="AA768" s="1809"/>
      <c r="AB768" s="1809"/>
      <c r="AC768" s="1809"/>
      <c r="AD768" s="1809"/>
      <c r="AE768" s="1809"/>
      <c r="AF768" s="1809"/>
      <c r="AG768" s="1809"/>
    </row>
    <row r="769" spans="1:33" ht="6" customHeight="1" thickBot="1">
      <c r="D769" s="671"/>
      <c r="E769" s="671"/>
      <c r="F769" s="671"/>
      <c r="G769" s="671"/>
      <c r="H769" s="671"/>
      <c r="I769" s="671"/>
      <c r="J769" s="671"/>
      <c r="K769" s="671"/>
      <c r="L769" s="671"/>
      <c r="M769" s="671"/>
      <c r="N769" s="672"/>
      <c r="O769" s="672"/>
      <c r="P769" s="672"/>
      <c r="Q769" s="672"/>
      <c r="R769" s="672"/>
      <c r="S769" s="672"/>
      <c r="T769" s="672"/>
      <c r="U769" s="672"/>
      <c r="V769" s="672"/>
      <c r="W769" s="672"/>
      <c r="X769" s="672"/>
      <c r="Y769" s="672"/>
      <c r="Z769" s="672"/>
      <c r="AA769" s="672"/>
      <c r="AB769" s="672"/>
      <c r="AC769" s="672"/>
      <c r="AD769" s="672"/>
      <c r="AE769" s="672"/>
      <c r="AF769" s="672"/>
      <c r="AG769" s="672"/>
    </row>
    <row r="770" spans="1:33" ht="14.25" customHeight="1">
      <c r="D770" s="2233" t="s">
        <v>1740</v>
      </c>
      <c r="E770" s="2234"/>
      <c r="F770" s="2234"/>
      <c r="G770" s="2234"/>
      <c r="H770" s="2234"/>
      <c r="I770" s="2234"/>
      <c r="J770" s="2234"/>
      <c r="K770" s="2234"/>
      <c r="L770" s="2234"/>
      <c r="M770" s="2235"/>
      <c r="N770" s="1799" t="s">
        <v>1741</v>
      </c>
      <c r="O770" s="1800"/>
      <c r="P770" s="1800"/>
      <c r="Q770" s="1800"/>
      <c r="R770" s="1800"/>
      <c r="S770" s="1800"/>
      <c r="T770" s="1800"/>
      <c r="U770" s="1800"/>
      <c r="V770" s="1800"/>
      <c r="W770" s="1800"/>
      <c r="X770" s="1799" t="s">
        <v>1863</v>
      </c>
      <c r="Y770" s="1800"/>
      <c r="Z770" s="1800"/>
      <c r="AA770" s="1800"/>
      <c r="AB770" s="1800"/>
      <c r="AC770" s="1800"/>
      <c r="AD770" s="1800"/>
      <c r="AE770" s="1800"/>
      <c r="AF770" s="1800"/>
      <c r="AG770" s="1803"/>
    </row>
    <row r="771" spans="1:33" ht="14.25" customHeight="1" thickBot="1">
      <c r="D771" s="2236"/>
      <c r="E771" s="2237"/>
      <c r="F771" s="2237"/>
      <c r="G771" s="2237"/>
      <c r="H771" s="2237"/>
      <c r="I771" s="2237"/>
      <c r="J771" s="2237"/>
      <c r="K771" s="2237"/>
      <c r="L771" s="2237"/>
      <c r="M771" s="2238"/>
      <c r="N771" s="1801"/>
      <c r="O771" s="1802"/>
      <c r="P771" s="1802"/>
      <c r="Q771" s="1802"/>
      <c r="R771" s="1802"/>
      <c r="S771" s="1802"/>
      <c r="T771" s="1802"/>
      <c r="U771" s="1802"/>
      <c r="V771" s="1802"/>
      <c r="W771" s="1802"/>
      <c r="X771" s="1801"/>
      <c r="Y771" s="1802"/>
      <c r="Z771" s="1802"/>
      <c r="AA771" s="1802"/>
      <c r="AB771" s="1802"/>
      <c r="AC771" s="1802"/>
      <c r="AD771" s="1802"/>
      <c r="AE771" s="1802"/>
      <c r="AF771" s="1802"/>
      <c r="AG771" s="1804"/>
    </row>
    <row r="772" spans="1:33" ht="14.25" customHeight="1">
      <c r="D772" s="1903" t="s">
        <v>2974</v>
      </c>
      <c r="E772" s="1904"/>
      <c r="F772" s="1904"/>
      <c r="G772" s="1904"/>
      <c r="H772" s="1904"/>
      <c r="I772" s="1904"/>
      <c r="J772" s="1904"/>
      <c r="K772" s="1904"/>
      <c r="L772" s="1904"/>
      <c r="M772" s="1905"/>
      <c r="N772" s="2284">
        <f>'Notes- SK Template'!N778</f>
        <v>1097102</v>
      </c>
      <c r="O772" s="2285"/>
      <c r="P772" s="2285"/>
      <c r="Q772" s="2285"/>
      <c r="R772" s="2285"/>
      <c r="S772" s="2285"/>
      <c r="T772" s="2285"/>
      <c r="U772" s="2285"/>
      <c r="V772" s="2285"/>
      <c r="W772" s="2286"/>
      <c r="X772" s="2284">
        <f>'Notes- SK Template'!X778</f>
        <v>1086166</v>
      </c>
      <c r="Y772" s="2285"/>
      <c r="Z772" s="2285"/>
      <c r="AA772" s="2285"/>
      <c r="AB772" s="2285"/>
      <c r="AC772" s="2285"/>
      <c r="AD772" s="2285"/>
      <c r="AE772" s="2285"/>
      <c r="AF772" s="2285"/>
      <c r="AG772" s="2286"/>
    </row>
    <row r="773" spans="1:33" ht="14.25" customHeight="1">
      <c r="D773" s="1846" t="s">
        <v>2975</v>
      </c>
      <c r="E773" s="1847"/>
      <c r="F773" s="1847"/>
      <c r="G773" s="1847"/>
      <c r="H773" s="1847"/>
      <c r="I773" s="1847"/>
      <c r="J773" s="1847"/>
      <c r="K773" s="1847"/>
      <c r="L773" s="1847"/>
      <c r="M773" s="1848"/>
      <c r="N773" s="1780">
        <f>'Notes- SK Template'!N779</f>
        <v>781249</v>
      </c>
      <c r="O773" s="1781"/>
      <c r="P773" s="1781"/>
      <c r="Q773" s="1781"/>
      <c r="R773" s="1781"/>
      <c r="S773" s="1781"/>
      <c r="T773" s="1781"/>
      <c r="U773" s="1781"/>
      <c r="V773" s="1781"/>
      <c r="W773" s="1782"/>
      <c r="X773" s="1780">
        <f>'Notes- SK Template'!X779</f>
        <v>788625</v>
      </c>
      <c r="Y773" s="1781"/>
      <c r="Z773" s="1781"/>
      <c r="AA773" s="1781"/>
      <c r="AB773" s="1781"/>
      <c r="AC773" s="1781"/>
      <c r="AD773" s="1781"/>
      <c r="AE773" s="1781"/>
      <c r="AF773" s="1781"/>
      <c r="AG773" s="1782"/>
    </row>
    <row r="774" spans="1:33" ht="14.25" customHeight="1">
      <c r="D774" s="1846" t="s">
        <v>2976</v>
      </c>
      <c r="E774" s="1847"/>
      <c r="F774" s="1847"/>
      <c r="G774" s="1847"/>
      <c r="H774" s="1847"/>
      <c r="I774" s="1847"/>
      <c r="J774" s="1847"/>
      <c r="K774" s="1847"/>
      <c r="L774" s="1847"/>
      <c r="M774" s="1848"/>
      <c r="N774" s="1780">
        <f>'Notes- SK Template'!N780</f>
        <v>266859</v>
      </c>
      <c r="O774" s="1781"/>
      <c r="P774" s="1781"/>
      <c r="Q774" s="1781"/>
      <c r="R774" s="1781"/>
      <c r="S774" s="1781"/>
      <c r="T774" s="1781"/>
      <c r="U774" s="1781"/>
      <c r="V774" s="1781"/>
      <c r="W774" s="1782"/>
      <c r="X774" s="1780">
        <f>'Notes- SK Template'!X780</f>
        <v>249918</v>
      </c>
      <c r="Y774" s="1781"/>
      <c r="Z774" s="1781"/>
      <c r="AA774" s="1781"/>
      <c r="AB774" s="1781"/>
      <c r="AC774" s="1781"/>
      <c r="AD774" s="1781"/>
      <c r="AE774" s="1781"/>
      <c r="AF774" s="1781"/>
      <c r="AG774" s="1782"/>
    </row>
    <row r="775" spans="1:33" ht="14.25" customHeight="1" thickBot="1">
      <c r="D775" s="2011" t="s">
        <v>2977</v>
      </c>
      <c r="E775" s="2012"/>
      <c r="F775" s="2012"/>
      <c r="G775" s="2012"/>
      <c r="H775" s="2012"/>
      <c r="I775" s="2012"/>
      <c r="J775" s="2012"/>
      <c r="K775" s="2012"/>
      <c r="L775" s="2012"/>
      <c r="M775" s="2013"/>
      <c r="N775" s="2291">
        <f>'Notes- SK Template'!N781</f>
        <v>48994</v>
      </c>
      <c r="O775" s="2292"/>
      <c r="P775" s="2292"/>
      <c r="Q775" s="2292"/>
      <c r="R775" s="2292"/>
      <c r="S775" s="2292"/>
      <c r="T775" s="2292"/>
      <c r="U775" s="2292"/>
      <c r="V775" s="2292"/>
      <c r="W775" s="2293"/>
      <c r="X775" s="2291">
        <f>'Notes- SK Template'!X781</f>
        <v>47623</v>
      </c>
      <c r="Y775" s="2292"/>
      <c r="Z775" s="2292"/>
      <c r="AA775" s="2292"/>
      <c r="AB775" s="2292"/>
      <c r="AC775" s="2292"/>
      <c r="AD775" s="2292"/>
      <c r="AE775" s="2292"/>
      <c r="AF775" s="2292"/>
      <c r="AG775" s="2293"/>
    </row>
    <row r="776" spans="1:33" ht="14.25" customHeight="1">
      <c r="D776" s="1530"/>
      <c r="E776" s="1530"/>
      <c r="F776" s="1530"/>
      <c r="G776" s="1530"/>
      <c r="H776" s="1530"/>
      <c r="I776" s="1530"/>
      <c r="J776" s="1530"/>
      <c r="K776" s="1530"/>
      <c r="L776" s="1530"/>
      <c r="M776" s="1530"/>
      <c r="N776" s="1531"/>
      <c r="O776" s="1531"/>
      <c r="P776" s="1531"/>
      <c r="Q776" s="1531"/>
      <c r="R776" s="1531"/>
      <c r="S776" s="1531"/>
      <c r="T776" s="1531"/>
      <c r="U776" s="1531"/>
      <c r="V776" s="1531"/>
      <c r="W776" s="1531"/>
      <c r="X776" s="1531"/>
      <c r="Y776" s="1531"/>
      <c r="Z776" s="1531"/>
      <c r="AA776" s="1531"/>
      <c r="AB776" s="1531"/>
      <c r="AC776" s="1531"/>
      <c r="AD776" s="1531"/>
      <c r="AE776" s="1531"/>
      <c r="AF776" s="1531"/>
      <c r="AG776" s="1531"/>
    </row>
    <row r="777" spans="1:33" s="1430" customFormat="1" ht="14.25" customHeight="1">
      <c r="A777" s="1516"/>
      <c r="D777" s="1924" t="s">
        <v>2874</v>
      </c>
      <c r="E777" s="1924"/>
      <c r="F777" s="1924"/>
      <c r="G777" s="1924"/>
      <c r="H777" s="1924"/>
      <c r="I777" s="1924"/>
      <c r="J777" s="1924"/>
      <c r="K777" s="1924"/>
      <c r="L777" s="1924"/>
      <c r="M777" s="1924"/>
      <c r="N777" s="1924"/>
      <c r="O777" s="1924"/>
      <c r="P777" s="1924"/>
      <c r="Q777" s="1924"/>
      <c r="R777" s="1924"/>
      <c r="S777" s="1924"/>
      <c r="T777" s="1924"/>
      <c r="U777" s="1924"/>
      <c r="V777" s="1924"/>
      <c r="W777" s="1924"/>
      <c r="X777" s="1924"/>
      <c r="Y777" s="1924"/>
      <c r="Z777" s="1924"/>
      <c r="AA777" s="1924"/>
      <c r="AB777" s="1924"/>
      <c r="AC777" s="1924"/>
      <c r="AD777" s="1924"/>
      <c r="AE777" s="1924"/>
      <c r="AF777" s="1924"/>
      <c r="AG777" s="1924"/>
    </row>
    <row r="778" spans="1:33" s="1430" customFormat="1" ht="6" customHeight="1">
      <c r="A778" s="1516"/>
    </row>
    <row r="779" spans="1:33" s="1430" customFormat="1" ht="14.25" customHeight="1">
      <c r="A779" s="1516"/>
      <c r="D779" s="1809" t="s">
        <v>2875</v>
      </c>
      <c r="E779" s="1809"/>
      <c r="F779" s="1809"/>
      <c r="G779" s="1809"/>
      <c r="H779" s="1809"/>
      <c r="I779" s="1809"/>
      <c r="J779" s="1809"/>
      <c r="K779" s="1809"/>
      <c r="L779" s="1809"/>
      <c r="M779" s="1809"/>
      <c r="N779" s="1809"/>
      <c r="O779" s="1809"/>
      <c r="P779" s="1809"/>
      <c r="Q779" s="1809"/>
      <c r="R779" s="1809"/>
      <c r="S779" s="1809"/>
      <c r="T779" s="1809"/>
      <c r="U779" s="1809"/>
      <c r="V779" s="1809"/>
      <c r="W779" s="1809"/>
      <c r="X779" s="1809"/>
      <c r="Y779" s="1809"/>
      <c r="Z779" s="1809"/>
      <c r="AA779" s="1809"/>
      <c r="AB779" s="1809"/>
      <c r="AC779" s="1809"/>
      <c r="AD779" s="1809"/>
      <c r="AE779" s="1809"/>
      <c r="AF779" s="1809"/>
      <c r="AG779" s="1809"/>
    </row>
    <row r="780" spans="1:33" s="1430" customFormat="1" ht="14.25" customHeight="1" thickBot="1">
      <c r="A780" s="1516"/>
    </row>
    <row r="781" spans="1:33" s="1430" customFormat="1" ht="28.5" customHeight="1" thickBot="1">
      <c r="A781" s="1516">
        <v>40</v>
      </c>
      <c r="D781" s="1838" t="s">
        <v>1740</v>
      </c>
      <c r="E781" s="1838"/>
      <c r="F781" s="1838"/>
      <c r="G781" s="1838"/>
      <c r="H781" s="1838"/>
      <c r="I781" s="1838"/>
      <c r="J781" s="1838"/>
      <c r="K781" s="1838"/>
      <c r="L781" s="1838"/>
      <c r="M781" s="1838"/>
      <c r="N781" s="1838"/>
      <c r="O781" s="1838"/>
      <c r="P781" s="2146" t="s">
        <v>1741</v>
      </c>
      <c r="Q781" s="2146"/>
      <c r="R781" s="2146"/>
      <c r="S781" s="2146"/>
      <c r="T781" s="2146"/>
      <c r="U781" s="2146"/>
      <c r="V781" s="2146"/>
      <c r="W781" s="2146"/>
      <c r="X781" s="2146"/>
      <c r="Y781" s="1838" t="s">
        <v>1863</v>
      </c>
      <c r="Z781" s="1838"/>
      <c r="AA781" s="1838"/>
      <c r="AB781" s="1838"/>
      <c r="AC781" s="1838"/>
      <c r="AD781" s="1838"/>
      <c r="AE781" s="1838"/>
      <c r="AF781" s="1838"/>
      <c r="AG781" s="1838"/>
    </row>
    <row r="782" spans="1:33" s="1430" customFormat="1" ht="46.5" customHeight="1">
      <c r="A782" s="1516"/>
      <c r="D782" s="2278" t="s">
        <v>2876</v>
      </c>
      <c r="E782" s="2278"/>
      <c r="F782" s="2278"/>
      <c r="G782" s="2278"/>
      <c r="H782" s="2278"/>
      <c r="I782" s="2278"/>
      <c r="J782" s="2278"/>
      <c r="K782" s="2278"/>
      <c r="L782" s="2278"/>
      <c r="M782" s="2278"/>
      <c r="N782" s="2278"/>
      <c r="O782" s="2519"/>
      <c r="P782" s="2520">
        <f>'Notes- SK Template'!P797</f>
        <v>0</v>
      </c>
      <c r="Q782" s="2521"/>
      <c r="R782" s="2521"/>
      <c r="S782" s="2521"/>
      <c r="T782" s="2521"/>
      <c r="U782" s="2521"/>
      <c r="V782" s="2521"/>
      <c r="W782" s="2521"/>
      <c r="X782" s="2522"/>
      <c r="Y782" s="2523">
        <f>'Notes- SK Template'!Y797</f>
        <v>0</v>
      </c>
      <c r="Z782" s="2103"/>
      <c r="AA782" s="2103"/>
      <c r="AB782" s="2103"/>
      <c r="AC782" s="2103"/>
      <c r="AD782" s="2103"/>
      <c r="AE782" s="2103"/>
      <c r="AF782" s="2103"/>
      <c r="AG782" s="2103"/>
    </row>
    <row r="783" spans="1:33" s="1430" customFormat="1" ht="45.75" customHeight="1">
      <c r="A783" s="1516"/>
      <c r="D783" s="1786" t="s">
        <v>2877</v>
      </c>
      <c r="E783" s="1786"/>
      <c r="F783" s="1786"/>
      <c r="G783" s="1786"/>
      <c r="H783" s="1786"/>
      <c r="I783" s="1786"/>
      <c r="J783" s="1786"/>
      <c r="K783" s="1786"/>
      <c r="L783" s="1786"/>
      <c r="M783" s="1786"/>
      <c r="N783" s="1786"/>
      <c r="O783" s="1846"/>
      <c r="P783" s="2156">
        <f>'Notes- SK Template'!P798</f>
        <v>0</v>
      </c>
      <c r="Q783" s="2032"/>
      <c r="R783" s="2032"/>
      <c r="S783" s="2032"/>
      <c r="T783" s="2032"/>
      <c r="U783" s="2032"/>
      <c r="V783" s="2032"/>
      <c r="W783" s="2032"/>
      <c r="X783" s="2155"/>
      <c r="Y783" s="1895">
        <f>'Notes- SK Template'!Y798</f>
        <v>17755</v>
      </c>
      <c r="Z783" s="1842"/>
      <c r="AA783" s="1842"/>
      <c r="AB783" s="1842"/>
      <c r="AC783" s="1842"/>
      <c r="AD783" s="1842"/>
      <c r="AE783" s="1842"/>
      <c r="AF783" s="1842"/>
      <c r="AG783" s="1842"/>
    </row>
    <row r="784" spans="1:33" s="1430" customFormat="1" ht="79.5" customHeight="1">
      <c r="A784" s="1516"/>
      <c r="D784" s="1786" t="s">
        <v>2878</v>
      </c>
      <c r="E784" s="1786"/>
      <c r="F784" s="1786"/>
      <c r="G784" s="1786"/>
      <c r="H784" s="1786"/>
      <c r="I784" s="1786"/>
      <c r="J784" s="1786"/>
      <c r="K784" s="1786"/>
      <c r="L784" s="1786"/>
      <c r="M784" s="1786"/>
      <c r="N784" s="1786"/>
      <c r="O784" s="1846"/>
      <c r="P784" s="2160">
        <f>'Notes- SK Template'!P799</f>
        <v>0</v>
      </c>
      <c r="Q784" s="2166"/>
      <c r="R784" s="2166"/>
      <c r="S784" s="2166"/>
      <c r="T784" s="2166"/>
      <c r="U784" s="2166"/>
      <c r="V784" s="2166"/>
      <c r="W784" s="2166"/>
      <c r="X784" s="2159"/>
      <c r="Y784" s="1895">
        <f>'Notes- SK Template'!Y799</f>
        <v>0</v>
      </c>
      <c r="Z784" s="1842"/>
      <c r="AA784" s="1842"/>
      <c r="AB784" s="1842"/>
      <c r="AC784" s="1842"/>
      <c r="AD784" s="1842"/>
      <c r="AE784" s="1842"/>
      <c r="AF784" s="1842"/>
      <c r="AG784" s="1842"/>
    </row>
    <row r="785" spans="1:33" s="1430" customFormat="1" ht="59.25" customHeight="1">
      <c r="A785" s="1516"/>
      <c r="D785" s="1786" t="s">
        <v>2879</v>
      </c>
      <c r="E785" s="1786"/>
      <c r="F785" s="1786"/>
      <c r="G785" s="1786"/>
      <c r="H785" s="1786"/>
      <c r="I785" s="1786"/>
      <c r="J785" s="1786"/>
      <c r="K785" s="1786"/>
      <c r="L785" s="1786"/>
      <c r="M785" s="1786"/>
      <c r="N785" s="1786"/>
      <c r="O785" s="1846"/>
      <c r="P785" s="2160">
        <f>'Notes- SK Template'!P800</f>
        <v>0</v>
      </c>
      <c r="Q785" s="2166"/>
      <c r="R785" s="2166"/>
      <c r="S785" s="2166"/>
      <c r="T785" s="2166"/>
      <c r="U785" s="2166"/>
      <c r="V785" s="2166"/>
      <c r="W785" s="2166"/>
      <c r="X785" s="2159"/>
      <c r="Y785" s="1895">
        <f>'Notes- SK Template'!Y800</f>
        <v>0</v>
      </c>
      <c r="Z785" s="1842"/>
      <c r="AA785" s="1842"/>
      <c r="AB785" s="1842"/>
      <c r="AC785" s="1842"/>
      <c r="AD785" s="1842"/>
      <c r="AE785" s="1842"/>
      <c r="AF785" s="1842"/>
      <c r="AG785" s="1842"/>
    </row>
    <row r="786" spans="1:33" s="1430" customFormat="1" ht="63" customHeight="1">
      <c r="A786" s="1516"/>
      <c r="D786" s="1786" t="s">
        <v>2880</v>
      </c>
      <c r="E786" s="1786"/>
      <c r="F786" s="1786"/>
      <c r="G786" s="1786"/>
      <c r="H786" s="1786"/>
      <c r="I786" s="1786"/>
      <c r="J786" s="1786"/>
      <c r="K786" s="1786"/>
      <c r="L786" s="1786"/>
      <c r="M786" s="1786"/>
      <c r="N786" s="1786"/>
      <c r="O786" s="1846"/>
      <c r="P786" s="2160">
        <f>'Notes- SK Template'!P801</f>
        <v>0</v>
      </c>
      <c r="Q786" s="2166"/>
      <c r="R786" s="2166"/>
      <c r="S786" s="2166"/>
      <c r="T786" s="2166"/>
      <c r="U786" s="2166"/>
      <c r="V786" s="2166"/>
      <c r="W786" s="2166"/>
      <c r="X786" s="2159"/>
      <c r="Y786" s="1895">
        <f>'Notes- SK Template'!Y801</f>
        <v>0</v>
      </c>
      <c r="Z786" s="1842"/>
      <c r="AA786" s="1842"/>
      <c r="AB786" s="1842"/>
      <c r="AC786" s="1842"/>
      <c r="AD786" s="1842"/>
      <c r="AE786" s="1842"/>
      <c r="AF786" s="1842"/>
      <c r="AG786" s="1842"/>
    </row>
    <row r="787" spans="1:33" s="1430" customFormat="1" ht="50.25" customHeight="1" thickBot="1">
      <c r="A787" s="1516"/>
      <c r="D787" s="2276" t="s">
        <v>2881</v>
      </c>
      <c r="E787" s="2276"/>
      <c r="F787" s="2276"/>
      <c r="G787" s="2276"/>
      <c r="H787" s="2276"/>
      <c r="I787" s="2276"/>
      <c r="J787" s="2276"/>
      <c r="K787" s="2276"/>
      <c r="L787" s="2276"/>
      <c r="M787" s="2276"/>
      <c r="N787" s="2276"/>
      <c r="O787" s="2515"/>
      <c r="P787" s="2516">
        <f>'Notes- SK Template'!P802</f>
        <v>0</v>
      </c>
      <c r="Q787" s="2517"/>
      <c r="R787" s="2517"/>
      <c r="S787" s="2517"/>
      <c r="T787" s="2517"/>
      <c r="U787" s="2517"/>
      <c r="V787" s="2517"/>
      <c r="W787" s="2517"/>
      <c r="X787" s="2518"/>
      <c r="Y787" s="2084">
        <f>'Notes- SK Template'!Y802</f>
        <v>0</v>
      </c>
      <c r="Z787" s="2085"/>
      <c r="AA787" s="2085"/>
      <c r="AB787" s="2085"/>
      <c r="AC787" s="2085"/>
      <c r="AD787" s="2085"/>
      <c r="AE787" s="2085"/>
      <c r="AF787" s="2085"/>
      <c r="AG787" s="2085"/>
    </row>
    <row r="788" spans="1:33" ht="14.25" customHeight="1">
      <c r="D788" s="671"/>
      <c r="E788" s="671"/>
      <c r="F788" s="671"/>
      <c r="G788" s="671"/>
      <c r="H788" s="671"/>
      <c r="I788" s="671"/>
      <c r="J788" s="671"/>
      <c r="K788" s="671"/>
      <c r="L788" s="671"/>
      <c r="M788" s="671"/>
      <c r="N788" s="672"/>
      <c r="O788" s="672"/>
      <c r="P788" s="672"/>
      <c r="Q788" s="672"/>
      <c r="R788" s="672"/>
      <c r="S788" s="672"/>
      <c r="T788" s="672"/>
      <c r="U788" s="672"/>
      <c r="V788" s="672"/>
      <c r="W788" s="672"/>
      <c r="X788" s="672"/>
      <c r="Y788" s="672"/>
      <c r="Z788" s="672"/>
      <c r="AA788" s="672"/>
      <c r="AB788" s="672"/>
      <c r="AC788" s="672"/>
      <c r="AD788" s="672"/>
      <c r="AE788" s="672"/>
      <c r="AF788" s="672"/>
      <c r="AG788" s="672"/>
    </row>
    <row r="789" spans="1:33" ht="14.25" customHeight="1">
      <c r="D789" s="2133" t="s">
        <v>1971</v>
      </c>
      <c r="E789" s="2546"/>
      <c r="F789" s="2546"/>
      <c r="G789" s="2546"/>
      <c r="H789" s="2546"/>
      <c r="I789" s="2546"/>
      <c r="J789" s="2546"/>
      <c r="K789" s="2546"/>
      <c r="L789" s="2546"/>
      <c r="M789" s="2546"/>
      <c r="N789" s="2546"/>
      <c r="O789" s="2546"/>
      <c r="P789" s="2546"/>
      <c r="Q789" s="2546"/>
      <c r="R789" s="2546"/>
      <c r="S789" s="2546"/>
      <c r="T789" s="2546"/>
      <c r="U789" s="2546"/>
      <c r="V789" s="2546"/>
      <c r="W789" s="2546"/>
      <c r="X789" s="2546"/>
      <c r="Y789" s="2546"/>
      <c r="Z789" s="2546"/>
      <c r="AA789" s="2546"/>
      <c r="AB789" s="2546"/>
      <c r="AC789" s="2546"/>
      <c r="AD789" s="2546"/>
      <c r="AE789" s="2546"/>
      <c r="AF789" s="2546"/>
      <c r="AG789" s="2546"/>
    </row>
    <row r="790" spans="1:33" ht="14.25" customHeight="1" thickBot="1"/>
    <row r="791" spans="1:33" ht="14.25" customHeight="1" thickBot="1">
      <c r="A791" s="597">
        <v>41</v>
      </c>
      <c r="D791" s="1859" t="s">
        <v>1740</v>
      </c>
      <c r="E791" s="1859"/>
      <c r="F791" s="1859"/>
      <c r="G791" s="1859"/>
      <c r="H791" s="1859"/>
      <c r="I791" s="1859"/>
      <c r="J791" s="1799" t="s">
        <v>1741</v>
      </c>
      <c r="K791" s="1800"/>
      <c r="L791" s="1800"/>
      <c r="M791" s="1800"/>
      <c r="N791" s="1800"/>
      <c r="O791" s="1800"/>
      <c r="P791" s="1800"/>
      <c r="Q791" s="1800"/>
      <c r="R791" s="1800"/>
      <c r="S791" s="1800"/>
      <c r="T791" s="1800"/>
      <c r="U791" s="1803"/>
      <c r="V791" s="1799" t="s">
        <v>1863</v>
      </c>
      <c r="W791" s="1800"/>
      <c r="X791" s="1800"/>
      <c r="Y791" s="1800"/>
      <c r="Z791" s="1800"/>
      <c r="AA791" s="1800"/>
      <c r="AB791" s="1800"/>
      <c r="AC791" s="1800"/>
      <c r="AD791" s="1800"/>
      <c r="AE791" s="1800"/>
      <c r="AF791" s="1800"/>
      <c r="AG791" s="1803"/>
    </row>
    <row r="792" spans="1:33" ht="14.25" customHeight="1" thickBot="1">
      <c r="D792" s="1859"/>
      <c r="E792" s="1859"/>
      <c r="F792" s="1859"/>
      <c r="G792" s="1859"/>
      <c r="H792" s="1859"/>
      <c r="I792" s="1859"/>
      <c r="J792" s="1801"/>
      <c r="K792" s="1802"/>
      <c r="L792" s="1802"/>
      <c r="M792" s="1802"/>
      <c r="N792" s="1802"/>
      <c r="O792" s="1802"/>
      <c r="P792" s="1802"/>
      <c r="Q792" s="1802"/>
      <c r="R792" s="1802"/>
      <c r="S792" s="1802"/>
      <c r="T792" s="1802"/>
      <c r="U792" s="1804"/>
      <c r="V792" s="1801"/>
      <c r="W792" s="1802"/>
      <c r="X792" s="1802"/>
      <c r="Y792" s="1802"/>
      <c r="Z792" s="1802"/>
      <c r="AA792" s="1802"/>
      <c r="AB792" s="1802"/>
      <c r="AC792" s="1802"/>
      <c r="AD792" s="1802"/>
      <c r="AE792" s="1802"/>
      <c r="AF792" s="1802"/>
      <c r="AG792" s="1804"/>
    </row>
    <row r="793" spans="1:33" ht="14.25" customHeight="1" thickBot="1">
      <c r="D793" s="1859"/>
      <c r="E793" s="1859"/>
      <c r="F793" s="1859"/>
      <c r="G793" s="1859"/>
      <c r="H793" s="1859"/>
      <c r="I793" s="1859"/>
      <c r="J793" s="1838" t="s">
        <v>1972</v>
      </c>
      <c r="K793" s="1838"/>
      <c r="L793" s="1838"/>
      <c r="M793" s="1838"/>
      <c r="N793" s="1838" t="s">
        <v>1973</v>
      </c>
      <c r="O793" s="1838"/>
      <c r="P793" s="1838"/>
      <c r="Q793" s="1838"/>
      <c r="R793" s="1838" t="s">
        <v>1974</v>
      </c>
      <c r="S793" s="1838"/>
      <c r="T793" s="1838"/>
      <c r="U793" s="1838"/>
      <c r="V793" s="1838" t="s">
        <v>1972</v>
      </c>
      <c r="W793" s="1838"/>
      <c r="X793" s="1838"/>
      <c r="Y793" s="1838"/>
      <c r="Z793" s="1838" t="s">
        <v>1973</v>
      </c>
      <c r="AA793" s="1838"/>
      <c r="AB793" s="1838"/>
      <c r="AC793" s="1838"/>
      <c r="AD793" s="1838" t="s">
        <v>1974</v>
      </c>
      <c r="AE793" s="1838"/>
      <c r="AF793" s="1838"/>
      <c r="AG793" s="1838"/>
    </row>
    <row r="794" spans="1:33" ht="34.5" customHeight="1" thickBot="1">
      <c r="D794" s="2543" t="s">
        <v>1975</v>
      </c>
      <c r="E794" s="1961"/>
      <c r="F794" s="1961"/>
      <c r="G794" s="1961"/>
      <c r="H794" s="1961"/>
      <c r="I794" s="1962"/>
      <c r="J794" s="1775">
        <v>212837</v>
      </c>
      <c r="K794" s="1775"/>
      <c r="L794" s="1775"/>
      <c r="M794" s="1950"/>
      <c r="N794" s="1775" t="s">
        <v>18</v>
      </c>
      <c r="O794" s="1775"/>
      <c r="P794" s="1775"/>
      <c r="Q794" s="1950"/>
      <c r="R794" s="1775" t="s">
        <v>18</v>
      </c>
      <c r="S794" s="1775"/>
      <c r="T794" s="1775"/>
      <c r="U794" s="1950"/>
      <c r="V794" s="1775">
        <v>338656</v>
      </c>
      <c r="W794" s="1775"/>
      <c r="X794" s="1775"/>
      <c r="Y794" s="1950"/>
      <c r="Z794" s="1775" t="s">
        <v>18</v>
      </c>
      <c r="AA794" s="1775"/>
      <c r="AB794" s="1775"/>
      <c r="AC794" s="1950"/>
      <c r="AD794" s="1775" t="s">
        <v>18</v>
      </c>
      <c r="AE794" s="1775"/>
      <c r="AF794" s="1775"/>
      <c r="AG794" s="1775"/>
    </row>
    <row r="795" spans="1:33" ht="27.75" customHeight="1" thickBot="1">
      <c r="D795" s="2513" t="s">
        <v>1976</v>
      </c>
      <c r="E795" s="1762"/>
      <c r="F795" s="1762"/>
      <c r="G795" s="1762"/>
      <c r="H795" s="1762"/>
      <c r="I795" s="1763"/>
      <c r="J795" s="1775" t="s">
        <v>18</v>
      </c>
      <c r="K795" s="1775"/>
      <c r="L795" s="1775"/>
      <c r="M795" s="1950"/>
      <c r="N795" s="1775">
        <v>44695.77</v>
      </c>
      <c r="O795" s="1775"/>
      <c r="P795" s="1775"/>
      <c r="Q795" s="1950"/>
      <c r="R795" s="1775">
        <v>21</v>
      </c>
      <c r="S795" s="1775"/>
      <c r="T795" s="1775"/>
      <c r="U795" s="1950"/>
      <c r="V795" s="1775" t="s">
        <v>18</v>
      </c>
      <c r="W795" s="1775"/>
      <c r="X795" s="1775"/>
      <c r="Y795" s="1950"/>
      <c r="Z795" s="1775">
        <v>74504.320000000007</v>
      </c>
      <c r="AA795" s="1775"/>
      <c r="AB795" s="1775"/>
      <c r="AC795" s="1950"/>
      <c r="AD795" s="1775">
        <v>22</v>
      </c>
      <c r="AE795" s="1775"/>
      <c r="AF795" s="1775"/>
      <c r="AG795" s="1775"/>
    </row>
    <row r="796" spans="1:33" ht="27.75" customHeight="1" thickBot="1">
      <c r="D796" s="2513" t="s">
        <v>1977</v>
      </c>
      <c r="E796" s="1762"/>
      <c r="F796" s="1762"/>
      <c r="G796" s="1762"/>
      <c r="H796" s="1762"/>
      <c r="I796" s="1763"/>
      <c r="J796" s="1775">
        <v>20565</v>
      </c>
      <c r="K796" s="1775"/>
      <c r="L796" s="1775"/>
      <c r="M796" s="1950"/>
      <c r="N796" s="1775">
        <v>4318.6499999999996</v>
      </c>
      <c r="O796" s="1775"/>
      <c r="P796" s="1775"/>
      <c r="Q796" s="1950"/>
      <c r="R796" s="1775"/>
      <c r="S796" s="1775"/>
      <c r="T796" s="1775"/>
      <c r="U796" s="1950"/>
      <c r="V796" s="1775">
        <v>18907</v>
      </c>
      <c r="W796" s="1775"/>
      <c r="X796" s="1775"/>
      <c r="Y796" s="1950"/>
      <c r="Z796" s="1775">
        <v>4159.54</v>
      </c>
      <c r="AA796" s="1775"/>
      <c r="AB796" s="1775"/>
      <c r="AC796" s="1950"/>
      <c r="AD796" s="1775"/>
      <c r="AE796" s="1775"/>
      <c r="AF796" s="1775"/>
      <c r="AG796" s="1775"/>
    </row>
    <row r="797" spans="1:33" ht="27.75" customHeight="1" thickBot="1">
      <c r="D797" s="2513" t="s">
        <v>1978</v>
      </c>
      <c r="E797" s="1762"/>
      <c r="F797" s="1762"/>
      <c r="G797" s="1762"/>
      <c r="H797" s="1762"/>
      <c r="I797" s="1763"/>
      <c r="J797" s="1775"/>
      <c r="K797" s="1775"/>
      <c r="L797" s="1775"/>
      <c r="M797" s="1950"/>
      <c r="N797" s="1775"/>
      <c r="O797" s="1775"/>
      <c r="P797" s="1775"/>
      <c r="Q797" s="1950"/>
      <c r="R797" s="1775"/>
      <c r="S797" s="1775"/>
      <c r="T797" s="1775"/>
      <c r="U797" s="1950"/>
      <c r="V797" s="1775"/>
      <c r="W797" s="1775"/>
      <c r="X797" s="1775"/>
      <c r="Y797" s="1950"/>
      <c r="Z797" s="1775"/>
      <c r="AA797" s="1775"/>
      <c r="AB797" s="1775"/>
      <c r="AC797" s="1950"/>
      <c r="AD797" s="1775"/>
      <c r="AE797" s="1775"/>
      <c r="AF797" s="1775"/>
      <c r="AG797" s="1775"/>
    </row>
    <row r="798" spans="1:33" ht="27.75" customHeight="1" thickBot="1">
      <c r="D798" s="2545" t="s">
        <v>2003</v>
      </c>
      <c r="E798" s="1830"/>
      <c r="F798" s="1830"/>
      <c r="G798" s="1830"/>
      <c r="H798" s="1830"/>
      <c r="I798" s="1831"/>
      <c r="J798" s="1775"/>
      <c r="K798" s="1775"/>
      <c r="L798" s="1775"/>
      <c r="M798" s="1950"/>
      <c r="N798" s="1775"/>
      <c r="O798" s="1775"/>
      <c r="P798" s="1775"/>
      <c r="Q798" s="1950"/>
      <c r="R798" s="1775"/>
      <c r="S798" s="1775"/>
      <c r="T798" s="1775"/>
      <c r="U798" s="1950"/>
      <c r="V798" s="1775"/>
      <c r="W798" s="1775"/>
      <c r="X798" s="1775"/>
      <c r="Y798" s="1950"/>
      <c r="Z798" s="1775"/>
      <c r="AA798" s="1775"/>
      <c r="AB798" s="1775"/>
      <c r="AC798" s="1950"/>
      <c r="AD798" s="1775"/>
      <c r="AE798" s="1775"/>
      <c r="AF798" s="1775"/>
      <c r="AG798" s="1775"/>
    </row>
    <row r="799" spans="1:33" ht="27.75" customHeight="1" thickBot="1">
      <c r="D799" s="2544" t="s">
        <v>1899</v>
      </c>
      <c r="E799" s="1830"/>
      <c r="F799" s="1830"/>
      <c r="G799" s="1830"/>
      <c r="H799" s="1830"/>
      <c r="I799" s="1831"/>
      <c r="J799" s="1775"/>
      <c r="K799" s="1775"/>
      <c r="L799" s="1775"/>
      <c r="M799" s="1950"/>
      <c r="N799" s="1775"/>
      <c r="O799" s="1775"/>
      <c r="P799" s="1775"/>
      <c r="Q799" s="1950"/>
      <c r="R799" s="1775"/>
      <c r="S799" s="1775"/>
      <c r="T799" s="1775"/>
      <c r="U799" s="1950"/>
      <c r="V799" s="1775"/>
      <c r="W799" s="1775"/>
      <c r="X799" s="1775"/>
      <c r="Y799" s="1950"/>
      <c r="Z799" s="1775"/>
      <c r="AA799" s="1775"/>
      <c r="AB799" s="1775"/>
      <c r="AC799" s="1950"/>
      <c r="AD799" s="1775"/>
      <c r="AE799" s="1775"/>
      <c r="AF799" s="1775"/>
      <c r="AG799" s="1775"/>
    </row>
    <row r="800" spans="1:33" ht="27.75" customHeight="1" thickBot="1">
      <c r="D800" s="2544" t="s">
        <v>1979</v>
      </c>
      <c r="E800" s="1830"/>
      <c r="F800" s="1830"/>
      <c r="G800" s="1830"/>
      <c r="H800" s="1830"/>
      <c r="I800" s="1831"/>
      <c r="J800" s="1775"/>
      <c r="K800" s="1775"/>
      <c r="L800" s="1775"/>
      <c r="M800" s="1950"/>
      <c r="N800" s="1775"/>
      <c r="O800" s="1775"/>
      <c r="P800" s="1775"/>
      <c r="Q800" s="1950"/>
      <c r="R800" s="1775"/>
      <c r="S800" s="1775"/>
      <c r="T800" s="1775"/>
      <c r="U800" s="1950"/>
      <c r="V800" s="1775"/>
      <c r="W800" s="1775"/>
      <c r="X800" s="1775"/>
      <c r="Y800" s="1950"/>
      <c r="Z800" s="1775"/>
      <c r="AA800" s="1775"/>
      <c r="AB800" s="1775"/>
      <c r="AC800" s="1950"/>
      <c r="AD800" s="1775"/>
      <c r="AE800" s="1775"/>
      <c r="AF800" s="1775"/>
      <c r="AG800" s="1775"/>
    </row>
    <row r="801" spans="1:33" ht="27.75" customHeight="1" thickBot="1">
      <c r="D801" s="2544" t="s">
        <v>1882</v>
      </c>
      <c r="E801" s="1830"/>
      <c r="F801" s="1830"/>
      <c r="G801" s="1830"/>
      <c r="H801" s="1830"/>
      <c r="I801" s="1831"/>
      <c r="J801" s="1775">
        <v>20229</v>
      </c>
      <c r="K801" s="1775"/>
      <c r="L801" s="1775"/>
      <c r="M801" s="1950"/>
      <c r="N801" s="1775">
        <v>4247.09</v>
      </c>
      <c r="O801" s="1775"/>
      <c r="P801" s="1775"/>
      <c r="Q801" s="1950"/>
      <c r="R801" s="1775"/>
      <c r="S801" s="1775"/>
      <c r="T801" s="1775"/>
      <c r="U801" s="1950"/>
      <c r="V801" s="1775">
        <v>-61108</v>
      </c>
      <c r="W801" s="1775"/>
      <c r="X801" s="1775"/>
      <c r="Y801" s="1950"/>
      <c r="Z801" s="1775">
        <v>-13443.76</v>
      </c>
      <c r="AA801" s="1775"/>
      <c r="AB801" s="1775"/>
      <c r="AC801" s="1950"/>
      <c r="AD801" s="1775"/>
      <c r="AE801" s="1775"/>
      <c r="AF801" s="1775"/>
      <c r="AG801" s="1775"/>
    </row>
    <row r="802" spans="1:33" ht="27.75" customHeight="1" thickBot="1">
      <c r="D802" s="2513" t="s">
        <v>1752</v>
      </c>
      <c r="E802" s="1762"/>
      <c r="F802" s="1762"/>
      <c r="G802" s="1762"/>
      <c r="H802" s="1762"/>
      <c r="I802" s="1763"/>
      <c r="J802" s="1775" t="s">
        <v>18</v>
      </c>
      <c r="K802" s="1775"/>
      <c r="L802" s="1775"/>
      <c r="M802" s="1950"/>
      <c r="N802" s="1775">
        <v>53261.509999999995</v>
      </c>
      <c r="O802" s="1775"/>
      <c r="P802" s="1775"/>
      <c r="Q802" s="1950"/>
      <c r="R802" s="1775">
        <v>25.024554001418924</v>
      </c>
      <c r="S802" s="1775"/>
      <c r="T802" s="1775"/>
      <c r="U802" s="1950"/>
      <c r="V802" s="1775" t="s">
        <v>18</v>
      </c>
      <c r="W802" s="1775"/>
      <c r="X802" s="1775"/>
      <c r="Y802" s="1950"/>
      <c r="Z802" s="1775">
        <v>65220.1</v>
      </c>
      <c r="AA802" s="1775"/>
      <c r="AB802" s="1775"/>
      <c r="AC802" s="1950"/>
      <c r="AD802" s="1775">
        <v>19.258510110554663</v>
      </c>
      <c r="AE802" s="1775"/>
      <c r="AF802" s="1775"/>
      <c r="AG802" s="1775"/>
    </row>
    <row r="803" spans="1:33" ht="27.75" customHeight="1" thickBot="1">
      <c r="D803" s="2513" t="s">
        <v>1980</v>
      </c>
      <c r="E803" s="1762"/>
      <c r="F803" s="1762"/>
      <c r="G803" s="1762"/>
      <c r="H803" s="1762"/>
      <c r="I803" s="1763"/>
      <c r="J803" s="1775" t="s">
        <v>18</v>
      </c>
      <c r="K803" s="1775"/>
      <c r="L803" s="1775"/>
      <c r="M803" s="1950"/>
      <c r="N803" s="1775">
        <v>125102</v>
      </c>
      <c r="O803" s="1775"/>
      <c r="P803" s="1775"/>
      <c r="Q803" s="1950"/>
      <c r="R803" s="1775">
        <v>58.778313920981788</v>
      </c>
      <c r="S803" s="1775"/>
      <c r="T803" s="1775"/>
      <c r="U803" s="1950"/>
      <c r="V803" s="1775" t="s">
        <v>18</v>
      </c>
      <c r="W803" s="1775"/>
      <c r="X803" s="1775"/>
      <c r="Y803" s="1950"/>
      <c r="Z803" s="1775">
        <v>156065</v>
      </c>
      <c r="AA803" s="1775"/>
      <c r="AB803" s="1775"/>
      <c r="AC803" s="1950"/>
      <c r="AD803" s="1775">
        <v>46.083636492487948</v>
      </c>
      <c r="AE803" s="1775"/>
      <c r="AF803" s="1775"/>
      <c r="AG803" s="1775"/>
    </row>
    <row r="804" spans="1:33" ht="27.75" customHeight="1" thickBot="1">
      <c r="D804" s="2513" t="s">
        <v>1981</v>
      </c>
      <c r="E804" s="1762"/>
      <c r="F804" s="1762"/>
      <c r="G804" s="1762"/>
      <c r="H804" s="1762"/>
      <c r="I804" s="1763"/>
      <c r="J804" s="1775" t="s">
        <v>18</v>
      </c>
      <c r="K804" s="1775"/>
      <c r="L804" s="1775"/>
      <c r="M804" s="1950"/>
      <c r="N804" s="1775">
        <v>-71840</v>
      </c>
      <c r="O804" s="1775"/>
      <c r="P804" s="1775"/>
      <c r="Q804" s="1950"/>
      <c r="R804" s="1775">
        <v>-33.753529696434356</v>
      </c>
      <c r="S804" s="1775"/>
      <c r="T804" s="1775"/>
      <c r="U804" s="1950"/>
      <c r="V804" s="1775" t="s">
        <v>18</v>
      </c>
      <c r="W804" s="1775"/>
      <c r="X804" s="1775"/>
      <c r="Y804" s="1950"/>
      <c r="Z804" s="1775">
        <v>-90845</v>
      </c>
      <c r="AA804" s="1775"/>
      <c r="AB804" s="1775"/>
      <c r="AC804" s="1950"/>
      <c r="AD804" s="1775">
        <v>-26.825155910422378</v>
      </c>
      <c r="AE804" s="1775"/>
      <c r="AF804" s="1775"/>
      <c r="AG804" s="1775"/>
    </row>
    <row r="805" spans="1:33" ht="27.75" customHeight="1" thickBot="1">
      <c r="D805" s="2514" t="s">
        <v>1982</v>
      </c>
      <c r="E805" s="2027"/>
      <c r="F805" s="2027"/>
      <c r="G805" s="2027"/>
      <c r="H805" s="2027"/>
      <c r="I805" s="2028"/>
      <c r="J805" s="1820" t="s">
        <v>18</v>
      </c>
      <c r="K805" s="1820"/>
      <c r="L805" s="1820"/>
      <c r="M805" s="2542"/>
      <c r="N805" s="1820">
        <v>53262</v>
      </c>
      <c r="O805" s="1820"/>
      <c r="P805" s="1820"/>
      <c r="Q805" s="2542"/>
      <c r="R805" s="1820">
        <v>25.024784224547432</v>
      </c>
      <c r="S805" s="1820"/>
      <c r="T805" s="1820"/>
      <c r="U805" s="2542"/>
      <c r="V805" s="1820" t="s">
        <v>18</v>
      </c>
      <c r="W805" s="1820"/>
      <c r="X805" s="1820"/>
      <c r="Y805" s="2542"/>
      <c r="Z805" s="1820">
        <v>65220</v>
      </c>
      <c r="AA805" s="1820"/>
      <c r="AB805" s="1820"/>
      <c r="AC805" s="2542"/>
      <c r="AD805" s="1820">
        <v>19.25848058206557</v>
      </c>
      <c r="AE805" s="1820"/>
      <c r="AF805" s="1820"/>
      <c r="AG805" s="1820"/>
    </row>
    <row r="808" spans="1:33" ht="24" customHeight="1">
      <c r="D808" s="2540" t="s">
        <v>1983</v>
      </c>
      <c r="E808" s="2540"/>
      <c r="F808" s="2540"/>
      <c r="G808" s="2540"/>
      <c r="H808" s="2540"/>
      <c r="I808" s="2540"/>
      <c r="J808" s="2540"/>
      <c r="K808" s="2540"/>
      <c r="L808" s="2540"/>
      <c r="M808" s="2540"/>
      <c r="N808" s="2540"/>
      <c r="O808" s="2540"/>
      <c r="P808" s="2540"/>
      <c r="Q808" s="2540"/>
      <c r="R808" s="2540"/>
      <c r="S808" s="2540"/>
      <c r="T808" s="2540"/>
      <c r="U808" s="2540"/>
      <c r="V808" s="2540"/>
      <c r="W808" s="2540"/>
      <c r="X808" s="2540"/>
      <c r="Y808" s="2540"/>
      <c r="Z808" s="2540"/>
      <c r="AA808" s="2540"/>
      <c r="AB808" s="2540"/>
      <c r="AC808" s="2540"/>
      <c r="AD808" s="2540"/>
      <c r="AE808" s="2540"/>
      <c r="AF808" s="2540"/>
      <c r="AG808" s="2540"/>
    </row>
    <row r="810" spans="1:33" ht="28.5" customHeight="1">
      <c r="D810" s="2083" t="s">
        <v>2978</v>
      </c>
      <c r="E810" s="2541"/>
      <c r="F810" s="2541"/>
      <c r="G810" s="2541"/>
      <c r="H810" s="2541"/>
      <c r="I810" s="2541"/>
      <c r="J810" s="2541"/>
      <c r="K810" s="2541"/>
      <c r="L810" s="2541"/>
      <c r="M810" s="2541"/>
      <c r="N810" s="2541"/>
      <c r="O810" s="2541"/>
      <c r="P810" s="2541"/>
      <c r="Q810" s="2541"/>
      <c r="R810" s="2541"/>
      <c r="S810" s="2541"/>
      <c r="T810" s="2541"/>
      <c r="U810" s="2541"/>
      <c r="V810" s="2541"/>
      <c r="W810" s="2541"/>
      <c r="X810" s="2541"/>
      <c r="Y810" s="2541"/>
      <c r="Z810" s="2541"/>
      <c r="AA810" s="2541"/>
      <c r="AB810" s="2541"/>
      <c r="AC810" s="2541"/>
      <c r="AD810" s="2541"/>
      <c r="AE810" s="2541"/>
      <c r="AF810" s="2541"/>
      <c r="AG810" s="2541"/>
    </row>
    <row r="811" spans="1:33" ht="28.5" customHeight="1">
      <c r="D811" s="1543"/>
      <c r="E811" s="1544"/>
      <c r="F811" s="1544"/>
      <c r="G811" s="1544"/>
      <c r="H811" s="1544"/>
      <c r="I811" s="1544"/>
      <c r="J811" s="1544"/>
      <c r="K811" s="1544"/>
      <c r="L811" s="1544"/>
      <c r="M811" s="1544"/>
      <c r="N811" s="1544"/>
      <c r="O811" s="1544"/>
      <c r="P811" s="1544"/>
      <c r="Q811" s="1544"/>
      <c r="R811" s="1544"/>
      <c r="S811" s="1544"/>
      <c r="T811" s="1544"/>
      <c r="U811" s="1544"/>
      <c r="V811" s="1544"/>
      <c r="W811" s="1544"/>
      <c r="X811" s="1544"/>
      <c r="Y811" s="1544"/>
      <c r="Z811" s="1544"/>
      <c r="AA811" s="1544"/>
      <c r="AB811" s="1544"/>
      <c r="AC811" s="1544"/>
      <c r="AD811" s="1544"/>
      <c r="AE811" s="1544"/>
      <c r="AF811" s="1544"/>
      <c r="AG811" s="1544"/>
    </row>
    <row r="812" spans="1:33" ht="14.25" customHeight="1">
      <c r="D812" s="582" t="s">
        <v>3068</v>
      </c>
    </row>
    <row r="814" spans="1:33" ht="27" customHeight="1">
      <c r="D814" s="2083" t="s">
        <v>1984</v>
      </c>
      <c r="E814" s="2083"/>
      <c r="F814" s="2083"/>
      <c r="G814" s="2083"/>
      <c r="H814" s="2083"/>
      <c r="I814" s="2083"/>
      <c r="J814" s="2083"/>
      <c r="K814" s="2083"/>
      <c r="L814" s="2083"/>
      <c r="M814" s="2083"/>
      <c r="N814" s="2083"/>
      <c r="O814" s="2083"/>
      <c r="P814" s="2083"/>
      <c r="Q814" s="2083"/>
      <c r="R814" s="2083"/>
      <c r="S814" s="2083"/>
      <c r="T814" s="2083"/>
      <c r="U814" s="2083"/>
      <c r="V814" s="2083"/>
      <c r="W814" s="2083"/>
      <c r="X814" s="2083"/>
      <c r="Y814" s="2083"/>
      <c r="Z814" s="2083"/>
      <c r="AA814" s="2083"/>
      <c r="AB814" s="2083"/>
      <c r="AC814" s="2083"/>
      <c r="AD814" s="2083"/>
      <c r="AE814" s="2083"/>
      <c r="AF814" s="2083"/>
      <c r="AG814" s="2083"/>
    </row>
    <row r="815" spans="1:33" ht="14.25" customHeight="1" thickBot="1"/>
    <row r="816" spans="1:33" ht="14.25" customHeight="1" thickBot="1">
      <c r="A816" s="597" t="s">
        <v>1393</v>
      </c>
      <c r="D816" s="1859" t="s">
        <v>1985</v>
      </c>
      <c r="E816" s="1859"/>
      <c r="F816" s="1859"/>
      <c r="G816" s="1859"/>
      <c r="H816" s="1859"/>
      <c r="I816" s="1859"/>
      <c r="J816" s="1859"/>
      <c r="K816" s="1859"/>
      <c r="L816" s="1859"/>
      <c r="M816" s="1838" t="s">
        <v>1986</v>
      </c>
      <c r="N816" s="1838"/>
      <c r="O816" s="1838"/>
      <c r="P816" s="1838"/>
      <c r="Q816" s="1838"/>
      <c r="R816" s="1838" t="s">
        <v>1987</v>
      </c>
      <c r="S816" s="1838"/>
      <c r="T816" s="1838"/>
      <c r="U816" s="1838"/>
      <c r="V816" s="1838"/>
      <c r="W816" s="1838"/>
      <c r="X816" s="1838"/>
      <c r="Y816" s="1838"/>
      <c r="Z816" s="1838"/>
      <c r="AA816" s="1838"/>
      <c r="AB816" s="1838"/>
      <c r="AC816" s="1838"/>
      <c r="AD816" s="1838"/>
      <c r="AE816" s="1838"/>
      <c r="AF816" s="1838"/>
      <c r="AG816" s="1838"/>
    </row>
    <row r="817" spans="4:33" ht="26.25" customHeight="1" thickBot="1">
      <c r="D817" s="1859"/>
      <c r="E817" s="1859"/>
      <c r="F817" s="1859"/>
      <c r="G817" s="1859"/>
      <c r="H817" s="1859"/>
      <c r="I817" s="1859"/>
      <c r="J817" s="1859"/>
      <c r="K817" s="1859"/>
      <c r="L817" s="1859"/>
      <c r="M817" s="1838"/>
      <c r="N817" s="1838"/>
      <c r="O817" s="1838"/>
      <c r="P817" s="1838"/>
      <c r="Q817" s="1838"/>
      <c r="R817" s="1838" t="s">
        <v>1741</v>
      </c>
      <c r="S817" s="1838"/>
      <c r="T817" s="1838"/>
      <c r="U817" s="1838"/>
      <c r="V817" s="1838"/>
      <c r="W817" s="1838"/>
      <c r="X817" s="1838"/>
      <c r="Y817" s="1838"/>
      <c r="Z817" s="1838" t="s">
        <v>1988</v>
      </c>
      <c r="AA817" s="1838"/>
      <c r="AB817" s="1838"/>
      <c r="AC817" s="1838"/>
      <c r="AD817" s="1838"/>
      <c r="AE817" s="1838"/>
      <c r="AF817" s="1838"/>
      <c r="AG817" s="1838"/>
    </row>
    <row r="818" spans="4:33" ht="18.75" customHeight="1">
      <c r="D818" s="2536" t="str">
        <f>'Notes- SK Template'!D832</f>
        <v xml:space="preserve"> FOSS AS FIBEROPTISK SYSTEMSALG</v>
      </c>
      <c r="E818" s="2536">
        <f>'Notes- SK Template'!E836</f>
        <v>0</v>
      </c>
      <c r="F818" s="2536">
        <f>'Notes- SK Template'!F836</f>
        <v>0</v>
      </c>
      <c r="G818" s="2536">
        <f>'Notes- SK Template'!G836</f>
        <v>0</v>
      </c>
      <c r="H818" s="2536">
        <f>'Notes- SK Template'!H836</f>
        <v>0</v>
      </c>
      <c r="I818" s="2536">
        <f>'Notes- SK Template'!I836</f>
        <v>0</v>
      </c>
      <c r="J818" s="2536">
        <f>'Notes- SK Template'!J836</f>
        <v>0</v>
      </c>
      <c r="K818" s="2536">
        <f>'Notes- SK Template'!K836</f>
        <v>0</v>
      </c>
      <c r="L818" s="2536">
        <f>'Notes- SK Template'!L836</f>
        <v>0</v>
      </c>
      <c r="M818" s="2536">
        <v>1</v>
      </c>
      <c r="N818" s="2536">
        <f>'Notes- SK Template'!N833</f>
        <v>0</v>
      </c>
      <c r="O818" s="2536">
        <f>'Notes- SK Template'!O833</f>
        <v>0</v>
      </c>
      <c r="P818" s="2536">
        <f>'Notes- SK Template'!P833</f>
        <v>0</v>
      </c>
      <c r="Q818" s="2536">
        <f>'Notes- SK Template'!Q833</f>
        <v>0</v>
      </c>
      <c r="R818" s="2534">
        <f>'Notes- SK Template'!R832</f>
        <v>283032</v>
      </c>
      <c r="S818" s="2534">
        <f>'Notes- SK Template'!S833</f>
        <v>0</v>
      </c>
      <c r="T818" s="2534">
        <f>'Notes- SK Template'!T833</f>
        <v>0</v>
      </c>
      <c r="U818" s="2534">
        <f>'Notes- SK Template'!U833</f>
        <v>0</v>
      </c>
      <c r="V818" s="2534">
        <f>'Notes- SK Template'!V833</f>
        <v>0</v>
      </c>
      <c r="W818" s="2534">
        <f>'Notes- SK Template'!W833</f>
        <v>0</v>
      </c>
      <c r="X818" s="2534">
        <f>'Notes- SK Template'!X833</f>
        <v>0</v>
      </c>
      <c r="Y818" s="2534">
        <f>'Notes- SK Template'!Y833</f>
        <v>0</v>
      </c>
      <c r="Z818" s="2534">
        <f>'Notes- SK Template'!Z832</f>
        <v>143414</v>
      </c>
      <c r="AA818" s="2534">
        <f>'Notes- SK Template'!AA833</f>
        <v>0</v>
      </c>
      <c r="AB818" s="2534">
        <f>'Notes- SK Template'!AB833</f>
        <v>0</v>
      </c>
      <c r="AC818" s="2534">
        <f>'Notes- SK Template'!AC833</f>
        <v>0</v>
      </c>
      <c r="AD818" s="2534">
        <f>'Notes- SK Template'!AD833</f>
        <v>0</v>
      </c>
      <c r="AE818" s="2534">
        <f>'Notes- SK Template'!AE833</f>
        <v>0</v>
      </c>
      <c r="AF818" s="2534">
        <f>'Notes- SK Template'!AF833</f>
        <v>0</v>
      </c>
      <c r="AG818" s="2534">
        <f>'Notes- SK Template'!AG833</f>
        <v>0</v>
      </c>
    </row>
    <row r="819" spans="4:33" ht="18.75" customHeight="1">
      <c r="D819" s="2537" t="str">
        <f>'Notes- SK Template'!D833</f>
        <v xml:space="preserve"> FOSS AS FIBEROPTISK SYSTEMSALG</v>
      </c>
      <c r="E819" s="2537">
        <f>'Notes- SK Template'!E837</f>
        <v>0</v>
      </c>
      <c r="F819" s="2537">
        <f>'Notes- SK Template'!F837</f>
        <v>0</v>
      </c>
      <c r="G819" s="2537">
        <f>'Notes- SK Template'!G837</f>
        <v>0</v>
      </c>
      <c r="H819" s="2537">
        <f>'Notes- SK Template'!H837</f>
        <v>0</v>
      </c>
      <c r="I819" s="2537">
        <f>'Notes- SK Template'!I837</f>
        <v>0</v>
      </c>
      <c r="J819" s="2537">
        <f>'Notes- SK Template'!J837</f>
        <v>0</v>
      </c>
      <c r="K819" s="2537">
        <f>'Notes- SK Template'!K837</f>
        <v>0</v>
      </c>
      <c r="L819" s="2537">
        <f>'Notes- SK Template'!L837</f>
        <v>0</v>
      </c>
      <c r="M819" s="2537">
        <v>2</v>
      </c>
      <c r="N819" s="2537">
        <f>'Notes- SK Template'!N834</f>
        <v>0</v>
      </c>
      <c r="O819" s="2537">
        <f>'Notes- SK Template'!O834</f>
        <v>0</v>
      </c>
      <c r="P819" s="2537">
        <f>'Notes- SK Template'!P834</f>
        <v>0</v>
      </c>
      <c r="Q819" s="2537">
        <f>'Notes- SK Template'!Q834</f>
        <v>0</v>
      </c>
      <c r="R819" s="1860">
        <f>'Notes- SK Template'!R833</f>
        <v>1054240</v>
      </c>
      <c r="S819" s="1860">
        <f>'Notes- SK Template'!S834</f>
        <v>0</v>
      </c>
      <c r="T819" s="1860">
        <f>'Notes- SK Template'!T834</f>
        <v>0</v>
      </c>
      <c r="U819" s="1860">
        <f>'Notes- SK Template'!U834</f>
        <v>0</v>
      </c>
      <c r="V819" s="1860">
        <f>'Notes- SK Template'!V834</f>
        <v>0</v>
      </c>
      <c r="W819" s="1860">
        <f>'Notes- SK Template'!W834</f>
        <v>0</v>
      </c>
      <c r="X819" s="1860">
        <f>'Notes- SK Template'!X834</f>
        <v>0</v>
      </c>
      <c r="Y819" s="1860">
        <f>'Notes- SK Template'!Y834</f>
        <v>0</v>
      </c>
      <c r="Z819" s="1860">
        <f>'Notes- SK Template'!Z833</f>
        <v>1440920</v>
      </c>
      <c r="AA819" s="1860">
        <f>'Notes- SK Template'!AA834</f>
        <v>0</v>
      </c>
      <c r="AB819" s="1860">
        <f>'Notes- SK Template'!AB834</f>
        <v>0</v>
      </c>
      <c r="AC819" s="1860">
        <f>'Notes- SK Template'!AC834</f>
        <v>0</v>
      </c>
      <c r="AD819" s="1860">
        <f>'Notes- SK Template'!AD834</f>
        <v>0</v>
      </c>
      <c r="AE819" s="1860">
        <f>'Notes- SK Template'!AE834</f>
        <v>0</v>
      </c>
      <c r="AF819" s="1860">
        <f>'Notes- SK Template'!AF834</f>
        <v>0</v>
      </c>
      <c r="AG819" s="1860">
        <f>'Notes- SK Template'!AG834</f>
        <v>0</v>
      </c>
    </row>
    <row r="820" spans="4:33" ht="18.75" customHeight="1">
      <c r="D820" s="2537" t="str">
        <f>'Notes- SK Template'!D834</f>
        <v xml:space="preserve"> FOSS AS FIBEROPTISK SYSTEMSALG</v>
      </c>
      <c r="E820" s="2537">
        <f>'Notes- SK Template'!E838</f>
        <v>0</v>
      </c>
      <c r="F820" s="2537">
        <f>'Notes- SK Template'!F838</f>
        <v>0</v>
      </c>
      <c r="G820" s="2537">
        <f>'Notes- SK Template'!G838</f>
        <v>0</v>
      </c>
      <c r="H820" s="2537">
        <f>'Notes- SK Template'!H838</f>
        <v>0</v>
      </c>
      <c r="I820" s="2537">
        <f>'Notes- SK Template'!I838</f>
        <v>0</v>
      </c>
      <c r="J820" s="2537">
        <f>'Notes- SK Template'!J838</f>
        <v>0</v>
      </c>
      <c r="K820" s="2537">
        <f>'Notes- SK Template'!K838</f>
        <v>0</v>
      </c>
      <c r="L820" s="2537">
        <f>'Notes- SK Template'!L838</f>
        <v>0</v>
      </c>
      <c r="M820" s="2157" t="s">
        <v>2979</v>
      </c>
      <c r="N820" s="2537"/>
      <c r="O820" s="2537"/>
      <c r="P820" s="2537"/>
      <c r="Q820" s="2537"/>
      <c r="R820" s="1860">
        <f>'Notes- SK Template'!R834</f>
        <v>134342</v>
      </c>
      <c r="S820" s="1860">
        <f>'Notes- SK Template'!S835</f>
        <v>0</v>
      </c>
      <c r="T820" s="1860">
        <f>'Notes- SK Template'!T835</f>
        <v>0</v>
      </c>
      <c r="U820" s="1860">
        <f>'Notes- SK Template'!U835</f>
        <v>0</v>
      </c>
      <c r="V820" s="1860">
        <f>'Notes- SK Template'!V835</f>
        <v>0</v>
      </c>
      <c r="W820" s="1860">
        <f>'Notes- SK Template'!W835</f>
        <v>0</v>
      </c>
      <c r="X820" s="1860">
        <f>'Notes- SK Template'!X835</f>
        <v>0</v>
      </c>
      <c r="Y820" s="1860">
        <f>'Notes- SK Template'!Y835</f>
        <v>0</v>
      </c>
      <c r="Z820" s="1860">
        <f>'Notes- SK Template'!Z834</f>
        <v>83568</v>
      </c>
      <c r="AA820" s="1860">
        <f>'Notes- SK Template'!AA835</f>
        <v>0</v>
      </c>
      <c r="AB820" s="1860">
        <f>'Notes- SK Template'!AB835</f>
        <v>0</v>
      </c>
      <c r="AC820" s="1860">
        <f>'Notes- SK Template'!AC835</f>
        <v>0</v>
      </c>
      <c r="AD820" s="1860">
        <f>'Notes- SK Template'!AD835</f>
        <v>0</v>
      </c>
      <c r="AE820" s="1860">
        <f>'Notes- SK Template'!AE835</f>
        <v>0</v>
      </c>
      <c r="AF820" s="1860">
        <f>'Notes- SK Template'!AF835</f>
        <v>0</v>
      </c>
      <c r="AG820" s="1860">
        <f>'Notes- SK Template'!AG835</f>
        <v>0</v>
      </c>
    </row>
    <row r="821" spans="4:33" ht="18.75" customHeight="1">
      <c r="D821" s="2537" t="str">
        <f>'Notes- SK Template'!D835</f>
        <v xml:space="preserve"> FOSS AS FIBEROPTISK SYSTEMSALG</v>
      </c>
      <c r="E821" s="2537">
        <f>'Notes- SK Template'!E839</f>
        <v>0</v>
      </c>
      <c r="F821" s="2537">
        <f>'Notes- SK Template'!F839</f>
        <v>0</v>
      </c>
      <c r="G821" s="2537">
        <f>'Notes- SK Template'!G839</f>
        <v>0</v>
      </c>
      <c r="H821" s="2537">
        <f>'Notes- SK Template'!H839</f>
        <v>0</v>
      </c>
      <c r="I821" s="2537">
        <f>'Notes- SK Template'!I839</f>
        <v>0</v>
      </c>
      <c r="J821" s="2537">
        <f>'Notes- SK Template'!J839</f>
        <v>0</v>
      </c>
      <c r="K821" s="2537">
        <f>'Notes- SK Template'!K839</f>
        <v>0</v>
      </c>
      <c r="L821" s="2537">
        <f>'Notes- SK Template'!L839</f>
        <v>0</v>
      </c>
      <c r="M821" s="2157" t="s">
        <v>2980</v>
      </c>
      <c r="N821" s="2537"/>
      <c r="O821" s="2537"/>
      <c r="P821" s="2537"/>
      <c r="Q821" s="2537"/>
      <c r="R821" s="1860">
        <f>'Notes- SK Template'!R835</f>
        <v>19992</v>
      </c>
      <c r="S821" s="1860">
        <f>'Notes- SK Template'!S836</f>
        <v>0</v>
      </c>
      <c r="T821" s="1860">
        <f>'Notes- SK Template'!T836</f>
        <v>0</v>
      </c>
      <c r="U821" s="1860">
        <f>'Notes- SK Template'!U836</f>
        <v>0</v>
      </c>
      <c r="V821" s="1860">
        <f>'Notes- SK Template'!V836</f>
        <v>0</v>
      </c>
      <c r="W821" s="1860">
        <f>'Notes- SK Template'!W836</f>
        <v>0</v>
      </c>
      <c r="X821" s="1860">
        <f>'Notes- SK Template'!X836</f>
        <v>0</v>
      </c>
      <c r="Y821" s="1860">
        <f>'Notes- SK Template'!Y836</f>
        <v>0</v>
      </c>
      <c r="Z821" s="1860">
        <f>'Notes- SK Template'!Z835</f>
        <v>4427</v>
      </c>
      <c r="AA821" s="1860">
        <f>'Notes- SK Template'!AA836</f>
        <v>0</v>
      </c>
      <c r="AB821" s="1860">
        <f>'Notes- SK Template'!AB836</f>
        <v>0</v>
      </c>
      <c r="AC821" s="1860">
        <f>'Notes- SK Template'!AC836</f>
        <v>0</v>
      </c>
      <c r="AD821" s="1860">
        <f>'Notes- SK Template'!AD836</f>
        <v>0</v>
      </c>
      <c r="AE821" s="1860">
        <f>'Notes- SK Template'!AE836</f>
        <v>0</v>
      </c>
      <c r="AF821" s="1860">
        <f>'Notes- SK Template'!AF836</f>
        <v>0</v>
      </c>
      <c r="AG821" s="1860">
        <f>'Notes- SK Template'!AG836</f>
        <v>0</v>
      </c>
    </row>
    <row r="822" spans="4:33" ht="18.75" customHeight="1">
      <c r="D822" s="2537"/>
      <c r="E822" s="2537"/>
      <c r="F822" s="2537"/>
      <c r="G822" s="2537"/>
      <c r="H822" s="2537"/>
      <c r="I822" s="2537"/>
      <c r="J822" s="2537"/>
      <c r="K822" s="2537"/>
      <c r="L822" s="2537"/>
      <c r="M822" s="2537"/>
      <c r="N822" s="2537"/>
      <c r="O822" s="2537"/>
      <c r="P822" s="2537"/>
      <c r="Q822" s="2537"/>
      <c r="R822" s="1860"/>
      <c r="S822" s="1860"/>
      <c r="T822" s="1860"/>
      <c r="U822" s="1860"/>
      <c r="V822" s="1860"/>
      <c r="W822" s="1860"/>
      <c r="X822" s="1860"/>
      <c r="Y822" s="1860"/>
      <c r="Z822" s="1860"/>
      <c r="AA822" s="1860"/>
      <c r="AB822" s="1860"/>
      <c r="AC822" s="1860"/>
      <c r="AD822" s="1860"/>
      <c r="AE822" s="1860"/>
      <c r="AF822" s="1860"/>
      <c r="AG822" s="1860"/>
    </row>
    <row r="823" spans="4:33" ht="18.75" customHeight="1">
      <c r="D823" s="2537"/>
      <c r="E823" s="2537"/>
      <c r="F823" s="2537"/>
      <c r="G823" s="2537"/>
      <c r="H823" s="2537"/>
      <c r="I823" s="2537"/>
      <c r="J823" s="2537"/>
      <c r="K823" s="2537"/>
      <c r="L823" s="2537"/>
      <c r="M823" s="2537"/>
      <c r="N823" s="2537"/>
      <c r="O823" s="2537"/>
      <c r="P823" s="2537"/>
      <c r="Q823" s="2537"/>
      <c r="R823" s="1860"/>
      <c r="S823" s="1860"/>
      <c r="T823" s="1860"/>
      <c r="U823" s="1860"/>
      <c r="V823" s="1860"/>
      <c r="W823" s="1860"/>
      <c r="X823" s="1860"/>
      <c r="Y823" s="1860"/>
      <c r="Z823" s="1860"/>
      <c r="AA823" s="1860"/>
      <c r="AB823" s="1860"/>
      <c r="AC823" s="1860"/>
      <c r="AD823" s="1860"/>
      <c r="AE823" s="1860"/>
      <c r="AF823" s="1860"/>
      <c r="AG823" s="1860"/>
    </row>
    <row r="824" spans="4:33" ht="18.75" customHeight="1" thickBot="1">
      <c r="D824" s="2539"/>
      <c r="E824" s="2539"/>
      <c r="F824" s="2539"/>
      <c r="G824" s="2539"/>
      <c r="H824" s="2539"/>
      <c r="I824" s="2539"/>
      <c r="J824" s="2539"/>
      <c r="K824" s="2539"/>
      <c r="L824" s="2539"/>
      <c r="M824" s="2539"/>
      <c r="N824" s="2539"/>
      <c r="O824" s="2539"/>
      <c r="P824" s="2539"/>
      <c r="Q824" s="2539"/>
      <c r="R824" s="2294"/>
      <c r="S824" s="2294"/>
      <c r="T824" s="2294"/>
      <c r="U824" s="2294"/>
      <c r="V824" s="2294"/>
      <c r="W824" s="2294"/>
      <c r="X824" s="2294"/>
      <c r="Y824" s="2294"/>
      <c r="Z824" s="2294"/>
      <c r="AA824" s="2294"/>
      <c r="AB824" s="2294"/>
      <c r="AC824" s="2294"/>
      <c r="AD824" s="2294"/>
      <c r="AE824" s="2294"/>
      <c r="AF824" s="2294"/>
      <c r="AG824" s="2294"/>
    </row>
    <row r="827" spans="4:33" ht="14.25" customHeight="1">
      <c r="D827" s="2538" t="s">
        <v>3069</v>
      </c>
      <c r="E827" s="2538"/>
      <c r="F827" s="2538"/>
      <c r="G827" s="2538"/>
      <c r="H827" s="2538"/>
      <c r="I827" s="2538"/>
      <c r="J827" s="2538"/>
      <c r="K827" s="2538"/>
      <c r="L827" s="2538"/>
      <c r="M827" s="2538"/>
      <c r="N827" s="2538"/>
      <c r="O827" s="2538"/>
      <c r="P827" s="2538"/>
      <c r="Q827" s="2538"/>
      <c r="R827" s="2538"/>
      <c r="S827" s="2538"/>
      <c r="T827" s="2538"/>
      <c r="U827" s="2538"/>
      <c r="V827" s="2538"/>
      <c r="W827" s="2538"/>
      <c r="X827" s="2538"/>
      <c r="Y827" s="2538"/>
      <c r="Z827" s="2538"/>
      <c r="AA827" s="2538"/>
      <c r="AB827" s="2538"/>
      <c r="AC827" s="2538"/>
      <c r="AD827" s="2538"/>
      <c r="AE827" s="2538"/>
      <c r="AF827" s="2538"/>
      <c r="AG827" s="2538"/>
    </row>
    <row r="828" spans="4:33" ht="14.25" customHeight="1" thickBot="1"/>
    <row r="829" spans="4:33" ht="14.25" customHeight="1" thickBot="1">
      <c r="D829" s="1859" t="s">
        <v>2025</v>
      </c>
      <c r="E829" s="1859"/>
      <c r="F829" s="1859"/>
      <c r="G829" s="1859"/>
      <c r="H829" s="1859"/>
      <c r="I829" s="1859"/>
      <c r="J829" s="1859"/>
      <c r="K829" s="1859"/>
      <c r="L829" s="1859"/>
      <c r="M829" s="1859"/>
      <c r="N829" s="1859" t="s">
        <v>1741</v>
      </c>
      <c r="O829" s="1859"/>
      <c r="P829" s="1859"/>
      <c r="Q829" s="1859"/>
      <c r="R829" s="1859"/>
      <c r="S829" s="1859"/>
      <c r="T829" s="1859"/>
      <c r="U829" s="1859"/>
      <c r="V829" s="1859"/>
      <c r="W829" s="1859"/>
      <c r="X829" s="1859"/>
      <c r="Y829" s="1859"/>
      <c r="Z829" s="1859"/>
      <c r="AA829" s="1859"/>
      <c r="AB829" s="1859"/>
      <c r="AC829" s="1859"/>
      <c r="AD829" s="1859"/>
      <c r="AE829" s="1859"/>
      <c r="AF829" s="1859"/>
      <c r="AG829" s="1859"/>
    </row>
    <row r="830" spans="4:33" ht="14.25" customHeight="1" thickBot="1">
      <c r="D830" s="1859"/>
      <c r="E830" s="1859"/>
      <c r="F830" s="1859"/>
      <c r="G830" s="1859"/>
      <c r="H830" s="1859"/>
      <c r="I830" s="1859"/>
      <c r="J830" s="1859"/>
      <c r="K830" s="1859"/>
      <c r="L830" s="1859"/>
      <c r="M830" s="1859"/>
      <c r="N830" s="1838" t="s">
        <v>1794</v>
      </c>
      <c r="O830" s="1838"/>
      <c r="P830" s="1838"/>
      <c r="Q830" s="1838"/>
      <c r="R830" s="1838" t="s">
        <v>1795</v>
      </c>
      <c r="S830" s="1838"/>
      <c r="T830" s="1838"/>
      <c r="U830" s="1838"/>
      <c r="V830" s="1838" t="s">
        <v>1796</v>
      </c>
      <c r="W830" s="1838"/>
      <c r="X830" s="1838"/>
      <c r="Y830" s="1838"/>
      <c r="Z830" s="1838" t="s">
        <v>1797</v>
      </c>
      <c r="AA830" s="1838"/>
      <c r="AB830" s="1838"/>
      <c r="AC830" s="1838"/>
      <c r="AD830" s="1838" t="s">
        <v>1798</v>
      </c>
      <c r="AE830" s="1838"/>
      <c r="AF830" s="1838"/>
      <c r="AG830" s="1838"/>
    </row>
    <row r="831" spans="4:33" ht="14.25" customHeight="1">
      <c r="D831" s="2086" t="s">
        <v>1989</v>
      </c>
      <c r="E831" s="2086"/>
      <c r="F831" s="2086"/>
      <c r="G831" s="2086"/>
      <c r="H831" s="2086"/>
      <c r="I831" s="2086"/>
      <c r="J831" s="2086"/>
      <c r="K831" s="2086"/>
      <c r="L831" s="2086"/>
      <c r="M831" s="2086"/>
      <c r="N831" s="2534">
        <f>'Notes- SK Template'!N849</f>
        <v>2506390</v>
      </c>
      <c r="O831" s="2534" t="e">
        <f>'Notes- SK Template'!#REF!</f>
        <v>#REF!</v>
      </c>
      <c r="P831" s="2534" t="e">
        <f>'Notes- SK Template'!#REF!</f>
        <v>#REF!</v>
      </c>
      <c r="Q831" s="2534" t="e">
        <f>'Notes- SK Template'!#REF!</f>
        <v>#REF!</v>
      </c>
      <c r="R831" s="2022">
        <f>'Notes- SK Template'!R849</f>
        <v>0</v>
      </c>
      <c r="S831" s="2023" t="e">
        <f>'Notes- SK Template'!#REF!</f>
        <v>#REF!</v>
      </c>
      <c r="T831" s="2023" t="e">
        <f>'Notes- SK Template'!#REF!</f>
        <v>#REF!</v>
      </c>
      <c r="U831" s="2023" t="e">
        <f>'Notes- SK Template'!#REF!</f>
        <v>#REF!</v>
      </c>
      <c r="V831" s="2023">
        <f>'Notes- SK Template'!V849</f>
        <v>0</v>
      </c>
      <c r="W831" s="2023" t="e">
        <f>'Notes- SK Template'!#REF!</f>
        <v>#REF!</v>
      </c>
      <c r="X831" s="2023" t="e">
        <f>'Notes- SK Template'!#REF!</f>
        <v>#REF!</v>
      </c>
      <c r="Y831" s="2023" t="e">
        <f>'Notes- SK Template'!#REF!</f>
        <v>#REF!</v>
      </c>
      <c r="Z831" s="2023">
        <f>'Notes- SK Template'!Z849</f>
        <v>0</v>
      </c>
      <c r="AA831" s="2023" t="e">
        <f>'Notes- SK Template'!#REF!</f>
        <v>#REF!</v>
      </c>
      <c r="AB831" s="2023" t="e">
        <f>'Notes- SK Template'!#REF!</f>
        <v>#REF!</v>
      </c>
      <c r="AC831" s="2535" t="e">
        <f>'Notes- SK Template'!#REF!</f>
        <v>#REF!</v>
      </c>
      <c r="AD831" s="2534">
        <f>'Notes- SK Template'!AD849</f>
        <v>2506390</v>
      </c>
      <c r="AE831" s="2534" t="e">
        <f>'Notes- SK Template'!#REF!</f>
        <v>#REF!</v>
      </c>
      <c r="AF831" s="2534" t="e">
        <f>'Notes- SK Template'!#REF!</f>
        <v>#REF!</v>
      </c>
      <c r="AG831" s="2534" t="e">
        <f>'Notes- SK Template'!#REF!</f>
        <v>#REF!</v>
      </c>
    </row>
    <row r="832" spans="4:33" ht="14.25" customHeight="1">
      <c r="D832" s="1787" t="s">
        <v>1990</v>
      </c>
      <c r="E832" s="1787"/>
      <c r="F832" s="1787"/>
      <c r="G832" s="1787"/>
      <c r="H832" s="1787"/>
      <c r="I832" s="1787"/>
      <c r="J832" s="1787"/>
      <c r="K832" s="1787"/>
      <c r="L832" s="1787"/>
      <c r="M832" s="1787"/>
      <c r="N832" s="1860">
        <f>'Notes- SK Template'!N850</f>
        <v>0</v>
      </c>
      <c r="O832" s="1860" t="e">
        <f>'Notes- SK Template'!#REF!</f>
        <v>#REF!</v>
      </c>
      <c r="P832" s="1860" t="e">
        <f>'Notes- SK Template'!#REF!</f>
        <v>#REF!</v>
      </c>
      <c r="Q832" s="1860" t="e">
        <f>'Notes- SK Template'!#REF!</f>
        <v>#REF!</v>
      </c>
      <c r="R832" s="1814">
        <f>'Notes- SK Template'!R850</f>
        <v>0</v>
      </c>
      <c r="S832" s="1778" t="e">
        <f>'Notes- SK Template'!#REF!</f>
        <v>#REF!</v>
      </c>
      <c r="T832" s="1778" t="e">
        <f>'Notes- SK Template'!#REF!</f>
        <v>#REF!</v>
      </c>
      <c r="U832" s="1778" t="e">
        <f>'Notes- SK Template'!#REF!</f>
        <v>#REF!</v>
      </c>
      <c r="V832" s="1778">
        <f>'Notes- SK Template'!V850</f>
        <v>0</v>
      </c>
      <c r="W832" s="1778" t="e">
        <f>'Notes- SK Template'!#REF!</f>
        <v>#REF!</v>
      </c>
      <c r="X832" s="1778" t="e">
        <f>'Notes- SK Template'!#REF!</f>
        <v>#REF!</v>
      </c>
      <c r="Y832" s="1778" t="e">
        <f>'Notes- SK Template'!#REF!</f>
        <v>#REF!</v>
      </c>
      <c r="Z832" s="1778">
        <f>'Notes- SK Template'!Z850</f>
        <v>0</v>
      </c>
      <c r="AA832" s="1778" t="e">
        <f>'Notes- SK Template'!#REF!</f>
        <v>#REF!</v>
      </c>
      <c r="AB832" s="1778" t="e">
        <f>'Notes- SK Template'!#REF!</f>
        <v>#REF!</v>
      </c>
      <c r="AC832" s="1779" t="e">
        <f>'Notes- SK Template'!#REF!</f>
        <v>#REF!</v>
      </c>
      <c r="AD832" s="1825">
        <f>'Notes- SK Template'!AD850</f>
        <v>0</v>
      </c>
      <c r="AE832" s="1825" t="e">
        <f>'Notes- SK Template'!#REF!</f>
        <v>#REF!</v>
      </c>
      <c r="AF832" s="1825" t="e">
        <f>'Notes- SK Template'!#REF!</f>
        <v>#REF!</v>
      </c>
      <c r="AG832" s="1825" t="e">
        <f>'Notes- SK Template'!#REF!</f>
        <v>#REF!</v>
      </c>
    </row>
    <row r="833" spans="4:33" ht="14.25" customHeight="1">
      <c r="D833" s="1787" t="s">
        <v>1991</v>
      </c>
      <c r="E833" s="1787"/>
      <c r="F833" s="1787"/>
      <c r="G833" s="1787"/>
      <c r="H833" s="1787"/>
      <c r="I833" s="1787"/>
      <c r="J833" s="1787"/>
      <c r="K833" s="1787"/>
      <c r="L833" s="1787"/>
      <c r="M833" s="1787"/>
      <c r="N833" s="1860">
        <f>'Notes- SK Template'!N851</f>
        <v>0</v>
      </c>
      <c r="O833" s="1860" t="e">
        <f>'Notes- SK Template'!#REF!</f>
        <v>#REF!</v>
      </c>
      <c r="P833" s="1860" t="e">
        <f>'Notes- SK Template'!#REF!</f>
        <v>#REF!</v>
      </c>
      <c r="Q833" s="1860" t="e">
        <f>'Notes- SK Template'!#REF!</f>
        <v>#REF!</v>
      </c>
      <c r="R833" s="1814">
        <f>'Notes- SK Template'!R851</f>
        <v>0</v>
      </c>
      <c r="S833" s="1778" t="e">
        <f>'Notes- SK Template'!#REF!</f>
        <v>#REF!</v>
      </c>
      <c r="T833" s="1778" t="e">
        <f>'Notes- SK Template'!#REF!</f>
        <v>#REF!</v>
      </c>
      <c r="U833" s="1778" t="e">
        <f>'Notes- SK Template'!#REF!</f>
        <v>#REF!</v>
      </c>
      <c r="V833" s="1778">
        <f>'Notes- SK Template'!V851</f>
        <v>0</v>
      </c>
      <c r="W833" s="1778" t="e">
        <f>'Notes- SK Template'!#REF!</f>
        <v>#REF!</v>
      </c>
      <c r="X833" s="1778" t="e">
        <f>'Notes- SK Template'!#REF!</f>
        <v>#REF!</v>
      </c>
      <c r="Y833" s="1778" t="e">
        <f>'Notes- SK Template'!#REF!</f>
        <v>#REF!</v>
      </c>
      <c r="Z833" s="1778">
        <f>'Notes- SK Template'!Z851</f>
        <v>0</v>
      </c>
      <c r="AA833" s="1778" t="e">
        <f>'Notes- SK Template'!#REF!</f>
        <v>#REF!</v>
      </c>
      <c r="AB833" s="1778" t="e">
        <f>'Notes- SK Template'!#REF!</f>
        <v>#REF!</v>
      </c>
      <c r="AC833" s="1779" t="e">
        <f>'Notes- SK Template'!#REF!</f>
        <v>#REF!</v>
      </c>
      <c r="AD833" s="1825">
        <f>'Notes- SK Template'!AD851</f>
        <v>0</v>
      </c>
      <c r="AE833" s="1825" t="e">
        <f>'Notes- SK Template'!#REF!</f>
        <v>#REF!</v>
      </c>
      <c r="AF833" s="1825" t="e">
        <f>'Notes- SK Template'!#REF!</f>
        <v>#REF!</v>
      </c>
      <c r="AG833" s="1825" t="e">
        <f>'Notes- SK Template'!#REF!</f>
        <v>#REF!</v>
      </c>
    </row>
    <row r="834" spans="4:33" ht="14.25" customHeight="1">
      <c r="D834" s="1787" t="s">
        <v>1992</v>
      </c>
      <c r="E834" s="1787"/>
      <c r="F834" s="1787"/>
      <c r="G834" s="1787"/>
      <c r="H834" s="1787"/>
      <c r="I834" s="1787"/>
      <c r="J834" s="1787"/>
      <c r="K834" s="1787"/>
      <c r="L834" s="1787"/>
      <c r="M834" s="1787"/>
      <c r="N834" s="1860">
        <f>'Notes- SK Template'!N852</f>
        <v>0</v>
      </c>
      <c r="O834" s="1860" t="e">
        <f>'Notes- SK Template'!#REF!</f>
        <v>#REF!</v>
      </c>
      <c r="P834" s="1860" t="e">
        <f>'Notes- SK Template'!#REF!</f>
        <v>#REF!</v>
      </c>
      <c r="Q834" s="1860" t="e">
        <f>'Notes- SK Template'!#REF!</f>
        <v>#REF!</v>
      </c>
      <c r="R834" s="1814">
        <f>'Notes- SK Template'!R852</f>
        <v>0</v>
      </c>
      <c r="S834" s="1778" t="e">
        <f>'Notes- SK Template'!#REF!</f>
        <v>#REF!</v>
      </c>
      <c r="T834" s="1778" t="e">
        <f>'Notes- SK Template'!#REF!</f>
        <v>#REF!</v>
      </c>
      <c r="U834" s="1778" t="e">
        <f>'Notes- SK Template'!#REF!</f>
        <v>#REF!</v>
      </c>
      <c r="V834" s="1778">
        <f>'Notes- SK Template'!V852</f>
        <v>0</v>
      </c>
      <c r="W834" s="1778" t="e">
        <f>'Notes- SK Template'!#REF!</f>
        <v>#REF!</v>
      </c>
      <c r="X834" s="1778" t="e">
        <f>'Notes- SK Template'!#REF!</f>
        <v>#REF!</v>
      </c>
      <c r="Y834" s="1778" t="e">
        <f>'Notes- SK Template'!#REF!</f>
        <v>#REF!</v>
      </c>
      <c r="Z834" s="1778">
        <f>'Notes- SK Template'!Z852</f>
        <v>0</v>
      </c>
      <c r="AA834" s="1778" t="e">
        <f>'Notes- SK Template'!#REF!</f>
        <v>#REF!</v>
      </c>
      <c r="AB834" s="1778" t="e">
        <f>'Notes- SK Template'!#REF!</f>
        <v>#REF!</v>
      </c>
      <c r="AC834" s="1779" t="e">
        <f>'Notes- SK Template'!#REF!</f>
        <v>#REF!</v>
      </c>
      <c r="AD834" s="1825">
        <f>'Notes- SK Template'!AD852</f>
        <v>0</v>
      </c>
      <c r="AE834" s="1825" t="e">
        <f>'Notes- SK Template'!#REF!</f>
        <v>#REF!</v>
      </c>
      <c r="AF834" s="1825" t="e">
        <f>'Notes- SK Template'!#REF!</f>
        <v>#REF!</v>
      </c>
      <c r="AG834" s="1825" t="e">
        <f>'Notes- SK Template'!#REF!</f>
        <v>#REF!</v>
      </c>
    </row>
    <row r="835" spans="4:33" ht="14.25" customHeight="1">
      <c r="D835" s="1787" t="s">
        <v>1993</v>
      </c>
      <c r="E835" s="1787"/>
      <c r="F835" s="1787"/>
      <c r="G835" s="1787"/>
      <c r="H835" s="1787"/>
      <c r="I835" s="1787"/>
      <c r="J835" s="1787"/>
      <c r="K835" s="1787"/>
      <c r="L835" s="1787"/>
      <c r="M835" s="1787"/>
      <c r="N835" s="1860">
        <f>'Notes- SK Template'!N853</f>
        <v>664</v>
      </c>
      <c r="O835" s="1860" t="e">
        <f>'Notes- SK Template'!#REF!</f>
        <v>#REF!</v>
      </c>
      <c r="P835" s="1860" t="e">
        <f>'Notes- SK Template'!#REF!</f>
        <v>#REF!</v>
      </c>
      <c r="Q835" s="1860" t="e">
        <f>'Notes- SK Template'!#REF!</f>
        <v>#REF!</v>
      </c>
      <c r="R835" s="1814">
        <f>'Notes- SK Template'!R853</f>
        <v>0</v>
      </c>
      <c r="S835" s="1778" t="e">
        <f>'Notes- SK Template'!#REF!</f>
        <v>#REF!</v>
      </c>
      <c r="T835" s="1778" t="e">
        <f>'Notes- SK Template'!#REF!</f>
        <v>#REF!</v>
      </c>
      <c r="U835" s="1778" t="e">
        <f>'Notes- SK Template'!#REF!</f>
        <v>#REF!</v>
      </c>
      <c r="V835" s="1778">
        <f>'Notes- SK Template'!V853</f>
        <v>0</v>
      </c>
      <c r="W835" s="1778" t="e">
        <f>'Notes- SK Template'!#REF!</f>
        <v>#REF!</v>
      </c>
      <c r="X835" s="1778" t="e">
        <f>'Notes- SK Template'!#REF!</f>
        <v>#REF!</v>
      </c>
      <c r="Y835" s="1778" t="e">
        <f>'Notes- SK Template'!#REF!</f>
        <v>#REF!</v>
      </c>
      <c r="Z835" s="1778">
        <f>'Notes- SK Template'!Z853</f>
        <v>0</v>
      </c>
      <c r="AA835" s="1778" t="e">
        <f>'Notes- SK Template'!#REF!</f>
        <v>#REF!</v>
      </c>
      <c r="AB835" s="1778" t="e">
        <f>'Notes- SK Template'!#REF!</f>
        <v>#REF!</v>
      </c>
      <c r="AC835" s="1779" t="e">
        <f>'Notes- SK Template'!#REF!</f>
        <v>#REF!</v>
      </c>
      <c r="AD835" s="1825">
        <f>'Notes- SK Template'!AD853</f>
        <v>664</v>
      </c>
      <c r="AE835" s="1825" t="e">
        <f>'Notes- SK Template'!#REF!</f>
        <v>#REF!</v>
      </c>
      <c r="AF835" s="1825" t="e">
        <f>'Notes- SK Template'!#REF!</f>
        <v>#REF!</v>
      </c>
      <c r="AG835" s="1825" t="e">
        <f>'Notes- SK Template'!#REF!</f>
        <v>#REF!</v>
      </c>
    </row>
    <row r="836" spans="4:33" ht="24.75" customHeight="1">
      <c r="D836" s="1787" t="s">
        <v>1994</v>
      </c>
      <c r="E836" s="1787"/>
      <c r="F836" s="1787"/>
      <c r="G836" s="1787"/>
      <c r="H836" s="1787"/>
      <c r="I836" s="1787"/>
      <c r="J836" s="1787"/>
      <c r="K836" s="1787"/>
      <c r="L836" s="1787"/>
      <c r="M836" s="1787"/>
      <c r="N836" s="1860">
        <f>'Notes- SK Template'!N854</f>
        <v>87202</v>
      </c>
      <c r="O836" s="1860" t="e">
        <f>'Notes- SK Template'!#REF!</f>
        <v>#REF!</v>
      </c>
      <c r="P836" s="1860" t="e">
        <f>'Notes- SK Template'!#REF!</f>
        <v>#REF!</v>
      </c>
      <c r="Q836" s="1860" t="e">
        <f>'Notes- SK Template'!#REF!</f>
        <v>#REF!</v>
      </c>
      <c r="R836" s="1814">
        <f>'Notes- SK Template'!R854</f>
        <v>0</v>
      </c>
      <c r="S836" s="1778" t="e">
        <f>'Notes- SK Template'!#REF!</f>
        <v>#REF!</v>
      </c>
      <c r="T836" s="1778" t="e">
        <f>'Notes- SK Template'!#REF!</f>
        <v>#REF!</v>
      </c>
      <c r="U836" s="1778" t="e">
        <f>'Notes- SK Template'!#REF!</f>
        <v>#REF!</v>
      </c>
      <c r="V836" s="1778">
        <f>'Notes- SK Template'!V854</f>
        <v>0</v>
      </c>
      <c r="W836" s="1778" t="e">
        <f>'Notes- SK Template'!#REF!</f>
        <v>#REF!</v>
      </c>
      <c r="X836" s="1778" t="e">
        <f>'Notes- SK Template'!#REF!</f>
        <v>#REF!</v>
      </c>
      <c r="Y836" s="1778" t="e">
        <f>'Notes- SK Template'!#REF!</f>
        <v>#REF!</v>
      </c>
      <c r="Z836" s="1778">
        <f>'Notes- SK Template'!Z854</f>
        <v>19705</v>
      </c>
      <c r="AA836" s="1778" t="e">
        <f>'Notes- SK Template'!#REF!</f>
        <v>#REF!</v>
      </c>
      <c r="AB836" s="1778" t="e">
        <f>'Notes- SK Template'!#REF!</f>
        <v>#REF!</v>
      </c>
      <c r="AC836" s="1779" t="e">
        <f>'Notes- SK Template'!#REF!</f>
        <v>#REF!</v>
      </c>
      <c r="AD836" s="1825">
        <f>'Notes- SK Template'!AD854</f>
        <v>106907</v>
      </c>
      <c r="AE836" s="1825" t="e">
        <f>'Notes- SK Template'!#REF!</f>
        <v>#REF!</v>
      </c>
      <c r="AF836" s="1825" t="e">
        <f>'Notes- SK Template'!#REF!</f>
        <v>#REF!</v>
      </c>
      <c r="AG836" s="1825" t="e">
        <f>'Notes- SK Template'!#REF!</f>
        <v>#REF!</v>
      </c>
    </row>
    <row r="837" spans="4:33" ht="30" customHeight="1">
      <c r="D837" s="1786" t="s">
        <v>3025</v>
      </c>
      <c r="E837" s="1787"/>
      <c r="F837" s="1787"/>
      <c r="G837" s="1787"/>
      <c r="H837" s="1787"/>
      <c r="I837" s="1787"/>
      <c r="J837" s="1787"/>
      <c r="K837" s="1787"/>
      <c r="L837" s="1787"/>
      <c r="M837" s="1787"/>
      <c r="N837" s="1860">
        <f>'Notes- SK Template'!N855</f>
        <v>0</v>
      </c>
      <c r="O837" s="1860" t="e">
        <f>'Notes- SK Template'!#REF!</f>
        <v>#REF!</v>
      </c>
      <c r="P837" s="1860" t="e">
        <f>'Notes- SK Template'!#REF!</f>
        <v>#REF!</v>
      </c>
      <c r="Q837" s="1860" t="e">
        <f>'Notes- SK Template'!#REF!</f>
        <v>#REF!</v>
      </c>
      <c r="R837" s="1814">
        <f>'Notes- SK Template'!R855</f>
        <v>0</v>
      </c>
      <c r="S837" s="1778" t="e">
        <f>'Notes- SK Template'!#REF!</f>
        <v>#REF!</v>
      </c>
      <c r="T837" s="1778" t="e">
        <f>'Notes- SK Template'!#REF!</f>
        <v>#REF!</v>
      </c>
      <c r="U837" s="1778" t="e">
        <f>'Notes- SK Template'!#REF!</f>
        <v>#REF!</v>
      </c>
      <c r="V837" s="1778">
        <f>'Notes- SK Template'!V855</f>
        <v>0</v>
      </c>
      <c r="W837" s="1778" t="e">
        <f>'Notes- SK Template'!#REF!</f>
        <v>#REF!</v>
      </c>
      <c r="X837" s="1778" t="e">
        <f>'Notes- SK Template'!#REF!</f>
        <v>#REF!</v>
      </c>
      <c r="Y837" s="1778" t="e">
        <f>'Notes- SK Template'!#REF!</f>
        <v>#REF!</v>
      </c>
      <c r="Z837" s="1778">
        <f>'Notes- SK Template'!Z855</f>
        <v>0</v>
      </c>
      <c r="AA837" s="1778" t="e">
        <f>'Notes- SK Template'!#REF!</f>
        <v>#REF!</v>
      </c>
      <c r="AB837" s="1778" t="e">
        <f>'Notes- SK Template'!#REF!</f>
        <v>#REF!</v>
      </c>
      <c r="AC837" s="1779" t="e">
        <f>'Notes- SK Template'!#REF!</f>
        <v>#REF!</v>
      </c>
      <c r="AD837" s="1825">
        <f>'Notes- SK Template'!AD855</f>
        <v>0</v>
      </c>
      <c r="AE837" s="1825" t="e">
        <f>'Notes- SK Template'!#REF!</f>
        <v>#REF!</v>
      </c>
      <c r="AF837" s="1825" t="e">
        <f>'Notes- SK Template'!#REF!</f>
        <v>#REF!</v>
      </c>
      <c r="AG837" s="1825" t="e">
        <f>'Notes- SK Template'!#REF!</f>
        <v>#REF!</v>
      </c>
    </row>
    <row r="838" spans="4:33" ht="15.75" customHeight="1">
      <c r="D838" s="1786" t="s">
        <v>3026</v>
      </c>
      <c r="E838" s="1787"/>
      <c r="F838" s="1787"/>
      <c r="G838" s="1787"/>
      <c r="H838" s="1787"/>
      <c r="I838" s="1787"/>
      <c r="J838" s="1787"/>
      <c r="K838" s="1787"/>
      <c r="L838" s="1787"/>
      <c r="M838" s="1787"/>
      <c r="N838" s="1860">
        <f>'Notes- SK Template'!N856</f>
        <v>0</v>
      </c>
      <c r="O838" s="1860" t="e">
        <f>'Notes- SK Template'!#REF!</f>
        <v>#REF!</v>
      </c>
      <c r="P838" s="1860" t="e">
        <f>'Notes- SK Template'!#REF!</f>
        <v>#REF!</v>
      </c>
      <c r="Q838" s="1860" t="e">
        <f>'Notes- SK Template'!#REF!</f>
        <v>#REF!</v>
      </c>
      <c r="R838" s="1814">
        <f>'Notes- SK Template'!R856</f>
        <v>0</v>
      </c>
      <c r="S838" s="1778" t="e">
        <f>'Notes- SK Template'!#REF!</f>
        <v>#REF!</v>
      </c>
      <c r="T838" s="1778" t="e">
        <f>'Notes- SK Template'!#REF!</f>
        <v>#REF!</v>
      </c>
      <c r="U838" s="1778" t="e">
        <f>'Notes- SK Template'!#REF!</f>
        <v>#REF!</v>
      </c>
      <c r="V838" s="1778">
        <f>'Notes- SK Template'!V856</f>
        <v>0</v>
      </c>
      <c r="W838" s="1778" t="e">
        <f>'Notes- SK Template'!#REF!</f>
        <v>#REF!</v>
      </c>
      <c r="X838" s="1778" t="e">
        <f>'Notes- SK Template'!#REF!</f>
        <v>#REF!</v>
      </c>
      <c r="Y838" s="1778" t="e">
        <f>'Notes- SK Template'!#REF!</f>
        <v>#REF!</v>
      </c>
      <c r="Z838" s="1778">
        <f>'Notes- SK Template'!Z856</f>
        <v>0</v>
      </c>
      <c r="AA838" s="1778" t="e">
        <f>'Notes- SK Template'!#REF!</f>
        <v>#REF!</v>
      </c>
      <c r="AB838" s="1778" t="e">
        <f>'Notes- SK Template'!#REF!</f>
        <v>#REF!</v>
      </c>
      <c r="AC838" s="1779" t="e">
        <f>'Notes- SK Template'!#REF!</f>
        <v>#REF!</v>
      </c>
      <c r="AD838" s="1825">
        <f>'Notes- SK Template'!AD856</f>
        <v>0</v>
      </c>
      <c r="AE838" s="1825" t="e">
        <f>'Notes- SK Template'!#REF!</f>
        <v>#REF!</v>
      </c>
      <c r="AF838" s="1825" t="e">
        <f>'Notes- SK Template'!#REF!</f>
        <v>#REF!</v>
      </c>
      <c r="AG838" s="1825" t="e">
        <f>'Notes- SK Template'!#REF!</f>
        <v>#REF!</v>
      </c>
    </row>
    <row r="839" spans="4:33" ht="14.25" customHeight="1">
      <c r="D839" s="1786" t="s">
        <v>3027</v>
      </c>
      <c r="E839" s="1787"/>
      <c r="F839" s="1787"/>
      <c r="G839" s="1787"/>
      <c r="H839" s="1787"/>
      <c r="I839" s="1787"/>
      <c r="J839" s="1787"/>
      <c r="K839" s="1787"/>
      <c r="L839" s="1787"/>
      <c r="M839" s="1787"/>
      <c r="N839" s="1860">
        <f>'Notes- SK Template'!N857</f>
        <v>0</v>
      </c>
      <c r="O839" s="1860" t="e">
        <f>'Notes- SK Template'!#REF!</f>
        <v>#REF!</v>
      </c>
      <c r="P839" s="1860" t="e">
        <f>'Notes- SK Template'!#REF!</f>
        <v>#REF!</v>
      </c>
      <c r="Q839" s="1860" t="e">
        <f>'Notes- SK Template'!#REF!</f>
        <v>#REF!</v>
      </c>
      <c r="R839" s="1814">
        <f>'Notes- SK Template'!R857</f>
        <v>0</v>
      </c>
      <c r="S839" s="1778" t="e">
        <f>'Notes- SK Template'!#REF!</f>
        <v>#REF!</v>
      </c>
      <c r="T839" s="1778" t="e">
        <f>'Notes- SK Template'!#REF!</f>
        <v>#REF!</v>
      </c>
      <c r="U839" s="1778" t="e">
        <f>'Notes- SK Template'!#REF!</f>
        <v>#REF!</v>
      </c>
      <c r="V839" s="1778">
        <f>'Notes- SK Template'!V857</f>
        <v>0</v>
      </c>
      <c r="W839" s="1778" t="e">
        <f>'Notes- SK Template'!#REF!</f>
        <v>#REF!</v>
      </c>
      <c r="X839" s="1778" t="e">
        <f>'Notes- SK Template'!#REF!</f>
        <v>#REF!</v>
      </c>
      <c r="Y839" s="1778" t="e">
        <f>'Notes- SK Template'!#REF!</f>
        <v>#REF!</v>
      </c>
      <c r="Z839" s="1778">
        <f>'Notes- SK Template'!Z857</f>
        <v>0</v>
      </c>
      <c r="AA839" s="1778" t="e">
        <f>'Notes- SK Template'!#REF!</f>
        <v>#REF!</v>
      </c>
      <c r="AB839" s="1778" t="e">
        <f>'Notes- SK Template'!#REF!</f>
        <v>#REF!</v>
      </c>
      <c r="AC839" s="1779" t="e">
        <f>'Notes- SK Template'!#REF!</f>
        <v>#REF!</v>
      </c>
      <c r="AD839" s="1825">
        <f>'Notes- SK Template'!AD857</f>
        <v>0</v>
      </c>
      <c r="AE839" s="1825" t="e">
        <f>'Notes- SK Template'!#REF!</f>
        <v>#REF!</v>
      </c>
      <c r="AF839" s="1825" t="e">
        <f>'Notes- SK Template'!#REF!</f>
        <v>#REF!</v>
      </c>
      <c r="AG839" s="1825" t="e">
        <f>'Notes- SK Template'!#REF!</f>
        <v>#REF!</v>
      </c>
    </row>
    <row r="840" spans="4:33" ht="21.75" customHeight="1">
      <c r="D840" s="1786" t="s">
        <v>3028</v>
      </c>
      <c r="E840" s="1787"/>
      <c r="F840" s="1787"/>
      <c r="G840" s="1787"/>
      <c r="H840" s="1787"/>
      <c r="I840" s="1787"/>
      <c r="J840" s="1787"/>
      <c r="K840" s="1787"/>
      <c r="L840" s="1787"/>
      <c r="M840" s="1787"/>
      <c r="N840" s="1860">
        <f>'Notes- SK Template'!N858</f>
        <v>0</v>
      </c>
      <c r="O840" s="1860" t="e">
        <f>'Notes- SK Template'!#REF!</f>
        <v>#REF!</v>
      </c>
      <c r="P840" s="1860" t="e">
        <f>'Notes- SK Template'!#REF!</f>
        <v>#REF!</v>
      </c>
      <c r="Q840" s="1860" t="e">
        <f>'Notes- SK Template'!#REF!</f>
        <v>#REF!</v>
      </c>
      <c r="R840" s="1814">
        <f>'Notes- SK Template'!R858</f>
        <v>0</v>
      </c>
      <c r="S840" s="1778" t="e">
        <f>'Notes- SK Template'!#REF!</f>
        <v>#REF!</v>
      </c>
      <c r="T840" s="1778" t="e">
        <f>'Notes- SK Template'!#REF!</f>
        <v>#REF!</v>
      </c>
      <c r="U840" s="1778" t="e">
        <f>'Notes- SK Template'!#REF!</f>
        <v>#REF!</v>
      </c>
      <c r="V840" s="1778">
        <f>'Notes- SK Template'!V858</f>
        <v>0</v>
      </c>
      <c r="W840" s="1778" t="e">
        <f>'Notes- SK Template'!#REF!</f>
        <v>#REF!</v>
      </c>
      <c r="X840" s="1778" t="e">
        <f>'Notes- SK Template'!#REF!</f>
        <v>#REF!</v>
      </c>
      <c r="Y840" s="1778" t="e">
        <f>'Notes- SK Template'!#REF!</f>
        <v>#REF!</v>
      </c>
      <c r="Z840" s="1778">
        <f>'Notes- SK Template'!Z858</f>
        <v>0</v>
      </c>
      <c r="AA840" s="1778" t="e">
        <f>'Notes- SK Template'!#REF!</f>
        <v>#REF!</v>
      </c>
      <c r="AB840" s="1778" t="e">
        <f>'Notes- SK Template'!#REF!</f>
        <v>#REF!</v>
      </c>
      <c r="AC840" s="1779" t="e">
        <f>'Notes- SK Template'!#REF!</f>
        <v>#REF!</v>
      </c>
      <c r="AD840" s="1825">
        <f>'Notes- SK Template'!AD858</f>
        <v>0</v>
      </c>
      <c r="AE840" s="1825" t="e">
        <f>'Notes- SK Template'!#REF!</f>
        <v>#REF!</v>
      </c>
      <c r="AF840" s="1825" t="e">
        <f>'Notes- SK Template'!#REF!</f>
        <v>#REF!</v>
      </c>
      <c r="AG840" s="1825" t="e">
        <f>'Notes- SK Template'!#REF!</f>
        <v>#REF!</v>
      </c>
    </row>
    <row r="841" spans="4:33" ht="23.25" customHeight="1">
      <c r="D841" s="1786" t="s">
        <v>3029</v>
      </c>
      <c r="E841" s="1787"/>
      <c r="F841" s="1787"/>
      <c r="G841" s="1787"/>
      <c r="H841" s="1787"/>
      <c r="I841" s="1787"/>
      <c r="J841" s="1787"/>
      <c r="K841" s="1787"/>
      <c r="L841" s="1787"/>
      <c r="M841" s="1787"/>
      <c r="N841" s="1860">
        <f>'Notes- SK Template'!N859</f>
        <v>0</v>
      </c>
      <c r="O841" s="1860" t="e">
        <f>'Notes- SK Template'!#REF!</f>
        <v>#REF!</v>
      </c>
      <c r="P841" s="1860" t="e">
        <f>'Notes- SK Template'!#REF!</f>
        <v>#REF!</v>
      </c>
      <c r="Q841" s="1860" t="e">
        <f>'Notes- SK Template'!#REF!</f>
        <v>#REF!</v>
      </c>
      <c r="R841" s="1814">
        <f>'Notes- SK Template'!R859</f>
        <v>0</v>
      </c>
      <c r="S841" s="1778" t="e">
        <f>'Notes- SK Template'!#REF!</f>
        <v>#REF!</v>
      </c>
      <c r="T841" s="1778" t="e">
        <f>'Notes- SK Template'!#REF!</f>
        <v>#REF!</v>
      </c>
      <c r="U841" s="1778" t="e">
        <f>'Notes- SK Template'!#REF!</f>
        <v>#REF!</v>
      </c>
      <c r="V841" s="1778">
        <f>'Notes- SK Template'!V859</f>
        <v>0</v>
      </c>
      <c r="W841" s="1778" t="e">
        <f>'Notes- SK Template'!#REF!</f>
        <v>#REF!</v>
      </c>
      <c r="X841" s="1778" t="e">
        <f>'Notes- SK Template'!#REF!</f>
        <v>#REF!</v>
      </c>
      <c r="Y841" s="1778" t="e">
        <f>'Notes- SK Template'!#REF!</f>
        <v>#REF!</v>
      </c>
      <c r="Z841" s="1778">
        <f>'Notes- SK Template'!Z859</f>
        <v>0</v>
      </c>
      <c r="AA841" s="1778" t="e">
        <f>'Notes- SK Template'!#REF!</f>
        <v>#REF!</v>
      </c>
      <c r="AB841" s="1778" t="e">
        <f>'Notes- SK Template'!#REF!</f>
        <v>#REF!</v>
      </c>
      <c r="AC841" s="1779" t="e">
        <f>'Notes- SK Template'!#REF!</f>
        <v>#REF!</v>
      </c>
      <c r="AD841" s="1825">
        <f>'Notes- SK Template'!AD859</f>
        <v>0</v>
      </c>
      <c r="AE841" s="1825" t="e">
        <f>'Notes- SK Template'!#REF!</f>
        <v>#REF!</v>
      </c>
      <c r="AF841" s="1825" t="e">
        <f>'Notes- SK Template'!#REF!</f>
        <v>#REF!</v>
      </c>
      <c r="AG841" s="1825" t="e">
        <f>'Notes- SK Template'!#REF!</f>
        <v>#REF!</v>
      </c>
    </row>
    <row r="842" spans="4:33" ht="27.75" customHeight="1">
      <c r="D842" s="1787" t="s">
        <v>1995</v>
      </c>
      <c r="E842" s="1787"/>
      <c r="F842" s="1787"/>
      <c r="G842" s="1787"/>
      <c r="H842" s="1787"/>
      <c r="I842" s="1787"/>
      <c r="J842" s="1787"/>
      <c r="K842" s="1787"/>
      <c r="L842" s="1787"/>
      <c r="M842" s="1787"/>
      <c r="N842" s="1860">
        <f>'Notes- SK Template'!N860</f>
        <v>0</v>
      </c>
      <c r="O842" s="1860" t="e">
        <f>'Notes- SK Template'!#REF!</f>
        <v>#REF!</v>
      </c>
      <c r="P842" s="1860" t="e">
        <f>'Notes- SK Template'!#REF!</f>
        <v>#REF!</v>
      </c>
      <c r="Q842" s="1860" t="e">
        <f>'Notes- SK Template'!#REF!</f>
        <v>#REF!</v>
      </c>
      <c r="R842" s="1814">
        <f>'Notes- SK Template'!R860</f>
        <v>0</v>
      </c>
      <c r="S842" s="1778" t="e">
        <f>'Notes- SK Template'!#REF!</f>
        <v>#REF!</v>
      </c>
      <c r="T842" s="1778" t="e">
        <f>'Notes- SK Template'!#REF!</f>
        <v>#REF!</v>
      </c>
      <c r="U842" s="1778" t="e">
        <f>'Notes- SK Template'!#REF!</f>
        <v>#REF!</v>
      </c>
      <c r="V842" s="1778">
        <f>'Notes- SK Template'!V860</f>
        <v>0</v>
      </c>
      <c r="W842" s="1778" t="e">
        <f>'Notes- SK Template'!#REF!</f>
        <v>#REF!</v>
      </c>
      <c r="X842" s="1778" t="e">
        <f>'Notes- SK Template'!#REF!</f>
        <v>#REF!</v>
      </c>
      <c r="Y842" s="1778" t="e">
        <f>'Notes- SK Template'!#REF!</f>
        <v>#REF!</v>
      </c>
      <c r="Z842" s="1778">
        <f>'Notes- SK Template'!Z860</f>
        <v>0</v>
      </c>
      <c r="AA842" s="1778" t="e">
        <f>'Notes- SK Template'!#REF!</f>
        <v>#REF!</v>
      </c>
      <c r="AB842" s="1778" t="e">
        <f>'Notes- SK Template'!#REF!</f>
        <v>#REF!</v>
      </c>
      <c r="AC842" s="1779" t="e">
        <f>'Notes- SK Template'!#REF!</f>
        <v>#REF!</v>
      </c>
      <c r="AD842" s="1825">
        <f>'Notes- SK Template'!AD860</f>
        <v>0</v>
      </c>
      <c r="AE842" s="1825" t="e">
        <f>'Notes- SK Template'!#REF!</f>
        <v>#REF!</v>
      </c>
      <c r="AF842" s="1825" t="e">
        <f>'Notes- SK Template'!#REF!</f>
        <v>#REF!</v>
      </c>
      <c r="AG842" s="1825" t="e">
        <f>'Notes- SK Template'!#REF!</f>
        <v>#REF!</v>
      </c>
    </row>
    <row r="843" spans="4:33" ht="14.25" customHeight="1">
      <c r="D843" s="1787" t="s">
        <v>1996</v>
      </c>
      <c r="E843" s="1787"/>
      <c r="F843" s="1787"/>
      <c r="G843" s="1787"/>
      <c r="H843" s="1787"/>
      <c r="I843" s="1787"/>
      <c r="J843" s="1787"/>
      <c r="K843" s="1787"/>
      <c r="L843" s="1787"/>
      <c r="M843" s="1787"/>
      <c r="N843" s="1860">
        <f>'Notes- SK Template'!N861</f>
        <v>279707</v>
      </c>
      <c r="O843" s="1860" t="e">
        <f>'Notes- SK Template'!#REF!</f>
        <v>#REF!</v>
      </c>
      <c r="P843" s="1860" t="e">
        <f>'Notes- SK Template'!#REF!</f>
        <v>#REF!</v>
      </c>
      <c r="Q843" s="1860" t="e">
        <f>'Notes- SK Template'!#REF!</f>
        <v>#REF!</v>
      </c>
      <c r="R843" s="1814">
        <f>'Notes- SK Template'!R861</f>
        <v>0</v>
      </c>
      <c r="S843" s="1778" t="e">
        <f>'Notes- SK Template'!#REF!</f>
        <v>#REF!</v>
      </c>
      <c r="T843" s="1778" t="e">
        <f>'Notes- SK Template'!#REF!</f>
        <v>#REF!</v>
      </c>
      <c r="U843" s="1778" t="e">
        <f>'Notes- SK Template'!#REF!</f>
        <v>#REF!</v>
      </c>
      <c r="V843" s="1778">
        <f>'Notes- SK Template'!V861</f>
        <v>-114636</v>
      </c>
      <c r="W843" s="1778" t="e">
        <f>'Notes- SK Template'!#REF!</f>
        <v>#REF!</v>
      </c>
      <c r="X843" s="1778" t="e">
        <f>'Notes- SK Template'!#REF!</f>
        <v>#REF!</v>
      </c>
      <c r="Y843" s="1778" t="e">
        <f>'Notes- SK Template'!#REF!</f>
        <v>#REF!</v>
      </c>
      <c r="Z843" s="1778">
        <f>'Notes- SK Template'!Z861</f>
        <v>253731</v>
      </c>
      <c r="AA843" s="1778" t="e">
        <f>'Notes- SK Template'!#REF!</f>
        <v>#REF!</v>
      </c>
      <c r="AB843" s="1778" t="e">
        <f>'Notes- SK Template'!#REF!</f>
        <v>#REF!</v>
      </c>
      <c r="AC843" s="1779" t="e">
        <f>'Notes- SK Template'!#REF!</f>
        <v>#REF!</v>
      </c>
      <c r="AD843" s="1825">
        <f>'Notes- SK Template'!AD861</f>
        <v>418802</v>
      </c>
      <c r="AE843" s="1825" t="e">
        <f>'Notes- SK Template'!#REF!</f>
        <v>#REF!</v>
      </c>
      <c r="AF843" s="1825" t="e">
        <f>'Notes- SK Template'!#REF!</f>
        <v>#REF!</v>
      </c>
      <c r="AG843" s="1825" t="e">
        <f>'Notes- SK Template'!#REF!</f>
        <v>#REF!</v>
      </c>
    </row>
    <row r="844" spans="4:33" ht="14.25" customHeight="1">
      <c r="D844" s="1787" t="s">
        <v>1997</v>
      </c>
      <c r="E844" s="1787"/>
      <c r="F844" s="1787"/>
      <c r="G844" s="1787"/>
      <c r="H844" s="1787"/>
      <c r="I844" s="1787"/>
      <c r="J844" s="1787"/>
      <c r="K844" s="1787"/>
      <c r="L844" s="1787"/>
      <c r="M844" s="1787"/>
      <c r="N844" s="1860">
        <f>'Notes- SK Template'!N862</f>
        <v>0</v>
      </c>
      <c r="O844" s="1860" t="e">
        <f>'Notes- SK Template'!#REF!</f>
        <v>#REF!</v>
      </c>
      <c r="P844" s="1860" t="e">
        <f>'Notes- SK Template'!#REF!</f>
        <v>#REF!</v>
      </c>
      <c r="Q844" s="1860" t="e">
        <f>'Notes- SK Template'!#REF!</f>
        <v>#REF!</v>
      </c>
      <c r="R844" s="1814">
        <f>'Notes- SK Template'!R862</f>
        <v>0</v>
      </c>
      <c r="S844" s="1778" t="e">
        <f>'Notes- SK Template'!#REF!</f>
        <v>#REF!</v>
      </c>
      <c r="T844" s="1778" t="e">
        <f>'Notes- SK Template'!#REF!</f>
        <v>#REF!</v>
      </c>
      <c r="U844" s="1778" t="e">
        <f>'Notes- SK Template'!#REF!</f>
        <v>#REF!</v>
      </c>
      <c r="V844" s="1778">
        <f>'Notes- SK Template'!V862</f>
        <v>0</v>
      </c>
      <c r="W844" s="1778" t="e">
        <f>'Notes- SK Template'!#REF!</f>
        <v>#REF!</v>
      </c>
      <c r="X844" s="1778" t="e">
        <f>'Notes- SK Template'!#REF!</f>
        <v>#REF!</v>
      </c>
      <c r="Y844" s="1778" t="e">
        <f>'Notes- SK Template'!#REF!</f>
        <v>#REF!</v>
      </c>
      <c r="Z844" s="1778">
        <f>'Notes- SK Template'!Z862</f>
        <v>0</v>
      </c>
      <c r="AA844" s="1778" t="e">
        <f>'Notes- SK Template'!#REF!</f>
        <v>#REF!</v>
      </c>
      <c r="AB844" s="1778" t="e">
        <f>'Notes- SK Template'!#REF!</f>
        <v>#REF!</v>
      </c>
      <c r="AC844" s="1779" t="e">
        <f>'Notes- SK Template'!#REF!</f>
        <v>#REF!</v>
      </c>
      <c r="AD844" s="1825">
        <f>'Notes- SK Template'!AD862</f>
        <v>0</v>
      </c>
      <c r="AE844" s="1825" t="e">
        <f>'Notes- SK Template'!#REF!</f>
        <v>#REF!</v>
      </c>
      <c r="AF844" s="1825" t="e">
        <f>'Notes- SK Template'!#REF!</f>
        <v>#REF!</v>
      </c>
      <c r="AG844" s="1825" t="e">
        <f>'Notes- SK Template'!#REF!</f>
        <v>#REF!</v>
      </c>
    </row>
    <row r="845" spans="4:33" ht="14.25" customHeight="1">
      <c r="D845" s="1787" t="s">
        <v>1998</v>
      </c>
      <c r="E845" s="1787"/>
      <c r="F845" s="1787"/>
      <c r="G845" s="1787"/>
      <c r="H845" s="1787"/>
      <c r="I845" s="1787"/>
      <c r="J845" s="1787"/>
      <c r="K845" s="1787"/>
      <c r="L845" s="1787"/>
      <c r="M845" s="1787"/>
      <c r="N845" s="1860">
        <f>'Notes- SK Template'!N863</f>
        <v>273436</v>
      </c>
      <c r="O845" s="1860" t="e">
        <f>'Notes- SK Template'!#REF!</f>
        <v>#REF!</v>
      </c>
      <c r="P845" s="1860" t="e">
        <f>'Notes- SK Template'!#REF!</f>
        <v>#REF!</v>
      </c>
      <c r="Q845" s="1860" t="e">
        <f>'Notes- SK Template'!#REF!</f>
        <v>#REF!</v>
      </c>
      <c r="R845" s="1814">
        <f>'Notes- SK Template'!R863</f>
        <v>159575</v>
      </c>
      <c r="S845" s="1778" t="e">
        <f>'Notes- SK Template'!#REF!</f>
        <v>#REF!</v>
      </c>
      <c r="T845" s="1778" t="e">
        <f>'Notes- SK Template'!#REF!</f>
        <v>#REF!</v>
      </c>
      <c r="U845" s="1778" t="e">
        <f>'Notes- SK Template'!#REF!</f>
        <v>#REF!</v>
      </c>
      <c r="V845" s="1778">
        <f>'Notes- SK Template'!V863</f>
        <v>0</v>
      </c>
      <c r="W845" s="1778" t="e">
        <f>'Notes- SK Template'!#REF!</f>
        <v>#REF!</v>
      </c>
      <c r="X845" s="1778" t="e">
        <f>'Notes- SK Template'!#REF!</f>
        <v>#REF!</v>
      </c>
      <c r="Y845" s="1778" t="e">
        <f>'Notes- SK Template'!#REF!</f>
        <v>#REF!</v>
      </c>
      <c r="Z845" s="1778">
        <f>'Notes- SK Template'!Z863</f>
        <v>-273436</v>
      </c>
      <c r="AA845" s="1778" t="e">
        <f>'Notes- SK Template'!#REF!</f>
        <v>#REF!</v>
      </c>
      <c r="AB845" s="1778" t="e">
        <f>'Notes- SK Template'!#REF!</f>
        <v>#REF!</v>
      </c>
      <c r="AC845" s="1779" t="e">
        <f>'Notes- SK Template'!#REF!</f>
        <v>#REF!</v>
      </c>
      <c r="AD845" s="1825">
        <f>'Notes- SK Template'!AD863</f>
        <v>159575</v>
      </c>
      <c r="AE845" s="1825" t="e">
        <f>'Notes- SK Template'!#REF!</f>
        <v>#REF!</v>
      </c>
      <c r="AF845" s="1825" t="e">
        <f>'Notes- SK Template'!#REF!</f>
        <v>#REF!</v>
      </c>
      <c r="AG845" s="1825" t="e">
        <f>'Notes- SK Template'!#REF!</f>
        <v>#REF!</v>
      </c>
    </row>
    <row r="846" spans="4:33" ht="25.5" customHeight="1" thickBot="1">
      <c r="D846" s="2528" t="s">
        <v>3030</v>
      </c>
      <c r="E846" s="2528"/>
      <c r="F846" s="2528"/>
      <c r="G846" s="2528"/>
      <c r="H846" s="2528"/>
      <c r="I846" s="2528"/>
      <c r="J846" s="2528"/>
      <c r="K846" s="2528"/>
      <c r="L846" s="2528"/>
      <c r="M846" s="2528"/>
      <c r="N846" s="2529">
        <f>'Notes- SK Template'!N864</f>
        <v>3147399</v>
      </c>
      <c r="O846" s="2529" t="e">
        <f>'Notes- SK Template'!#REF!</f>
        <v>#REF!</v>
      </c>
      <c r="P846" s="2529" t="e">
        <f>'Notes- SK Template'!#REF!</f>
        <v>#REF!</v>
      </c>
      <c r="Q846" s="2529" t="e">
        <f>'Notes- SK Template'!#REF!</f>
        <v>#REF!</v>
      </c>
      <c r="R846" s="2530">
        <f>'Notes- SK Template'!R864</f>
        <v>159575</v>
      </c>
      <c r="S846" s="2531" t="e">
        <f>'Notes- SK Template'!#REF!</f>
        <v>#REF!</v>
      </c>
      <c r="T846" s="2531" t="e">
        <f>'Notes- SK Template'!#REF!</f>
        <v>#REF!</v>
      </c>
      <c r="U846" s="2531" t="e">
        <f>'Notes- SK Template'!#REF!</f>
        <v>#REF!</v>
      </c>
      <c r="V846" s="2531">
        <f>'Notes- SK Template'!V864</f>
        <v>-114636</v>
      </c>
      <c r="W846" s="2531" t="e">
        <f>'Notes- SK Template'!#REF!</f>
        <v>#REF!</v>
      </c>
      <c r="X846" s="2531" t="e">
        <f>'Notes- SK Template'!#REF!</f>
        <v>#REF!</v>
      </c>
      <c r="Y846" s="2531" t="e">
        <f>'Notes- SK Template'!#REF!</f>
        <v>#REF!</v>
      </c>
      <c r="Z846" s="2531">
        <f>'Notes- SK Template'!Z864</f>
        <v>0</v>
      </c>
      <c r="AA846" s="2531" t="e">
        <f>'Notes- SK Template'!#REF!</f>
        <v>#REF!</v>
      </c>
      <c r="AB846" s="2531" t="e">
        <f>'Notes- SK Template'!#REF!</f>
        <v>#REF!</v>
      </c>
      <c r="AC846" s="2532" t="e">
        <f>'Notes- SK Template'!#REF!</f>
        <v>#REF!</v>
      </c>
      <c r="AD846" s="2533">
        <f>'Notes- SK Template'!AD864</f>
        <v>3192338</v>
      </c>
      <c r="AE846" s="2533" t="e">
        <f>'Notes- SK Template'!#REF!</f>
        <v>#REF!</v>
      </c>
      <c r="AF846" s="2533" t="e">
        <f>'Notes- SK Template'!#REF!</f>
        <v>#REF!</v>
      </c>
      <c r="AG846" s="2533" t="e">
        <f>'Notes- SK Template'!#REF!</f>
        <v>#REF!</v>
      </c>
    </row>
    <row r="848" spans="4:33" ht="14.25" customHeight="1" thickBot="1"/>
    <row r="849" spans="4:33" ht="14.25" customHeight="1" thickBot="1">
      <c r="D849" s="1859" t="s">
        <v>2025</v>
      </c>
      <c r="E849" s="1859"/>
      <c r="F849" s="1859"/>
      <c r="G849" s="1859"/>
      <c r="H849" s="1859"/>
      <c r="I849" s="1859"/>
      <c r="J849" s="1859"/>
      <c r="K849" s="1859"/>
      <c r="L849" s="1859"/>
      <c r="M849" s="1859"/>
      <c r="N849" s="1859" t="s">
        <v>1802</v>
      </c>
      <c r="O849" s="1859"/>
      <c r="P849" s="1859"/>
      <c r="Q849" s="1859"/>
      <c r="R849" s="1859"/>
      <c r="S849" s="1859"/>
      <c r="T849" s="1859"/>
      <c r="U849" s="1859"/>
      <c r="V849" s="1859"/>
      <c r="W849" s="1859"/>
      <c r="X849" s="1859"/>
      <c r="Y849" s="1859"/>
      <c r="Z849" s="1859"/>
      <c r="AA849" s="1859"/>
      <c r="AB849" s="1859"/>
      <c r="AC849" s="1859"/>
      <c r="AD849" s="1859"/>
      <c r="AE849" s="1859"/>
      <c r="AF849" s="1859"/>
      <c r="AG849" s="1859"/>
    </row>
    <row r="850" spans="4:33" ht="19.5" customHeight="1" thickBot="1">
      <c r="D850" s="1859"/>
      <c r="E850" s="1859"/>
      <c r="F850" s="1859"/>
      <c r="G850" s="1859"/>
      <c r="H850" s="1859"/>
      <c r="I850" s="1859"/>
      <c r="J850" s="1859"/>
      <c r="K850" s="1859"/>
      <c r="L850" s="1859"/>
      <c r="M850" s="1859"/>
      <c r="N850" s="1838" t="s">
        <v>1794</v>
      </c>
      <c r="O850" s="1838"/>
      <c r="P850" s="1838"/>
      <c r="Q850" s="1838"/>
      <c r="R850" s="1838" t="s">
        <v>1795</v>
      </c>
      <c r="S850" s="1838"/>
      <c r="T850" s="1838"/>
      <c r="U850" s="1838"/>
      <c r="V850" s="1838" t="s">
        <v>1796</v>
      </c>
      <c r="W850" s="1838"/>
      <c r="X850" s="1838"/>
      <c r="Y850" s="1838"/>
      <c r="Z850" s="1838" t="s">
        <v>1797</v>
      </c>
      <c r="AA850" s="1838"/>
      <c r="AB850" s="1838"/>
      <c r="AC850" s="1838"/>
      <c r="AD850" s="1838" t="s">
        <v>1798</v>
      </c>
      <c r="AE850" s="1838"/>
      <c r="AF850" s="1838"/>
      <c r="AG850" s="1838"/>
    </row>
    <row r="851" spans="4:33" ht="14.25" customHeight="1">
      <c r="D851" s="2086" t="s">
        <v>1989</v>
      </c>
      <c r="E851" s="2086"/>
      <c r="F851" s="2086"/>
      <c r="G851" s="2086"/>
      <c r="H851" s="2086"/>
      <c r="I851" s="2086"/>
      <c r="J851" s="2086"/>
      <c r="K851" s="2086"/>
      <c r="L851" s="2086"/>
      <c r="M851" s="2086"/>
      <c r="N851" s="2534">
        <f>'Notes- SK Template'!N869</f>
        <v>2506390</v>
      </c>
      <c r="O851" s="2534">
        <f>'Notes- SK Template'!O870</f>
        <v>0</v>
      </c>
      <c r="P851" s="2534">
        <f>'Notes- SK Template'!P870</f>
        <v>0</v>
      </c>
      <c r="Q851" s="2534">
        <f>'Notes- SK Template'!Q870</f>
        <v>0</v>
      </c>
      <c r="R851" s="2022">
        <f>'Notes- SK Template'!R869</f>
        <v>0</v>
      </c>
      <c r="S851" s="2023">
        <f>'Notes- SK Template'!S870</f>
        <v>0</v>
      </c>
      <c r="T851" s="2023">
        <f>'Notes- SK Template'!T870</f>
        <v>0</v>
      </c>
      <c r="U851" s="2023">
        <f>'Notes- SK Template'!U870</f>
        <v>0</v>
      </c>
      <c r="V851" s="2023">
        <f>'Notes- SK Template'!V869</f>
        <v>0</v>
      </c>
      <c r="W851" s="2023">
        <f>'Notes- SK Template'!W870</f>
        <v>0</v>
      </c>
      <c r="X851" s="2023">
        <f>'Notes- SK Template'!X870</f>
        <v>0</v>
      </c>
      <c r="Y851" s="2023">
        <f>'Notes- SK Template'!Y870</f>
        <v>0</v>
      </c>
      <c r="Z851" s="2023">
        <f>'Notes- SK Template'!Z869</f>
        <v>0</v>
      </c>
      <c r="AA851" s="2023">
        <f>'Notes- SK Template'!AA870</f>
        <v>0</v>
      </c>
      <c r="AB851" s="2023">
        <f>'Notes- SK Template'!AB870</f>
        <v>0</v>
      </c>
      <c r="AC851" s="2535">
        <f>'Notes- SK Template'!AC870</f>
        <v>0</v>
      </c>
      <c r="AD851" s="2534">
        <f>'Notes- SK Template'!AD869</f>
        <v>2506390</v>
      </c>
      <c r="AE851" s="2534">
        <f>'Notes- SK Template'!AE870</f>
        <v>0</v>
      </c>
      <c r="AF851" s="2534">
        <f>'Notes- SK Template'!AF870</f>
        <v>0</v>
      </c>
      <c r="AG851" s="2534">
        <f>'Notes- SK Template'!AG870</f>
        <v>0</v>
      </c>
    </row>
    <row r="852" spans="4:33" ht="14.25" customHeight="1">
      <c r="D852" s="1787" t="s">
        <v>1990</v>
      </c>
      <c r="E852" s="1787"/>
      <c r="F852" s="1787"/>
      <c r="G852" s="1787"/>
      <c r="H852" s="1787"/>
      <c r="I852" s="1787"/>
      <c r="J852" s="1787"/>
      <c r="K852" s="1787"/>
      <c r="L852" s="1787"/>
      <c r="M852" s="1787"/>
      <c r="N852" s="1860">
        <f>'Notes- SK Template'!N870</f>
        <v>0</v>
      </c>
      <c r="O852" s="1860">
        <f>'Notes- SK Template'!O871</f>
        <v>0</v>
      </c>
      <c r="P852" s="1860">
        <f>'Notes- SK Template'!P871</f>
        <v>0</v>
      </c>
      <c r="Q852" s="1860">
        <f>'Notes- SK Template'!Q871</f>
        <v>0</v>
      </c>
      <c r="R852" s="1814">
        <f>'Notes- SK Template'!R870</f>
        <v>0</v>
      </c>
      <c r="S852" s="1778">
        <f>'Notes- SK Template'!S871</f>
        <v>0</v>
      </c>
      <c r="T852" s="1778">
        <f>'Notes- SK Template'!T871</f>
        <v>0</v>
      </c>
      <c r="U852" s="1778">
        <f>'Notes- SK Template'!U871</f>
        <v>0</v>
      </c>
      <c r="V852" s="1778">
        <f>'Notes- SK Template'!V870</f>
        <v>0</v>
      </c>
      <c r="W852" s="1778">
        <f>'Notes- SK Template'!W871</f>
        <v>0</v>
      </c>
      <c r="X852" s="1778">
        <f>'Notes- SK Template'!X871</f>
        <v>0</v>
      </c>
      <c r="Y852" s="1778">
        <f>'Notes- SK Template'!Y871</f>
        <v>0</v>
      </c>
      <c r="Z852" s="1778">
        <f>'Notes- SK Template'!Z870</f>
        <v>0</v>
      </c>
      <c r="AA852" s="1778">
        <f>'Notes- SK Template'!AA871</f>
        <v>0</v>
      </c>
      <c r="AB852" s="1778">
        <f>'Notes- SK Template'!AB871</f>
        <v>0</v>
      </c>
      <c r="AC852" s="1779">
        <f>'Notes- SK Template'!AC871</f>
        <v>0</v>
      </c>
      <c r="AD852" s="1825">
        <f>'Notes- SK Template'!AD870</f>
        <v>0</v>
      </c>
      <c r="AE852" s="1825">
        <f>'Notes- SK Template'!AE871</f>
        <v>0</v>
      </c>
      <c r="AF852" s="1825">
        <f>'Notes- SK Template'!AF871</f>
        <v>0</v>
      </c>
      <c r="AG852" s="1825">
        <f>'Notes- SK Template'!AG871</f>
        <v>0</v>
      </c>
    </row>
    <row r="853" spans="4:33" ht="14.25" customHeight="1">
      <c r="D853" s="1787" t="s">
        <v>1991</v>
      </c>
      <c r="E853" s="1787"/>
      <c r="F853" s="1787"/>
      <c r="G853" s="1787"/>
      <c r="H853" s="1787"/>
      <c r="I853" s="1787"/>
      <c r="J853" s="1787"/>
      <c r="K853" s="1787"/>
      <c r="L853" s="1787"/>
      <c r="M853" s="1787"/>
      <c r="N853" s="1860">
        <f>'Notes- SK Template'!N871</f>
        <v>0</v>
      </c>
      <c r="O853" s="1860">
        <f>'Notes- SK Template'!O872</f>
        <v>0</v>
      </c>
      <c r="P853" s="1860">
        <f>'Notes- SK Template'!P872</f>
        <v>0</v>
      </c>
      <c r="Q853" s="1860">
        <f>'Notes- SK Template'!Q872</f>
        <v>0</v>
      </c>
      <c r="R853" s="1814">
        <f>'Notes- SK Template'!R871</f>
        <v>0</v>
      </c>
      <c r="S853" s="1778">
        <f>'Notes- SK Template'!S872</f>
        <v>0</v>
      </c>
      <c r="T853" s="1778">
        <f>'Notes- SK Template'!T872</f>
        <v>0</v>
      </c>
      <c r="U853" s="1778">
        <f>'Notes- SK Template'!U872</f>
        <v>0</v>
      </c>
      <c r="V853" s="1778">
        <f>'Notes- SK Template'!V871</f>
        <v>0</v>
      </c>
      <c r="W853" s="1778">
        <f>'Notes- SK Template'!W872</f>
        <v>0</v>
      </c>
      <c r="X853" s="1778">
        <f>'Notes- SK Template'!X872</f>
        <v>0</v>
      </c>
      <c r="Y853" s="1778">
        <f>'Notes- SK Template'!Y872</f>
        <v>0</v>
      </c>
      <c r="Z853" s="1778">
        <f>'Notes- SK Template'!Z871</f>
        <v>0</v>
      </c>
      <c r="AA853" s="1778">
        <f>'Notes- SK Template'!AA872</f>
        <v>0</v>
      </c>
      <c r="AB853" s="1778">
        <f>'Notes- SK Template'!AB872</f>
        <v>0</v>
      </c>
      <c r="AC853" s="1779">
        <f>'Notes- SK Template'!AC872</f>
        <v>0</v>
      </c>
      <c r="AD853" s="1825">
        <f>'Notes- SK Template'!AD871</f>
        <v>0</v>
      </c>
      <c r="AE853" s="1825">
        <f>'Notes- SK Template'!AE872</f>
        <v>0</v>
      </c>
      <c r="AF853" s="1825">
        <f>'Notes- SK Template'!AF872</f>
        <v>0</v>
      </c>
      <c r="AG853" s="1825">
        <f>'Notes- SK Template'!AG872</f>
        <v>0</v>
      </c>
    </row>
    <row r="854" spans="4:33" ht="14.25" customHeight="1">
      <c r="D854" s="1787" t="s">
        <v>1992</v>
      </c>
      <c r="E854" s="1787"/>
      <c r="F854" s="1787"/>
      <c r="G854" s="1787"/>
      <c r="H854" s="1787"/>
      <c r="I854" s="1787"/>
      <c r="J854" s="1787"/>
      <c r="K854" s="1787"/>
      <c r="L854" s="1787"/>
      <c r="M854" s="1787"/>
      <c r="N854" s="1860">
        <f>'Notes- SK Template'!N872</f>
        <v>0</v>
      </c>
      <c r="O854" s="1860">
        <f>'Notes- SK Template'!O873</f>
        <v>0</v>
      </c>
      <c r="P854" s="1860">
        <f>'Notes- SK Template'!P873</f>
        <v>0</v>
      </c>
      <c r="Q854" s="1860">
        <f>'Notes- SK Template'!Q873</f>
        <v>0</v>
      </c>
      <c r="R854" s="1814">
        <f>'Notes- SK Template'!R872</f>
        <v>0</v>
      </c>
      <c r="S854" s="1778">
        <f>'Notes- SK Template'!S873</f>
        <v>0</v>
      </c>
      <c r="T854" s="1778">
        <f>'Notes- SK Template'!T873</f>
        <v>0</v>
      </c>
      <c r="U854" s="1778">
        <f>'Notes- SK Template'!U873</f>
        <v>0</v>
      </c>
      <c r="V854" s="1778">
        <f>'Notes- SK Template'!V872</f>
        <v>0</v>
      </c>
      <c r="W854" s="1778">
        <f>'Notes- SK Template'!W873</f>
        <v>0</v>
      </c>
      <c r="X854" s="1778">
        <f>'Notes- SK Template'!X873</f>
        <v>0</v>
      </c>
      <c r="Y854" s="1778">
        <f>'Notes- SK Template'!Y873</f>
        <v>0</v>
      </c>
      <c r="Z854" s="1778">
        <f>'Notes- SK Template'!Z872</f>
        <v>0</v>
      </c>
      <c r="AA854" s="1778">
        <f>'Notes- SK Template'!AA873</f>
        <v>0</v>
      </c>
      <c r="AB854" s="1778">
        <f>'Notes- SK Template'!AB873</f>
        <v>0</v>
      </c>
      <c r="AC854" s="1779">
        <f>'Notes- SK Template'!AC873</f>
        <v>0</v>
      </c>
      <c r="AD854" s="1825">
        <f>'Notes- SK Template'!AD872</f>
        <v>0</v>
      </c>
      <c r="AE854" s="1825">
        <f>'Notes- SK Template'!AE873</f>
        <v>0</v>
      </c>
      <c r="AF854" s="1825">
        <f>'Notes- SK Template'!AF873</f>
        <v>0</v>
      </c>
      <c r="AG854" s="1825">
        <f>'Notes- SK Template'!AG873</f>
        <v>0</v>
      </c>
    </row>
    <row r="855" spans="4:33" ht="14.25" customHeight="1">
      <c r="D855" s="1787" t="s">
        <v>1993</v>
      </c>
      <c r="E855" s="1787"/>
      <c r="F855" s="1787"/>
      <c r="G855" s="1787"/>
      <c r="H855" s="1787"/>
      <c r="I855" s="1787"/>
      <c r="J855" s="1787"/>
      <c r="K855" s="1787"/>
      <c r="L855" s="1787"/>
      <c r="M855" s="1787"/>
      <c r="N855" s="1860">
        <f>'Notes- SK Template'!N873</f>
        <v>664</v>
      </c>
      <c r="O855" s="1860">
        <f>'Notes- SK Template'!O874</f>
        <v>0</v>
      </c>
      <c r="P855" s="1860">
        <f>'Notes- SK Template'!P874</f>
        <v>0</v>
      </c>
      <c r="Q855" s="1860">
        <f>'Notes- SK Template'!Q874</f>
        <v>0</v>
      </c>
      <c r="R855" s="1814">
        <f>'Notes- SK Template'!R873</f>
        <v>0</v>
      </c>
      <c r="S855" s="1778">
        <f>'Notes- SK Template'!S874</f>
        <v>0</v>
      </c>
      <c r="T855" s="1778">
        <f>'Notes- SK Template'!T874</f>
        <v>0</v>
      </c>
      <c r="U855" s="1778">
        <f>'Notes- SK Template'!U874</f>
        <v>0</v>
      </c>
      <c r="V855" s="1778">
        <f>'Notes- SK Template'!V873</f>
        <v>0</v>
      </c>
      <c r="W855" s="1778">
        <f>'Notes- SK Template'!W874</f>
        <v>0</v>
      </c>
      <c r="X855" s="1778">
        <f>'Notes- SK Template'!X874</f>
        <v>0</v>
      </c>
      <c r="Y855" s="1778">
        <f>'Notes- SK Template'!Y874</f>
        <v>0</v>
      </c>
      <c r="Z855" s="1778">
        <f>'Notes- SK Template'!Z873</f>
        <v>0</v>
      </c>
      <c r="AA855" s="1778">
        <f>'Notes- SK Template'!AA874</f>
        <v>0</v>
      </c>
      <c r="AB855" s="1778">
        <f>'Notes- SK Template'!AB874</f>
        <v>0</v>
      </c>
      <c r="AC855" s="1779">
        <f>'Notes- SK Template'!AC874</f>
        <v>0</v>
      </c>
      <c r="AD855" s="1825">
        <f>'Notes- SK Template'!AD873</f>
        <v>664</v>
      </c>
      <c r="AE855" s="1825">
        <f>'Notes- SK Template'!AE874</f>
        <v>0</v>
      </c>
      <c r="AF855" s="1825">
        <f>'Notes- SK Template'!AF874</f>
        <v>0</v>
      </c>
      <c r="AG855" s="1825">
        <f>'Notes- SK Template'!AG874</f>
        <v>0</v>
      </c>
    </row>
    <row r="856" spans="4:33" ht="23.25" customHeight="1">
      <c r="D856" s="1787" t="s">
        <v>1994</v>
      </c>
      <c r="E856" s="1787"/>
      <c r="F856" s="1787"/>
      <c r="G856" s="1787"/>
      <c r="H856" s="1787"/>
      <c r="I856" s="1787"/>
      <c r="J856" s="1787"/>
      <c r="K856" s="1787"/>
      <c r="L856" s="1787"/>
      <c r="M856" s="1787"/>
      <c r="N856" s="1860">
        <f>'Notes- SK Template'!N874</f>
        <v>34063</v>
      </c>
      <c r="O856" s="1860">
        <f>'Notes- SK Template'!O875</f>
        <v>0</v>
      </c>
      <c r="P856" s="1860">
        <f>'Notes- SK Template'!P875</f>
        <v>0</v>
      </c>
      <c r="Q856" s="1860">
        <f>'Notes- SK Template'!Q875</f>
        <v>0</v>
      </c>
      <c r="R856" s="1814">
        <f>'Notes- SK Template'!R874</f>
        <v>0</v>
      </c>
      <c r="S856" s="1778">
        <f>'Notes- SK Template'!S875</f>
        <v>0</v>
      </c>
      <c r="T856" s="1778">
        <f>'Notes- SK Template'!T875</f>
        <v>0</v>
      </c>
      <c r="U856" s="1778">
        <f>'Notes- SK Template'!U875</f>
        <v>0</v>
      </c>
      <c r="V856" s="1778">
        <f>'Notes- SK Template'!V874</f>
        <v>0</v>
      </c>
      <c r="W856" s="1778">
        <f>'Notes- SK Template'!W875</f>
        <v>0</v>
      </c>
      <c r="X856" s="1778">
        <f>'Notes- SK Template'!X875</f>
        <v>0</v>
      </c>
      <c r="Y856" s="1778">
        <f>'Notes- SK Template'!Y875</f>
        <v>0</v>
      </c>
      <c r="Z856" s="1778">
        <f>'Notes- SK Template'!Z874</f>
        <v>53139</v>
      </c>
      <c r="AA856" s="1778">
        <f>'Notes- SK Template'!AA875</f>
        <v>0</v>
      </c>
      <c r="AB856" s="1778">
        <f>'Notes- SK Template'!AB875</f>
        <v>0</v>
      </c>
      <c r="AC856" s="1779">
        <f>'Notes- SK Template'!AC875</f>
        <v>0</v>
      </c>
      <c r="AD856" s="1825">
        <f>'Notes- SK Template'!AD874</f>
        <v>87202</v>
      </c>
      <c r="AE856" s="1825">
        <f>'Notes- SK Template'!AE875</f>
        <v>0</v>
      </c>
      <c r="AF856" s="1825">
        <f>'Notes- SK Template'!AF875</f>
        <v>0</v>
      </c>
      <c r="AG856" s="1825">
        <f>'Notes- SK Template'!AG875</f>
        <v>0</v>
      </c>
    </row>
    <row r="857" spans="4:33" ht="24" customHeight="1">
      <c r="D857" s="1786" t="s">
        <v>3025</v>
      </c>
      <c r="E857" s="1787"/>
      <c r="F857" s="1787"/>
      <c r="G857" s="1787"/>
      <c r="H857" s="1787"/>
      <c r="I857" s="1787"/>
      <c r="J857" s="1787"/>
      <c r="K857" s="1787"/>
      <c r="L857" s="1787"/>
      <c r="M857" s="1787"/>
      <c r="N857" s="1860">
        <f>'Notes- SK Template'!N875</f>
        <v>0</v>
      </c>
      <c r="O857" s="1860">
        <f>'Notes- SK Template'!O876</f>
        <v>0</v>
      </c>
      <c r="P857" s="1860">
        <f>'Notes- SK Template'!P876</f>
        <v>0</v>
      </c>
      <c r="Q857" s="1860">
        <f>'Notes- SK Template'!Q876</f>
        <v>0</v>
      </c>
      <c r="R857" s="1814">
        <f>'Notes- SK Template'!R875</f>
        <v>0</v>
      </c>
      <c r="S857" s="1778">
        <f>'Notes- SK Template'!S876</f>
        <v>0</v>
      </c>
      <c r="T857" s="1778">
        <f>'Notes- SK Template'!T876</f>
        <v>0</v>
      </c>
      <c r="U857" s="1778">
        <f>'Notes- SK Template'!U876</f>
        <v>0</v>
      </c>
      <c r="V857" s="1778">
        <f>'Notes- SK Template'!V875</f>
        <v>0</v>
      </c>
      <c r="W857" s="1778">
        <f>'Notes- SK Template'!W876</f>
        <v>0</v>
      </c>
      <c r="X857" s="1778">
        <f>'Notes- SK Template'!X876</f>
        <v>0</v>
      </c>
      <c r="Y857" s="1778">
        <f>'Notes- SK Template'!Y876</f>
        <v>0</v>
      </c>
      <c r="Z857" s="1778">
        <f>'Notes- SK Template'!Z875</f>
        <v>0</v>
      </c>
      <c r="AA857" s="1778">
        <f>'Notes- SK Template'!AA876</f>
        <v>0</v>
      </c>
      <c r="AB857" s="1778">
        <f>'Notes- SK Template'!AB876</f>
        <v>0</v>
      </c>
      <c r="AC857" s="1779">
        <f>'Notes- SK Template'!AC876</f>
        <v>0</v>
      </c>
      <c r="AD857" s="1825">
        <f>'Notes- SK Template'!AD875</f>
        <v>0</v>
      </c>
      <c r="AE857" s="1825">
        <f>'Notes- SK Template'!AE876</f>
        <v>0</v>
      </c>
      <c r="AF857" s="1825">
        <f>'Notes- SK Template'!AF876</f>
        <v>0</v>
      </c>
      <c r="AG857" s="1825">
        <f>'Notes- SK Template'!AG876</f>
        <v>0</v>
      </c>
    </row>
    <row r="858" spans="4:33" ht="16.5" customHeight="1">
      <c r="D858" s="1786" t="s">
        <v>3026</v>
      </c>
      <c r="E858" s="1787"/>
      <c r="F858" s="1787"/>
      <c r="G858" s="1787"/>
      <c r="H858" s="1787"/>
      <c r="I858" s="1787"/>
      <c r="J858" s="1787"/>
      <c r="K858" s="1787"/>
      <c r="L858" s="1787"/>
      <c r="M858" s="1787"/>
      <c r="N858" s="1860">
        <f>'Notes- SK Template'!N876</f>
        <v>0</v>
      </c>
      <c r="O858" s="1860">
        <f>'Notes- SK Template'!O877</f>
        <v>0</v>
      </c>
      <c r="P858" s="1860">
        <f>'Notes- SK Template'!P877</f>
        <v>0</v>
      </c>
      <c r="Q858" s="1860">
        <f>'Notes- SK Template'!Q877</f>
        <v>0</v>
      </c>
      <c r="R858" s="1814">
        <f>'Notes- SK Template'!R876</f>
        <v>0</v>
      </c>
      <c r="S858" s="1778">
        <f>'Notes- SK Template'!S877</f>
        <v>0</v>
      </c>
      <c r="T858" s="1778">
        <f>'Notes- SK Template'!T877</f>
        <v>0</v>
      </c>
      <c r="U858" s="1778">
        <f>'Notes- SK Template'!U877</f>
        <v>0</v>
      </c>
      <c r="V858" s="1778">
        <f>'Notes- SK Template'!V876</f>
        <v>0</v>
      </c>
      <c r="W858" s="1778">
        <f>'Notes- SK Template'!W877</f>
        <v>0</v>
      </c>
      <c r="X858" s="1778">
        <f>'Notes- SK Template'!X877</f>
        <v>0</v>
      </c>
      <c r="Y858" s="1778">
        <f>'Notes- SK Template'!Y877</f>
        <v>0</v>
      </c>
      <c r="Z858" s="1778">
        <f>'Notes- SK Template'!Z876</f>
        <v>0</v>
      </c>
      <c r="AA858" s="1778">
        <f>'Notes- SK Template'!AA877</f>
        <v>0</v>
      </c>
      <c r="AB858" s="1778">
        <f>'Notes- SK Template'!AB877</f>
        <v>0</v>
      </c>
      <c r="AC858" s="1779">
        <f>'Notes- SK Template'!AC877</f>
        <v>0</v>
      </c>
      <c r="AD858" s="1825">
        <f>'Notes- SK Template'!AD876</f>
        <v>0</v>
      </c>
      <c r="AE858" s="1825">
        <f>'Notes- SK Template'!AE877</f>
        <v>0</v>
      </c>
      <c r="AF858" s="1825">
        <f>'Notes- SK Template'!AF877</f>
        <v>0</v>
      </c>
      <c r="AG858" s="1825">
        <f>'Notes- SK Template'!AG877</f>
        <v>0</v>
      </c>
    </row>
    <row r="859" spans="4:33" ht="14.25" customHeight="1">
      <c r="D859" s="1786" t="s">
        <v>3027</v>
      </c>
      <c r="E859" s="1787"/>
      <c r="F859" s="1787"/>
      <c r="G859" s="1787"/>
      <c r="H859" s="1787"/>
      <c r="I859" s="1787"/>
      <c r="J859" s="1787"/>
      <c r="K859" s="1787"/>
      <c r="L859" s="1787"/>
      <c r="M859" s="1787"/>
      <c r="N859" s="1860">
        <f>'Notes- SK Template'!N877</f>
        <v>0</v>
      </c>
      <c r="O859" s="1860">
        <f>'Notes- SK Template'!O878</f>
        <v>0</v>
      </c>
      <c r="P859" s="1860">
        <f>'Notes- SK Template'!P878</f>
        <v>0</v>
      </c>
      <c r="Q859" s="1860">
        <f>'Notes- SK Template'!Q878</f>
        <v>0</v>
      </c>
      <c r="R859" s="1814">
        <f>'Notes- SK Template'!R877</f>
        <v>0</v>
      </c>
      <c r="S859" s="1778">
        <f>'Notes- SK Template'!S878</f>
        <v>0</v>
      </c>
      <c r="T859" s="1778">
        <f>'Notes- SK Template'!T878</f>
        <v>0</v>
      </c>
      <c r="U859" s="1778">
        <f>'Notes- SK Template'!U878</f>
        <v>0</v>
      </c>
      <c r="V859" s="1778">
        <f>'Notes- SK Template'!V877</f>
        <v>0</v>
      </c>
      <c r="W859" s="1778">
        <f>'Notes- SK Template'!W878</f>
        <v>0</v>
      </c>
      <c r="X859" s="1778">
        <f>'Notes- SK Template'!X878</f>
        <v>0</v>
      </c>
      <c r="Y859" s="1778">
        <f>'Notes- SK Template'!Y878</f>
        <v>0</v>
      </c>
      <c r="Z859" s="1778">
        <f>'Notes- SK Template'!Z877</f>
        <v>0</v>
      </c>
      <c r="AA859" s="1778">
        <f>'Notes- SK Template'!AA878</f>
        <v>0</v>
      </c>
      <c r="AB859" s="1778">
        <f>'Notes- SK Template'!AB878</f>
        <v>0</v>
      </c>
      <c r="AC859" s="1779">
        <f>'Notes- SK Template'!AC878</f>
        <v>0</v>
      </c>
      <c r="AD859" s="1825">
        <f>'Notes- SK Template'!AD877</f>
        <v>0</v>
      </c>
      <c r="AE859" s="1825">
        <f>'Notes- SK Template'!AE878</f>
        <v>0</v>
      </c>
      <c r="AF859" s="1825">
        <f>'Notes- SK Template'!AF878</f>
        <v>0</v>
      </c>
      <c r="AG859" s="1825">
        <f>'Notes- SK Template'!AG878</f>
        <v>0</v>
      </c>
    </row>
    <row r="860" spans="4:33" ht="26.25" customHeight="1">
      <c r="D860" s="1786" t="s">
        <v>3028</v>
      </c>
      <c r="E860" s="1787"/>
      <c r="F860" s="1787"/>
      <c r="G860" s="1787"/>
      <c r="H860" s="1787"/>
      <c r="I860" s="1787"/>
      <c r="J860" s="1787"/>
      <c r="K860" s="1787"/>
      <c r="L860" s="1787"/>
      <c r="M860" s="1787"/>
      <c r="N860" s="1860">
        <f>'Notes- SK Template'!N878</f>
        <v>0</v>
      </c>
      <c r="O860" s="1860">
        <f>'Notes- SK Template'!O879</f>
        <v>0</v>
      </c>
      <c r="P860" s="1860">
        <f>'Notes- SK Template'!P879</f>
        <v>0</v>
      </c>
      <c r="Q860" s="1860">
        <f>'Notes- SK Template'!Q879</f>
        <v>0</v>
      </c>
      <c r="R860" s="1814">
        <f>'Notes- SK Template'!R878</f>
        <v>0</v>
      </c>
      <c r="S860" s="1778">
        <f>'Notes- SK Template'!S879</f>
        <v>0</v>
      </c>
      <c r="T860" s="1778">
        <f>'Notes- SK Template'!T879</f>
        <v>0</v>
      </c>
      <c r="U860" s="1778">
        <f>'Notes- SK Template'!U879</f>
        <v>0</v>
      </c>
      <c r="V860" s="1778">
        <f>'Notes- SK Template'!V878</f>
        <v>0</v>
      </c>
      <c r="W860" s="1778">
        <f>'Notes- SK Template'!W879</f>
        <v>0</v>
      </c>
      <c r="X860" s="1778">
        <f>'Notes- SK Template'!X879</f>
        <v>0</v>
      </c>
      <c r="Y860" s="1778">
        <f>'Notes- SK Template'!Y879</f>
        <v>0</v>
      </c>
      <c r="Z860" s="1778">
        <f>'Notes- SK Template'!Z878</f>
        <v>0</v>
      </c>
      <c r="AA860" s="1778">
        <f>'Notes- SK Template'!AA879</f>
        <v>0</v>
      </c>
      <c r="AB860" s="1778">
        <f>'Notes- SK Template'!AB879</f>
        <v>0</v>
      </c>
      <c r="AC860" s="1779">
        <f>'Notes- SK Template'!AC879</f>
        <v>0</v>
      </c>
      <c r="AD860" s="1825">
        <f>'Notes- SK Template'!AD878</f>
        <v>0</v>
      </c>
      <c r="AE860" s="1825">
        <f>'Notes- SK Template'!AE879</f>
        <v>0</v>
      </c>
      <c r="AF860" s="1825">
        <f>'Notes- SK Template'!AF879</f>
        <v>0</v>
      </c>
      <c r="AG860" s="1825">
        <f>'Notes- SK Template'!AG879</f>
        <v>0</v>
      </c>
    </row>
    <row r="861" spans="4:33" ht="21" customHeight="1">
      <c r="D861" s="1786" t="s">
        <v>3029</v>
      </c>
      <c r="E861" s="1787"/>
      <c r="F861" s="1787"/>
      <c r="G861" s="1787"/>
      <c r="H861" s="1787"/>
      <c r="I861" s="1787"/>
      <c r="J861" s="1787"/>
      <c r="K861" s="1787"/>
      <c r="L861" s="1787"/>
      <c r="M861" s="1787"/>
      <c r="N861" s="1860">
        <f>'Notes- SK Template'!N879</f>
        <v>0</v>
      </c>
      <c r="O861" s="1860">
        <f>'Notes- SK Template'!O880</f>
        <v>0</v>
      </c>
      <c r="P861" s="1860">
        <f>'Notes- SK Template'!P880</f>
        <v>0</v>
      </c>
      <c r="Q861" s="1860">
        <f>'Notes- SK Template'!Q880</f>
        <v>0</v>
      </c>
      <c r="R861" s="1814">
        <f>'Notes- SK Template'!R879</f>
        <v>0</v>
      </c>
      <c r="S861" s="1778">
        <f>'Notes- SK Template'!S880</f>
        <v>0</v>
      </c>
      <c r="T861" s="1778">
        <f>'Notes- SK Template'!T880</f>
        <v>0</v>
      </c>
      <c r="U861" s="1778">
        <f>'Notes- SK Template'!U880</f>
        <v>0</v>
      </c>
      <c r="V861" s="1778">
        <f>'Notes- SK Template'!V879</f>
        <v>0</v>
      </c>
      <c r="W861" s="1778">
        <f>'Notes- SK Template'!W880</f>
        <v>0</v>
      </c>
      <c r="X861" s="1778">
        <f>'Notes- SK Template'!X880</f>
        <v>0</v>
      </c>
      <c r="Y861" s="1778">
        <f>'Notes- SK Template'!Y880</f>
        <v>0</v>
      </c>
      <c r="Z861" s="1778">
        <f>'Notes- SK Template'!Z879</f>
        <v>0</v>
      </c>
      <c r="AA861" s="1778">
        <f>'Notes- SK Template'!AA880</f>
        <v>0</v>
      </c>
      <c r="AB861" s="1778">
        <f>'Notes- SK Template'!AB880</f>
        <v>0</v>
      </c>
      <c r="AC861" s="1779">
        <f>'Notes- SK Template'!AC880</f>
        <v>0</v>
      </c>
      <c r="AD861" s="1825">
        <f>'Notes- SK Template'!AD879</f>
        <v>0</v>
      </c>
      <c r="AE861" s="1825">
        <f>'Notes- SK Template'!AE880</f>
        <v>0</v>
      </c>
      <c r="AF861" s="1825">
        <f>'Notes- SK Template'!AF880</f>
        <v>0</v>
      </c>
      <c r="AG861" s="1825">
        <f>'Notes- SK Template'!AG880</f>
        <v>0</v>
      </c>
    </row>
    <row r="862" spans="4:33" ht="24" customHeight="1">
      <c r="D862" s="1787" t="s">
        <v>1995</v>
      </c>
      <c r="E862" s="1787"/>
      <c r="F862" s="1787"/>
      <c r="G862" s="1787"/>
      <c r="H862" s="1787"/>
      <c r="I862" s="1787"/>
      <c r="J862" s="1787"/>
      <c r="K862" s="1787"/>
      <c r="L862" s="1787"/>
      <c r="M862" s="1787"/>
      <c r="N862" s="1860">
        <f>'Notes- SK Template'!N880</f>
        <v>0</v>
      </c>
      <c r="O862" s="1860">
        <f>'Notes- SK Template'!O881</f>
        <v>0</v>
      </c>
      <c r="P862" s="1860">
        <f>'Notes- SK Template'!P881</f>
        <v>0</v>
      </c>
      <c r="Q862" s="1860">
        <f>'Notes- SK Template'!Q881</f>
        <v>0</v>
      </c>
      <c r="R862" s="1814">
        <f>'Notes- SK Template'!R880</f>
        <v>0</v>
      </c>
      <c r="S862" s="1778">
        <f>'Notes- SK Template'!S881</f>
        <v>0</v>
      </c>
      <c r="T862" s="1778">
        <f>'Notes- SK Template'!T881</f>
        <v>0</v>
      </c>
      <c r="U862" s="1778">
        <f>'Notes- SK Template'!U881</f>
        <v>0</v>
      </c>
      <c r="V862" s="1778">
        <f>'Notes- SK Template'!V880</f>
        <v>0</v>
      </c>
      <c r="W862" s="1778">
        <f>'Notes- SK Template'!W881</f>
        <v>0</v>
      </c>
      <c r="X862" s="1778">
        <f>'Notes- SK Template'!X881</f>
        <v>0</v>
      </c>
      <c r="Y862" s="1778">
        <f>'Notes- SK Template'!Y881</f>
        <v>0</v>
      </c>
      <c r="Z862" s="1778">
        <f>'Notes- SK Template'!Z880</f>
        <v>0</v>
      </c>
      <c r="AA862" s="1778">
        <f>'Notes- SK Template'!AA881</f>
        <v>0</v>
      </c>
      <c r="AB862" s="1778">
        <f>'Notes- SK Template'!AB881</f>
        <v>0</v>
      </c>
      <c r="AC862" s="1779">
        <f>'Notes- SK Template'!AC881</f>
        <v>0</v>
      </c>
      <c r="AD862" s="1825">
        <f>'Notes- SK Template'!AD880</f>
        <v>0</v>
      </c>
      <c r="AE862" s="1825">
        <f>'Notes- SK Template'!AE881</f>
        <v>0</v>
      </c>
      <c r="AF862" s="1825">
        <f>'Notes- SK Template'!AF881</f>
        <v>0</v>
      </c>
      <c r="AG862" s="1825">
        <f>'Notes- SK Template'!AG881</f>
        <v>0</v>
      </c>
    </row>
    <row r="863" spans="4:33" ht="14.25" customHeight="1">
      <c r="D863" s="1787" t="s">
        <v>1996</v>
      </c>
      <c r="E863" s="1787"/>
      <c r="F863" s="1787"/>
      <c r="G863" s="1787"/>
      <c r="H863" s="1787"/>
      <c r="I863" s="1787"/>
      <c r="J863" s="1787"/>
      <c r="K863" s="1787"/>
      <c r="L863" s="1787"/>
      <c r="M863" s="1787"/>
      <c r="N863" s="1860">
        <f>'Notes- SK Template'!N881</f>
        <v>890767</v>
      </c>
      <c r="O863" s="1860">
        <f>'Notes- SK Template'!O882</f>
        <v>0</v>
      </c>
      <c r="P863" s="1860">
        <f>'Notes- SK Template'!P882</f>
        <v>0</v>
      </c>
      <c r="Q863" s="1860">
        <f>'Notes- SK Template'!Q882</f>
        <v>0</v>
      </c>
      <c r="R863" s="1814">
        <f>'Notes- SK Template'!R881</f>
        <v>0</v>
      </c>
      <c r="S863" s="1778">
        <f>'Notes- SK Template'!S882</f>
        <v>0</v>
      </c>
      <c r="T863" s="1778">
        <f>'Notes- SK Template'!T882</f>
        <v>0</v>
      </c>
      <c r="U863" s="1778">
        <f>'Notes- SK Template'!U882</f>
        <v>0</v>
      </c>
      <c r="V863" s="1778">
        <f>'Notes- SK Template'!V881</f>
        <v>-395723</v>
      </c>
      <c r="W863" s="1778">
        <f>'Notes- SK Template'!W882</f>
        <v>0</v>
      </c>
      <c r="X863" s="1778">
        <f>'Notes- SK Template'!X882</f>
        <v>0</v>
      </c>
      <c r="Y863" s="1778">
        <f>'Notes- SK Template'!Y882</f>
        <v>0</v>
      </c>
      <c r="Z863" s="1778">
        <f>'Notes- SK Template'!Z881</f>
        <v>-215336</v>
      </c>
      <c r="AA863" s="1778">
        <f>'Notes- SK Template'!AA882</f>
        <v>0</v>
      </c>
      <c r="AB863" s="1778">
        <f>'Notes- SK Template'!AB882</f>
        <v>0</v>
      </c>
      <c r="AC863" s="1779">
        <f>'Notes- SK Template'!AC882</f>
        <v>0</v>
      </c>
      <c r="AD863" s="1825">
        <f>'Notes- SK Template'!AD881</f>
        <v>279708</v>
      </c>
      <c r="AE863" s="1825">
        <f>'Notes- SK Template'!AE882</f>
        <v>0</v>
      </c>
      <c r="AF863" s="1825">
        <f>'Notes- SK Template'!AF882</f>
        <v>0</v>
      </c>
      <c r="AG863" s="1825">
        <f>'Notes- SK Template'!AG882</f>
        <v>0</v>
      </c>
    </row>
    <row r="864" spans="4:33" ht="14.25" customHeight="1">
      <c r="D864" s="1787" t="s">
        <v>1997</v>
      </c>
      <c r="E864" s="1787"/>
      <c r="F864" s="1787"/>
      <c r="G864" s="1787"/>
      <c r="H864" s="1787"/>
      <c r="I864" s="1787"/>
      <c r="J864" s="1787"/>
      <c r="K864" s="1787"/>
      <c r="L864" s="1787"/>
      <c r="M864" s="1787"/>
      <c r="N864" s="1860">
        <f>'Notes- SK Template'!N882</f>
        <v>-282866</v>
      </c>
      <c r="O864" s="1860">
        <f>'Notes- SK Template'!O883</f>
        <v>0</v>
      </c>
      <c r="P864" s="1860">
        <f>'Notes- SK Template'!P883</f>
        <v>0</v>
      </c>
      <c r="Q864" s="1860">
        <f>'Notes- SK Template'!Q883</f>
        <v>0</v>
      </c>
      <c r="R864" s="1814">
        <f>'Notes- SK Template'!R882</f>
        <v>0</v>
      </c>
      <c r="S864" s="1778">
        <f>'Notes- SK Template'!S883</f>
        <v>0</v>
      </c>
      <c r="T864" s="1778">
        <f>'Notes- SK Template'!T883</f>
        <v>0</v>
      </c>
      <c r="U864" s="1778">
        <f>'Notes- SK Template'!U883</f>
        <v>0</v>
      </c>
      <c r="V864" s="1778">
        <f>'Notes- SK Template'!V882</f>
        <v>0</v>
      </c>
      <c r="W864" s="1778">
        <f>'Notes- SK Template'!W883</f>
        <v>0</v>
      </c>
      <c r="X864" s="1778">
        <f>'Notes- SK Template'!X883</f>
        <v>0</v>
      </c>
      <c r="Y864" s="1778">
        <f>'Notes- SK Template'!Y883</f>
        <v>0</v>
      </c>
      <c r="Z864" s="1778">
        <f>'Notes- SK Template'!Z882</f>
        <v>282866</v>
      </c>
      <c r="AA864" s="1778">
        <f>'Notes- SK Template'!AA883</f>
        <v>0</v>
      </c>
      <c r="AB864" s="1778">
        <f>'Notes- SK Template'!AB883</f>
        <v>0</v>
      </c>
      <c r="AC864" s="1779">
        <f>'Notes- SK Template'!AC883</f>
        <v>0</v>
      </c>
      <c r="AD864" s="1825">
        <f>'Notes- SK Template'!AD882</f>
        <v>0</v>
      </c>
      <c r="AE864" s="1825">
        <f>'Notes- SK Template'!AE883</f>
        <v>0</v>
      </c>
      <c r="AF864" s="1825">
        <f>'Notes- SK Template'!AF883</f>
        <v>0</v>
      </c>
      <c r="AG864" s="1825">
        <f>'Notes- SK Template'!AG883</f>
        <v>0</v>
      </c>
    </row>
    <row r="865" spans="4:33" ht="14.25" customHeight="1">
      <c r="D865" s="1787" t="s">
        <v>1998</v>
      </c>
      <c r="E865" s="1787"/>
      <c r="F865" s="1787"/>
      <c r="G865" s="1787"/>
      <c r="H865" s="1787"/>
      <c r="I865" s="1787"/>
      <c r="J865" s="1787"/>
      <c r="K865" s="1787"/>
      <c r="L865" s="1787"/>
      <c r="M865" s="1787"/>
      <c r="N865" s="1860">
        <f>'Notes- SK Template'!N883</f>
        <v>120669</v>
      </c>
      <c r="O865" s="1860">
        <f>'Notes- SK Template'!O884</f>
        <v>0</v>
      </c>
      <c r="P865" s="1860">
        <f>'Notes- SK Template'!P884</f>
        <v>0</v>
      </c>
      <c r="Q865" s="1860">
        <f>'Notes- SK Template'!Q884</f>
        <v>0</v>
      </c>
      <c r="R865" s="1814">
        <f>'Notes- SK Template'!R883</f>
        <v>273436</v>
      </c>
      <c r="S865" s="1778">
        <f>'Notes- SK Template'!S884</f>
        <v>0</v>
      </c>
      <c r="T865" s="1778">
        <f>'Notes- SK Template'!T884</f>
        <v>0</v>
      </c>
      <c r="U865" s="1778">
        <f>'Notes- SK Template'!U884</f>
        <v>0</v>
      </c>
      <c r="V865" s="1778">
        <f>'Notes- SK Template'!V883</f>
        <v>0</v>
      </c>
      <c r="W865" s="1778">
        <f>'Notes- SK Template'!W884</f>
        <v>0</v>
      </c>
      <c r="X865" s="1778">
        <f>'Notes- SK Template'!X884</f>
        <v>0</v>
      </c>
      <c r="Y865" s="1778">
        <f>'Notes- SK Template'!Y884</f>
        <v>0</v>
      </c>
      <c r="Z865" s="1778">
        <f>'Notes- SK Template'!Z883</f>
        <v>-120669</v>
      </c>
      <c r="AA865" s="1778">
        <f>'Notes- SK Template'!AA884</f>
        <v>0</v>
      </c>
      <c r="AB865" s="1778">
        <f>'Notes- SK Template'!AB884</f>
        <v>0</v>
      </c>
      <c r="AC865" s="1779">
        <f>'Notes- SK Template'!AC884</f>
        <v>0</v>
      </c>
      <c r="AD865" s="1825">
        <f>'Notes- SK Template'!AD883</f>
        <v>273436</v>
      </c>
      <c r="AE865" s="1825">
        <f>'Notes- SK Template'!AE884</f>
        <v>0</v>
      </c>
      <c r="AF865" s="1825">
        <f>'Notes- SK Template'!AF884</f>
        <v>0</v>
      </c>
      <c r="AG865" s="1825">
        <f>'Notes- SK Template'!AG884</f>
        <v>0</v>
      </c>
    </row>
    <row r="866" spans="4:33" ht="14.25" customHeight="1" thickBot="1">
      <c r="D866" s="2528" t="s">
        <v>3030</v>
      </c>
      <c r="E866" s="2528"/>
      <c r="F866" s="2528"/>
      <c r="G866" s="2528"/>
      <c r="H866" s="2528"/>
      <c r="I866" s="2528"/>
      <c r="J866" s="2528"/>
      <c r="K866" s="2528"/>
      <c r="L866" s="2528"/>
      <c r="M866" s="2528"/>
      <c r="N866" s="2529">
        <f>'Notes- SK Template'!N884</f>
        <v>3269687</v>
      </c>
      <c r="O866" s="2529">
        <f>'Notes- SK Template'!O885</f>
        <v>0</v>
      </c>
      <c r="P866" s="2529">
        <f>'Notes- SK Template'!P885</f>
        <v>0</v>
      </c>
      <c r="Q866" s="2529">
        <f>'Notes- SK Template'!Q885</f>
        <v>0</v>
      </c>
      <c r="R866" s="2530">
        <f>'Notes- SK Template'!R884</f>
        <v>273436</v>
      </c>
      <c r="S866" s="2531">
        <f>'Notes- SK Template'!S885</f>
        <v>0</v>
      </c>
      <c r="T866" s="2531">
        <f>'Notes- SK Template'!T885</f>
        <v>0</v>
      </c>
      <c r="U866" s="2531">
        <f>'Notes- SK Template'!U885</f>
        <v>0</v>
      </c>
      <c r="V866" s="2531">
        <f>'Notes- SK Template'!V884</f>
        <v>-395723</v>
      </c>
      <c r="W866" s="2531">
        <f>'Notes- SK Template'!W885</f>
        <v>0</v>
      </c>
      <c r="X866" s="2531">
        <f>'Notes- SK Template'!X885</f>
        <v>0</v>
      </c>
      <c r="Y866" s="2531">
        <f>'Notes- SK Template'!Y885</f>
        <v>0</v>
      </c>
      <c r="Z866" s="2531">
        <f>'Notes- SK Template'!Z884</f>
        <v>0</v>
      </c>
      <c r="AA866" s="2531">
        <f>'Notes- SK Template'!AA885</f>
        <v>0</v>
      </c>
      <c r="AB866" s="2531">
        <f>'Notes- SK Template'!AB885</f>
        <v>0</v>
      </c>
      <c r="AC866" s="2532">
        <f>'Notes- SK Template'!AC885</f>
        <v>0</v>
      </c>
      <c r="AD866" s="2533">
        <f>'Notes- SK Template'!AD884</f>
        <v>3147400</v>
      </c>
      <c r="AE866" s="2533">
        <f>'Notes- SK Template'!AE885</f>
        <v>0</v>
      </c>
      <c r="AF866" s="2533">
        <f>'Notes- SK Template'!AF885</f>
        <v>0</v>
      </c>
      <c r="AG866" s="2533">
        <f>'Notes- SK Template'!AG885</f>
        <v>0</v>
      </c>
    </row>
    <row r="868" spans="4:33" ht="14.25" customHeight="1">
      <c r="D868" s="1521" t="s">
        <v>3052</v>
      </c>
      <c r="E868" s="786"/>
      <c r="F868" s="786"/>
      <c r="G868" s="786"/>
      <c r="H868" s="786"/>
      <c r="I868" s="786"/>
      <c r="J868" s="786"/>
      <c r="K868" s="786"/>
      <c r="L868" s="786"/>
      <c r="M868" s="786"/>
      <c r="N868" s="786"/>
      <c r="O868" s="786"/>
      <c r="P868" s="786"/>
      <c r="Q868" s="786"/>
      <c r="R868" s="786"/>
      <c r="S868" s="786"/>
      <c r="T868" s="786"/>
      <c r="U868" s="786"/>
      <c r="V868" s="786"/>
      <c r="W868" s="786"/>
      <c r="X868" s="786"/>
      <c r="Y868" s="786"/>
      <c r="Z868" s="786"/>
      <c r="AA868" s="786"/>
      <c r="AB868" s="786"/>
      <c r="AC868" s="786"/>
      <c r="AD868" s="786"/>
      <c r="AE868" s="786"/>
      <c r="AF868" s="786"/>
      <c r="AG868" s="786"/>
    </row>
    <row r="869" spans="4:33" ht="14.25" customHeight="1">
      <c r="D869" s="2272" t="s">
        <v>3053</v>
      </c>
      <c r="E869" s="2272"/>
      <c r="F869" s="2272"/>
      <c r="G869" s="2272"/>
      <c r="H869" s="2272"/>
      <c r="I869" s="2272"/>
      <c r="J869" s="2272"/>
      <c r="K869" s="2272"/>
      <c r="L869" s="2272"/>
      <c r="M869" s="2272"/>
      <c r="N869" s="2272"/>
      <c r="O869" s="2272"/>
      <c r="P869" s="2272"/>
      <c r="Q869" s="2272"/>
      <c r="R869" s="2272"/>
      <c r="S869" s="2272"/>
      <c r="T869" s="2272"/>
      <c r="U869" s="2272"/>
      <c r="V869" s="2272"/>
      <c r="W869" s="2272"/>
      <c r="X869" s="2272"/>
      <c r="Y869" s="2272"/>
      <c r="Z869" s="2272"/>
      <c r="AA869" s="2272"/>
      <c r="AB869" s="2272"/>
      <c r="AC869" s="2272"/>
      <c r="AD869" s="2272"/>
      <c r="AE869" s="2272"/>
      <c r="AF869" s="2272"/>
      <c r="AG869" s="2272"/>
    </row>
    <row r="871" spans="4:33" ht="14.25" customHeight="1">
      <c r="D871" s="582" t="s">
        <v>3070</v>
      </c>
    </row>
    <row r="873" spans="4:33" ht="14.25" customHeight="1">
      <c r="D873" s="1809" t="s">
        <v>2865</v>
      </c>
      <c r="E873" s="1810"/>
      <c r="F873" s="1810"/>
      <c r="G873" s="1810"/>
      <c r="H873" s="1810"/>
      <c r="I873" s="1810"/>
      <c r="J873" s="1810"/>
      <c r="K873" s="1810"/>
      <c r="L873" s="1810"/>
      <c r="M873" s="1810"/>
      <c r="N873" s="1810"/>
      <c r="O873" s="1810"/>
      <c r="P873" s="1810"/>
      <c r="Q873" s="1810"/>
      <c r="R873" s="1810"/>
      <c r="S873" s="1810"/>
      <c r="T873" s="1810"/>
      <c r="U873" s="1810"/>
      <c r="V873" s="1810"/>
      <c r="W873" s="1810"/>
      <c r="X873" s="1810"/>
      <c r="Y873" s="1810"/>
      <c r="Z873" s="1810"/>
      <c r="AA873" s="1810"/>
      <c r="AB873" s="1810"/>
      <c r="AC873" s="1810"/>
      <c r="AD873" s="1810"/>
      <c r="AE873" s="1810"/>
      <c r="AF873" s="1810"/>
      <c r="AG873" s="1810"/>
    </row>
    <row r="875" spans="4:33" ht="14.25" customHeight="1">
      <c r="D875" s="582" t="s">
        <v>3071</v>
      </c>
    </row>
    <row r="877" spans="4:33" ht="14.25" customHeight="1">
      <c r="D877" s="2057" t="s">
        <v>2912</v>
      </c>
      <c r="E877" s="2058"/>
      <c r="F877" s="2058"/>
      <c r="G877" s="2058"/>
      <c r="H877" s="2058"/>
      <c r="I877" s="2058"/>
      <c r="J877" s="2058"/>
      <c r="K877" s="2058"/>
      <c r="L877" s="2058"/>
      <c r="M877" s="2058"/>
      <c r="N877" s="2058"/>
      <c r="O877" s="2058"/>
      <c r="P877" s="2058"/>
      <c r="Q877" s="2058"/>
      <c r="R877" s="2058"/>
      <c r="S877" s="2058"/>
      <c r="T877" s="2058"/>
      <c r="U877" s="2058"/>
      <c r="V877" s="2058"/>
      <c r="W877" s="2058"/>
      <c r="X877" s="2058"/>
      <c r="Y877" s="2058"/>
      <c r="Z877" s="2058"/>
      <c r="AA877" s="2058"/>
      <c r="AB877" s="2058"/>
      <c r="AC877" s="2058"/>
      <c r="AD877" s="2058"/>
      <c r="AE877" s="2058"/>
      <c r="AF877" s="2058"/>
      <c r="AG877" s="2058"/>
    </row>
    <row r="878" spans="4:33" ht="14.25" customHeight="1">
      <c r="D878" s="2058"/>
      <c r="E878" s="2058"/>
      <c r="F878" s="2058"/>
      <c r="G878" s="2058"/>
      <c r="H878" s="2058"/>
      <c r="I878" s="2058"/>
      <c r="J878" s="2058"/>
      <c r="K878" s="2058"/>
      <c r="L878" s="2058"/>
      <c r="M878" s="2058"/>
      <c r="N878" s="2058"/>
      <c r="O878" s="2058"/>
      <c r="P878" s="2058"/>
      <c r="Q878" s="2058"/>
      <c r="R878" s="2058"/>
      <c r="S878" s="2058"/>
      <c r="T878" s="2058"/>
      <c r="U878" s="2058"/>
      <c r="V878" s="2058"/>
      <c r="W878" s="2058"/>
      <c r="X878" s="2058"/>
      <c r="Y878" s="2058"/>
      <c r="Z878" s="2058"/>
      <c r="AA878" s="2058"/>
      <c r="AB878" s="2058"/>
      <c r="AC878" s="2058"/>
      <c r="AD878" s="2058"/>
      <c r="AE878" s="2058"/>
      <c r="AF878" s="2058"/>
      <c r="AG878" s="2058"/>
    </row>
  </sheetData>
  <mergeCells count="2217">
    <mergeCell ref="D670:I670"/>
    <mergeCell ref="J670:M670"/>
    <mergeCell ref="N670:Q670"/>
    <mergeCell ref="R670:U670"/>
    <mergeCell ref="V670:Y670"/>
    <mergeCell ref="Z670:AC670"/>
    <mergeCell ref="AD670:AG670"/>
    <mergeCell ref="AD669:AG669"/>
    <mergeCell ref="D837:M837"/>
    <mergeCell ref="N837:Q837"/>
    <mergeCell ref="R837:U837"/>
    <mergeCell ref="V837:Y837"/>
    <mergeCell ref="Z837:AC837"/>
    <mergeCell ref="AD837:AG837"/>
    <mergeCell ref="D840:M840"/>
    <mergeCell ref="N840:Q840"/>
    <mergeCell ref="R840:U840"/>
    <mergeCell ref="V840:Y840"/>
    <mergeCell ref="Z840:AC840"/>
    <mergeCell ref="AD840:AG840"/>
    <mergeCell ref="D669:I669"/>
    <mergeCell ref="J669:M669"/>
    <mergeCell ref="N669:Q669"/>
    <mergeCell ref="R669:U669"/>
    <mergeCell ref="V669:Y669"/>
    <mergeCell ref="Z669:AC669"/>
    <mergeCell ref="D678:M678"/>
    <mergeCell ref="N678:Q678"/>
    <mergeCell ref="R678:U678"/>
    <mergeCell ref="V678:Y678"/>
    <mergeCell ref="Z678:AC678"/>
    <mergeCell ref="AD678:AG678"/>
    <mergeCell ref="D841:M841"/>
    <mergeCell ref="N841:Q841"/>
    <mergeCell ref="R841:U841"/>
    <mergeCell ref="V841:Y841"/>
    <mergeCell ref="Z841:AC841"/>
    <mergeCell ref="AD841:AG841"/>
    <mergeCell ref="D461:L461"/>
    <mergeCell ref="M461:S461"/>
    <mergeCell ref="T461:Z461"/>
    <mergeCell ref="AA461:AG461"/>
    <mergeCell ref="D462:L462"/>
    <mergeCell ref="M462:S462"/>
    <mergeCell ref="T462:Z462"/>
    <mergeCell ref="AA462:AG462"/>
    <mergeCell ref="D463:L463"/>
    <mergeCell ref="M463:S463"/>
    <mergeCell ref="T463:Z463"/>
    <mergeCell ref="AA463:AG463"/>
    <mergeCell ref="S533:W533"/>
    <mergeCell ref="X533:AB533"/>
    <mergeCell ref="AC533:AG533"/>
    <mergeCell ref="I534:M534"/>
    <mergeCell ref="N534:R534"/>
    <mergeCell ref="S534:W534"/>
    <mergeCell ref="X534:AB534"/>
    <mergeCell ref="AC534:AG534"/>
    <mergeCell ref="I538:M538"/>
    <mergeCell ref="N538:R538"/>
    <mergeCell ref="S538:W538"/>
    <mergeCell ref="X538:AB538"/>
    <mergeCell ref="D485:AG485"/>
    <mergeCell ref="D494:O494"/>
    <mergeCell ref="D456:L456"/>
    <mergeCell ref="M456:S456"/>
    <mergeCell ref="T456:Z456"/>
    <mergeCell ref="AA456:AG456"/>
    <mergeCell ref="D457:L457"/>
    <mergeCell ref="M457:S457"/>
    <mergeCell ref="T457:Z457"/>
    <mergeCell ref="AA457:AG457"/>
    <mergeCell ref="D458:L458"/>
    <mergeCell ref="M458:S458"/>
    <mergeCell ref="T458:Z458"/>
    <mergeCell ref="AA458:AG458"/>
    <mergeCell ref="D459:L459"/>
    <mergeCell ref="M459:S459"/>
    <mergeCell ref="T459:Z459"/>
    <mergeCell ref="AA459:AG459"/>
    <mergeCell ref="D460:L460"/>
    <mergeCell ref="M460:S460"/>
    <mergeCell ref="T460:Z460"/>
    <mergeCell ref="AA460:AG460"/>
    <mergeCell ref="D451:L451"/>
    <mergeCell ref="M451:S451"/>
    <mergeCell ref="T451:Z451"/>
    <mergeCell ref="AA451:AG451"/>
    <mergeCell ref="D452:L452"/>
    <mergeCell ref="M452:S452"/>
    <mergeCell ref="T452:Z452"/>
    <mergeCell ref="AA452:AG452"/>
    <mergeCell ref="D453:L453"/>
    <mergeCell ref="M453:S453"/>
    <mergeCell ref="T453:Z453"/>
    <mergeCell ref="AA453:AG453"/>
    <mergeCell ref="D454:L454"/>
    <mergeCell ref="M454:S454"/>
    <mergeCell ref="T454:Z454"/>
    <mergeCell ref="AA454:AG454"/>
    <mergeCell ref="D455:AG455"/>
    <mergeCell ref="D418:H418"/>
    <mergeCell ref="I418:M418"/>
    <mergeCell ref="N418:R418"/>
    <mergeCell ref="S418:W418"/>
    <mergeCell ref="X418:AB418"/>
    <mergeCell ref="AC418:AG418"/>
    <mergeCell ref="D445:AG445"/>
    <mergeCell ref="D447:L447"/>
    <mergeCell ref="M447:S447"/>
    <mergeCell ref="T447:Z447"/>
    <mergeCell ref="AA447:AG447"/>
    <mergeCell ref="D420:AG420"/>
    <mergeCell ref="D422:AG422"/>
    <mergeCell ref="D424:AG424"/>
    <mergeCell ref="D426:L426"/>
    <mergeCell ref="M426:S426"/>
    <mergeCell ref="T426:Z426"/>
    <mergeCell ref="AA426:AG426"/>
    <mergeCell ref="D437:L437"/>
    <mergeCell ref="M437:S437"/>
    <mergeCell ref="T437:Z437"/>
    <mergeCell ref="AA437:AG437"/>
    <mergeCell ref="D438:L438"/>
    <mergeCell ref="M438:S438"/>
    <mergeCell ref="T438:Z438"/>
    <mergeCell ref="AA438:AG438"/>
    <mergeCell ref="D433:L433"/>
    <mergeCell ref="M433:S433"/>
    <mergeCell ref="T433:Z433"/>
    <mergeCell ref="AA433:AG433"/>
    <mergeCell ref="T429:Z429"/>
    <mergeCell ref="AA429:AG429"/>
    <mergeCell ref="I415:M415"/>
    <mergeCell ref="N415:R415"/>
    <mergeCell ref="S415:W415"/>
    <mergeCell ref="X415:AB415"/>
    <mergeCell ref="AC415:AG415"/>
    <mergeCell ref="D416:H416"/>
    <mergeCell ref="I416:M416"/>
    <mergeCell ref="N416:R416"/>
    <mergeCell ref="S416:W416"/>
    <mergeCell ref="X416:AB416"/>
    <mergeCell ref="AC416:AG416"/>
    <mergeCell ref="D417:H417"/>
    <mergeCell ref="I417:M417"/>
    <mergeCell ref="N417:R417"/>
    <mergeCell ref="S417:W417"/>
    <mergeCell ref="X417:AB417"/>
    <mergeCell ref="AC417:AG417"/>
    <mergeCell ref="D415:H415"/>
    <mergeCell ref="D385:H385"/>
    <mergeCell ref="I385:M385"/>
    <mergeCell ref="N385:R385"/>
    <mergeCell ref="S385:W385"/>
    <mergeCell ref="X385:AB385"/>
    <mergeCell ref="AC385:AG385"/>
    <mergeCell ref="T390:Z390"/>
    <mergeCell ref="AA390:AG390"/>
    <mergeCell ref="T391:Z391"/>
    <mergeCell ref="T392:Z392"/>
    <mergeCell ref="AA391:AG391"/>
    <mergeCell ref="AA392:AG392"/>
    <mergeCell ref="D388:AG388"/>
    <mergeCell ref="D390:S390"/>
    <mergeCell ref="D391:S391"/>
    <mergeCell ref="D392:S392"/>
    <mergeCell ref="D414:H414"/>
    <mergeCell ref="I414:M414"/>
    <mergeCell ref="N414:R414"/>
    <mergeCell ref="S414:W414"/>
    <mergeCell ref="X414:AB414"/>
    <mergeCell ref="AC414:AG414"/>
    <mergeCell ref="D407:H407"/>
    <mergeCell ref="I407:M407"/>
    <mergeCell ref="N407:R407"/>
    <mergeCell ref="S407:W407"/>
    <mergeCell ref="X407:AB407"/>
    <mergeCell ref="AC407:AG407"/>
    <mergeCell ref="D406:H406"/>
    <mergeCell ref="I406:M406"/>
    <mergeCell ref="N406:R406"/>
    <mergeCell ref="S406:W406"/>
    <mergeCell ref="D382:H382"/>
    <mergeCell ref="I382:M382"/>
    <mergeCell ref="N382:R382"/>
    <mergeCell ref="S382:W382"/>
    <mergeCell ref="X382:AB382"/>
    <mergeCell ref="AC382:AG382"/>
    <mergeCell ref="D383:H383"/>
    <mergeCell ref="I383:M383"/>
    <mergeCell ref="N383:R383"/>
    <mergeCell ref="S383:W383"/>
    <mergeCell ref="X383:AB383"/>
    <mergeCell ref="AC383:AG383"/>
    <mergeCell ref="D384:H384"/>
    <mergeCell ref="I384:M384"/>
    <mergeCell ref="N384:R384"/>
    <mergeCell ref="S384:W384"/>
    <mergeCell ref="X384:AB384"/>
    <mergeCell ref="AC384:AG384"/>
    <mergeCell ref="D379:H379"/>
    <mergeCell ref="I379:M379"/>
    <mergeCell ref="N379:R379"/>
    <mergeCell ref="S379:W379"/>
    <mergeCell ref="X379:AB379"/>
    <mergeCell ref="AC379:AG379"/>
    <mergeCell ref="D380:H380"/>
    <mergeCell ref="I380:M380"/>
    <mergeCell ref="N380:R380"/>
    <mergeCell ref="S380:W380"/>
    <mergeCell ref="X380:AB380"/>
    <mergeCell ref="AC380:AG380"/>
    <mergeCell ref="D381:H381"/>
    <mergeCell ref="I381:M381"/>
    <mergeCell ref="N381:R381"/>
    <mergeCell ref="S381:W381"/>
    <mergeCell ref="X381:AB381"/>
    <mergeCell ref="AC381:AG381"/>
    <mergeCell ref="B1:AH1"/>
    <mergeCell ref="S34:W34"/>
    <mergeCell ref="D26:O26"/>
    <mergeCell ref="P26:X26"/>
    <mergeCell ref="Y26:AG26"/>
    <mergeCell ref="D27:O27"/>
    <mergeCell ref="P27:X27"/>
    <mergeCell ref="Y27:AG27"/>
    <mergeCell ref="D104:AG105"/>
    <mergeCell ref="D93:AG94"/>
    <mergeCell ref="D98:AG99"/>
    <mergeCell ref="D85:AG86"/>
    <mergeCell ref="D90:AG91"/>
    <mergeCell ref="D59:AG60"/>
    <mergeCell ref="D74:AG75"/>
    <mergeCell ref="D79:AG80"/>
    <mergeCell ref="X378:AB378"/>
    <mergeCell ref="AC378:AG378"/>
    <mergeCell ref="Z623:AC623"/>
    <mergeCell ref="D9:AG12"/>
    <mergeCell ref="D13:AG13"/>
    <mergeCell ref="D25:O25"/>
    <mergeCell ref="P25:X25"/>
    <mergeCell ref="Y25:AG25"/>
    <mergeCell ref="AD621:AG621"/>
    <mergeCell ref="AD623:AG623"/>
    <mergeCell ref="D28:O28"/>
    <mergeCell ref="P28:X28"/>
    <mergeCell ref="Y28:AG28"/>
    <mergeCell ref="D30:AG31"/>
    <mergeCell ref="D33:M34"/>
    <mergeCell ref="N33:W33"/>
    <mergeCell ref="X33:AB34"/>
    <mergeCell ref="AC33:AG34"/>
    <mergeCell ref="N549:R549"/>
    <mergeCell ref="S549:W549"/>
    <mergeCell ref="X549:AB549"/>
    <mergeCell ref="AC549:AG549"/>
    <mergeCell ref="N34:R34"/>
    <mergeCell ref="Y495:AG495"/>
    <mergeCell ref="D492:O492"/>
    <mergeCell ref="P492:X492"/>
    <mergeCell ref="Y492:AG492"/>
    <mergeCell ref="D500:O500"/>
    <mergeCell ref="P500:X500"/>
    <mergeCell ref="Y500:AG500"/>
    <mergeCell ref="P494:X494"/>
    <mergeCell ref="Y494:AG494"/>
    <mergeCell ref="D495:O495"/>
    <mergeCell ref="P495:X495"/>
    <mergeCell ref="D40:AG43"/>
    <mergeCell ref="D44:AG47"/>
    <mergeCell ref="D48:AG49"/>
    <mergeCell ref="D52:O52"/>
    <mergeCell ref="D55:AG56"/>
    <mergeCell ref="D35:M35"/>
    <mergeCell ref="N35:R35"/>
    <mergeCell ref="S35:W35"/>
    <mergeCell ref="X35:AB35"/>
    <mergeCell ref="AC35:AG35"/>
    <mergeCell ref="D36:M36"/>
    <mergeCell ref="N36:R36"/>
    <mergeCell ref="S36:W36"/>
    <mergeCell ref="X36:AB36"/>
    <mergeCell ref="AC36:AG36"/>
    <mergeCell ref="D37:M37"/>
    <mergeCell ref="N37:R37"/>
    <mergeCell ref="S37:W37"/>
    <mergeCell ref="X37:AB37"/>
    <mergeCell ref="AC37:AG37"/>
    <mergeCell ref="D82:AG83"/>
    <mergeCell ref="D68:AG69"/>
    <mergeCell ref="D64:AG64"/>
    <mergeCell ref="D120:AG121"/>
    <mergeCell ref="D126:AG127"/>
    <mergeCell ref="D117:N117"/>
    <mergeCell ref="O117:S117"/>
    <mergeCell ref="T117:X117"/>
    <mergeCell ref="Y117:AC117"/>
    <mergeCell ref="D118:N118"/>
    <mergeCell ref="O118:S118"/>
    <mergeCell ref="T118:X118"/>
    <mergeCell ref="Y118:AC118"/>
    <mergeCell ref="D115:N115"/>
    <mergeCell ref="O115:S115"/>
    <mergeCell ref="T115:X115"/>
    <mergeCell ref="Y115:AC115"/>
    <mergeCell ref="D116:N116"/>
    <mergeCell ref="O116:S116"/>
    <mergeCell ref="T116:X116"/>
    <mergeCell ref="Y116:AC116"/>
    <mergeCell ref="D109:AG111"/>
    <mergeCell ref="O113:S113"/>
    <mergeCell ref="T113:X113"/>
    <mergeCell ref="Y113:AC113"/>
    <mergeCell ref="D114:N114"/>
    <mergeCell ref="O114:S114"/>
    <mergeCell ref="T114:X114"/>
    <mergeCell ref="Y114:AC114"/>
    <mergeCell ref="D101:AG102"/>
    <mergeCell ref="D173:AG176"/>
    <mergeCell ref="D177:AG177"/>
    <mergeCell ref="D181:AG182"/>
    <mergeCell ref="D184:AG185"/>
    <mergeCell ref="D187:AG187"/>
    <mergeCell ref="D191:AG192"/>
    <mergeCell ref="D153:AG154"/>
    <mergeCell ref="D156:AG157"/>
    <mergeCell ref="D161:AG162"/>
    <mergeCell ref="D166:AG167"/>
    <mergeCell ref="D170:AG171"/>
    <mergeCell ref="D142:AG144"/>
    <mergeCell ref="D149:AG150"/>
    <mergeCell ref="D138:AG138"/>
    <mergeCell ref="D131:AG134"/>
    <mergeCell ref="D135:AG136"/>
    <mergeCell ref="S219:U219"/>
    <mergeCell ref="V219:X219"/>
    <mergeCell ref="Y219:AA219"/>
    <mergeCell ref="AB219:AD219"/>
    <mergeCell ref="AE219:AG219"/>
    <mergeCell ref="D220:AG220"/>
    <mergeCell ref="D206:AG206"/>
    <mergeCell ref="D218:I219"/>
    <mergeCell ref="J218:AG218"/>
    <mergeCell ref="J219:L219"/>
    <mergeCell ref="M219:O219"/>
    <mergeCell ref="P219:R219"/>
    <mergeCell ref="D196:AG197"/>
    <mergeCell ref="E199:AG200"/>
    <mergeCell ref="E202:AG203"/>
    <mergeCell ref="E204:AG204"/>
    <mergeCell ref="D208:AG209"/>
    <mergeCell ref="D210:AG210"/>
    <mergeCell ref="AB222:AD222"/>
    <mergeCell ref="AE222:AG222"/>
    <mergeCell ref="D223:I223"/>
    <mergeCell ref="J223:L223"/>
    <mergeCell ref="M223:O223"/>
    <mergeCell ref="P223:R223"/>
    <mergeCell ref="S223:U223"/>
    <mergeCell ref="V223:X223"/>
    <mergeCell ref="Y223:AA223"/>
    <mergeCell ref="AB223:AD223"/>
    <mergeCell ref="Y221:AA221"/>
    <mergeCell ref="AB221:AD221"/>
    <mergeCell ref="AE221:AG221"/>
    <mergeCell ref="D222:I222"/>
    <mergeCell ref="J222:L222"/>
    <mergeCell ref="M222:O222"/>
    <mergeCell ref="P222:R222"/>
    <mergeCell ref="S222:U222"/>
    <mergeCell ref="V222:X222"/>
    <mergeCell ref="Y222:AA222"/>
    <mergeCell ref="D221:I221"/>
    <mergeCell ref="J221:L221"/>
    <mergeCell ref="M221:O221"/>
    <mergeCell ref="P221:R221"/>
    <mergeCell ref="S221:U221"/>
    <mergeCell ref="V221:X221"/>
    <mergeCell ref="Y225:AA225"/>
    <mergeCell ref="AB225:AD225"/>
    <mergeCell ref="AE225:AG225"/>
    <mergeCell ref="D226:AG226"/>
    <mergeCell ref="D227:I227"/>
    <mergeCell ref="J227:L227"/>
    <mergeCell ref="M227:O227"/>
    <mergeCell ref="P227:R227"/>
    <mergeCell ref="S227:U227"/>
    <mergeCell ref="V227:X227"/>
    <mergeCell ref="D225:I225"/>
    <mergeCell ref="J225:L225"/>
    <mergeCell ref="M225:O225"/>
    <mergeCell ref="P225:R225"/>
    <mergeCell ref="S225:U225"/>
    <mergeCell ref="V225:X225"/>
    <mergeCell ref="AE223:AG223"/>
    <mergeCell ref="D224:I224"/>
    <mergeCell ref="J224:L224"/>
    <mergeCell ref="M224:O224"/>
    <mergeCell ref="P224:R224"/>
    <mergeCell ref="S224:U224"/>
    <mergeCell ref="V224:X224"/>
    <mergeCell ref="Y224:AA224"/>
    <mergeCell ref="AB224:AD224"/>
    <mergeCell ref="AE224:AG224"/>
    <mergeCell ref="AB228:AD228"/>
    <mergeCell ref="AE228:AG228"/>
    <mergeCell ref="D229:I229"/>
    <mergeCell ref="J229:L229"/>
    <mergeCell ref="M229:O229"/>
    <mergeCell ref="P229:R229"/>
    <mergeCell ref="S229:U229"/>
    <mergeCell ref="V229:X229"/>
    <mergeCell ref="Y229:AA229"/>
    <mergeCell ref="AB229:AD229"/>
    <mergeCell ref="Y227:AA227"/>
    <mergeCell ref="AB227:AD227"/>
    <mergeCell ref="AE227:AG227"/>
    <mergeCell ref="D228:I228"/>
    <mergeCell ref="J228:L228"/>
    <mergeCell ref="M228:O228"/>
    <mergeCell ref="P228:R228"/>
    <mergeCell ref="S228:U228"/>
    <mergeCell ref="V228:X228"/>
    <mergeCell ref="Y228:AA228"/>
    <mergeCell ref="D232:AG232"/>
    <mergeCell ref="D233:I233"/>
    <mergeCell ref="J233:L233"/>
    <mergeCell ref="M233:O233"/>
    <mergeCell ref="P233:R233"/>
    <mergeCell ref="S233:U233"/>
    <mergeCell ref="V233:X233"/>
    <mergeCell ref="Y233:AA233"/>
    <mergeCell ref="AB233:AD233"/>
    <mergeCell ref="AE233:AG233"/>
    <mergeCell ref="AE229:AG229"/>
    <mergeCell ref="D231:I231"/>
    <mergeCell ref="J231:L231"/>
    <mergeCell ref="M231:O231"/>
    <mergeCell ref="P231:R231"/>
    <mergeCell ref="S231:U231"/>
    <mergeCell ref="V231:X231"/>
    <mergeCell ref="Y231:AA231"/>
    <mergeCell ref="AB231:AD231"/>
    <mergeCell ref="AE231:AG231"/>
    <mergeCell ref="D230:I230"/>
    <mergeCell ref="J230:L230"/>
    <mergeCell ref="M230:O230"/>
    <mergeCell ref="P230:R230"/>
    <mergeCell ref="S230:U230"/>
    <mergeCell ref="V230:X230"/>
    <mergeCell ref="Y230:AA230"/>
    <mergeCell ref="AB230:AD230"/>
    <mergeCell ref="AE230:AG230"/>
    <mergeCell ref="Y234:AA234"/>
    <mergeCell ref="AB234:AD234"/>
    <mergeCell ref="AE234:AG234"/>
    <mergeCell ref="D235:I235"/>
    <mergeCell ref="J235:L235"/>
    <mergeCell ref="M235:O235"/>
    <mergeCell ref="P235:R235"/>
    <mergeCell ref="S235:U235"/>
    <mergeCell ref="V235:X235"/>
    <mergeCell ref="Y235:AA235"/>
    <mergeCell ref="D234:I234"/>
    <mergeCell ref="J234:L234"/>
    <mergeCell ref="M234:O234"/>
    <mergeCell ref="P234:R234"/>
    <mergeCell ref="S234:U234"/>
    <mergeCell ref="V234:X234"/>
    <mergeCell ref="D236:I236"/>
    <mergeCell ref="J236:L236"/>
    <mergeCell ref="M236:O236"/>
    <mergeCell ref="P236:R236"/>
    <mergeCell ref="S236:U236"/>
    <mergeCell ref="V236:X236"/>
    <mergeCell ref="AE237:AG237"/>
    <mergeCell ref="D238:AG238"/>
    <mergeCell ref="D239:I239"/>
    <mergeCell ref="J239:L239"/>
    <mergeCell ref="M239:O239"/>
    <mergeCell ref="P239:R239"/>
    <mergeCell ref="S239:U239"/>
    <mergeCell ref="V239:X239"/>
    <mergeCell ref="Y239:AA239"/>
    <mergeCell ref="AB239:AD239"/>
    <mergeCell ref="AB235:AD235"/>
    <mergeCell ref="AE235:AG235"/>
    <mergeCell ref="D237:I237"/>
    <mergeCell ref="J237:L237"/>
    <mergeCell ref="M237:O237"/>
    <mergeCell ref="P237:R237"/>
    <mergeCell ref="S237:U237"/>
    <mergeCell ref="V237:X237"/>
    <mergeCell ref="Y237:AA237"/>
    <mergeCell ref="AB237:AD237"/>
    <mergeCell ref="Y236:AA236"/>
    <mergeCell ref="AB236:AD236"/>
    <mergeCell ref="AE236:AG236"/>
    <mergeCell ref="D243:I244"/>
    <mergeCell ref="J243:AG243"/>
    <mergeCell ref="J244:L244"/>
    <mergeCell ref="M244:O244"/>
    <mergeCell ref="P244:R244"/>
    <mergeCell ref="S244:U244"/>
    <mergeCell ref="V244:X244"/>
    <mergeCell ref="Y244:AA244"/>
    <mergeCell ref="AB244:AD244"/>
    <mergeCell ref="AE244:AG244"/>
    <mergeCell ref="AE239:AG239"/>
    <mergeCell ref="D240:I240"/>
    <mergeCell ref="J240:L240"/>
    <mergeCell ref="M240:O240"/>
    <mergeCell ref="P240:R240"/>
    <mergeCell ref="S240:U240"/>
    <mergeCell ref="V240:X240"/>
    <mergeCell ref="Y240:AA240"/>
    <mergeCell ref="AB240:AD240"/>
    <mergeCell ref="AE240:AG240"/>
    <mergeCell ref="Y247:AA247"/>
    <mergeCell ref="AB247:AD247"/>
    <mergeCell ref="AE247:AG247"/>
    <mergeCell ref="D248:I248"/>
    <mergeCell ref="J248:L248"/>
    <mergeCell ref="M248:O248"/>
    <mergeCell ref="P248:R248"/>
    <mergeCell ref="S248:U248"/>
    <mergeCell ref="V248:X248"/>
    <mergeCell ref="Y248:AA248"/>
    <mergeCell ref="D247:I247"/>
    <mergeCell ref="J247:L247"/>
    <mergeCell ref="M247:O247"/>
    <mergeCell ref="P247:R247"/>
    <mergeCell ref="S247:U247"/>
    <mergeCell ref="V247:X247"/>
    <mergeCell ref="D245:AG245"/>
    <mergeCell ref="D246:I246"/>
    <mergeCell ref="J246:L246"/>
    <mergeCell ref="M246:O246"/>
    <mergeCell ref="P246:R246"/>
    <mergeCell ref="S246:U246"/>
    <mergeCell ref="V246:X246"/>
    <mergeCell ref="Y246:AA246"/>
    <mergeCell ref="AB246:AD246"/>
    <mergeCell ref="AE246:AG246"/>
    <mergeCell ref="AE249:AG249"/>
    <mergeCell ref="D250:I250"/>
    <mergeCell ref="J250:L250"/>
    <mergeCell ref="M250:O250"/>
    <mergeCell ref="P250:R250"/>
    <mergeCell ref="S250:U250"/>
    <mergeCell ref="V250:X250"/>
    <mergeCell ref="Y250:AA250"/>
    <mergeCell ref="AB250:AD250"/>
    <mergeCell ref="AE250:AG250"/>
    <mergeCell ref="AB248:AD248"/>
    <mergeCell ref="AE248:AG248"/>
    <mergeCell ref="D249:I249"/>
    <mergeCell ref="J249:L249"/>
    <mergeCell ref="M249:O249"/>
    <mergeCell ref="P249:R249"/>
    <mergeCell ref="S249:U249"/>
    <mergeCell ref="V249:X249"/>
    <mergeCell ref="Y249:AA249"/>
    <mergeCell ref="AB249:AD249"/>
    <mergeCell ref="Y253:AA253"/>
    <mergeCell ref="AB253:AD253"/>
    <mergeCell ref="AE253:AG253"/>
    <mergeCell ref="D254:I254"/>
    <mergeCell ref="J254:L254"/>
    <mergeCell ref="M254:O254"/>
    <mergeCell ref="P254:R254"/>
    <mergeCell ref="S254:U254"/>
    <mergeCell ref="V254:X254"/>
    <mergeCell ref="Y254:AA254"/>
    <mergeCell ref="D253:I253"/>
    <mergeCell ref="J253:L253"/>
    <mergeCell ref="M253:O253"/>
    <mergeCell ref="P253:R253"/>
    <mergeCell ref="S253:U253"/>
    <mergeCell ref="V253:X253"/>
    <mergeCell ref="D251:AG251"/>
    <mergeCell ref="D252:I252"/>
    <mergeCell ref="J252:L252"/>
    <mergeCell ref="M252:O252"/>
    <mergeCell ref="P252:R252"/>
    <mergeCell ref="S252:U252"/>
    <mergeCell ref="V252:X252"/>
    <mergeCell ref="Y252:AA252"/>
    <mergeCell ref="AB252:AD252"/>
    <mergeCell ref="AE252:AG252"/>
    <mergeCell ref="D257:AG257"/>
    <mergeCell ref="D258:I258"/>
    <mergeCell ref="J258:L258"/>
    <mergeCell ref="M258:O258"/>
    <mergeCell ref="P258:R258"/>
    <mergeCell ref="S258:U258"/>
    <mergeCell ref="V258:X258"/>
    <mergeCell ref="Y258:AA258"/>
    <mergeCell ref="AB258:AD258"/>
    <mergeCell ref="AB254:AD254"/>
    <mergeCell ref="AE254:AG254"/>
    <mergeCell ref="D256:I256"/>
    <mergeCell ref="J256:L256"/>
    <mergeCell ref="M256:O256"/>
    <mergeCell ref="P256:R256"/>
    <mergeCell ref="S256:U256"/>
    <mergeCell ref="V256:X256"/>
    <mergeCell ref="Y256:AA256"/>
    <mergeCell ref="AB256:AD256"/>
    <mergeCell ref="D255:I255"/>
    <mergeCell ref="J255:L255"/>
    <mergeCell ref="M255:O255"/>
    <mergeCell ref="P255:R255"/>
    <mergeCell ref="S255:U255"/>
    <mergeCell ref="V255:X255"/>
    <mergeCell ref="Y255:AA255"/>
    <mergeCell ref="AB255:AD255"/>
    <mergeCell ref="AE255:AG255"/>
    <mergeCell ref="AE256:AG256"/>
    <mergeCell ref="Y260:AA260"/>
    <mergeCell ref="AB260:AD260"/>
    <mergeCell ref="AE260:AG260"/>
    <mergeCell ref="D262:I262"/>
    <mergeCell ref="J262:L262"/>
    <mergeCell ref="M262:O262"/>
    <mergeCell ref="P262:R262"/>
    <mergeCell ref="S262:U262"/>
    <mergeCell ref="V262:X262"/>
    <mergeCell ref="Y262:AA262"/>
    <mergeCell ref="D260:I260"/>
    <mergeCell ref="J260:L260"/>
    <mergeCell ref="M260:O260"/>
    <mergeCell ref="P260:R260"/>
    <mergeCell ref="S260:U260"/>
    <mergeCell ref="V260:X260"/>
    <mergeCell ref="D261:I261"/>
    <mergeCell ref="J261:L261"/>
    <mergeCell ref="M261:O261"/>
    <mergeCell ref="P261:R261"/>
    <mergeCell ref="S261:U261"/>
    <mergeCell ref="V261:X261"/>
    <mergeCell ref="AB264:AD264"/>
    <mergeCell ref="AE264:AG264"/>
    <mergeCell ref="D265:I265"/>
    <mergeCell ref="J265:L265"/>
    <mergeCell ref="M265:O265"/>
    <mergeCell ref="P265:R265"/>
    <mergeCell ref="S265:U265"/>
    <mergeCell ref="V265:X265"/>
    <mergeCell ref="Y265:AA265"/>
    <mergeCell ref="AB265:AD265"/>
    <mergeCell ref="AB262:AD262"/>
    <mergeCell ref="AE262:AG262"/>
    <mergeCell ref="D263:AG263"/>
    <mergeCell ref="D264:I264"/>
    <mergeCell ref="J264:L264"/>
    <mergeCell ref="M264:O264"/>
    <mergeCell ref="P264:R264"/>
    <mergeCell ref="S264:U264"/>
    <mergeCell ref="V264:X264"/>
    <mergeCell ref="Y264:AA264"/>
    <mergeCell ref="Q288:S288"/>
    <mergeCell ref="T288:V288"/>
    <mergeCell ref="W288:Y288"/>
    <mergeCell ref="Z288:AB288"/>
    <mergeCell ref="AC288:AE288"/>
    <mergeCell ref="AF288:AH288"/>
    <mergeCell ref="D287:G288"/>
    <mergeCell ref="H287:AH287"/>
    <mergeCell ref="H288:J288"/>
    <mergeCell ref="K288:M288"/>
    <mergeCell ref="N288:P288"/>
    <mergeCell ref="AE265:AG265"/>
    <mergeCell ref="D270:R270"/>
    <mergeCell ref="S270:AG270"/>
    <mergeCell ref="D271:R271"/>
    <mergeCell ref="S271:AG271"/>
    <mergeCell ref="D272:R272"/>
    <mergeCell ref="S272:AG272"/>
    <mergeCell ref="AF290:AH290"/>
    <mergeCell ref="D291:G291"/>
    <mergeCell ref="H291:J291"/>
    <mergeCell ref="K291:M291"/>
    <mergeCell ref="N291:P291"/>
    <mergeCell ref="Q291:S291"/>
    <mergeCell ref="T291:V291"/>
    <mergeCell ref="W291:Y291"/>
    <mergeCell ref="Z291:AB291"/>
    <mergeCell ref="AC291:AE291"/>
    <mergeCell ref="D289:AH289"/>
    <mergeCell ref="D290:G290"/>
    <mergeCell ref="H290:J290"/>
    <mergeCell ref="K290:M290"/>
    <mergeCell ref="N290:P290"/>
    <mergeCell ref="Q290:S290"/>
    <mergeCell ref="T290:V290"/>
    <mergeCell ref="W290:Y290"/>
    <mergeCell ref="Z290:AB290"/>
    <mergeCell ref="AC290:AE290"/>
    <mergeCell ref="AF292:AH292"/>
    <mergeCell ref="D293:G293"/>
    <mergeCell ref="H293:J293"/>
    <mergeCell ref="K293:M293"/>
    <mergeCell ref="N293:P293"/>
    <mergeCell ref="Q293:S293"/>
    <mergeCell ref="T293:V293"/>
    <mergeCell ref="W293:Y293"/>
    <mergeCell ref="Z293:AB293"/>
    <mergeCell ref="AC293:AE293"/>
    <mergeCell ref="AF291:AH291"/>
    <mergeCell ref="D292:G292"/>
    <mergeCell ref="H292:J292"/>
    <mergeCell ref="K292:M292"/>
    <mergeCell ref="N292:P292"/>
    <mergeCell ref="Q292:S292"/>
    <mergeCell ref="T292:V292"/>
    <mergeCell ref="W292:Y292"/>
    <mergeCell ref="Z292:AB292"/>
    <mergeCell ref="AC292:AE292"/>
    <mergeCell ref="AF294:AH294"/>
    <mergeCell ref="D295:AH295"/>
    <mergeCell ref="D296:G296"/>
    <mergeCell ref="H296:J296"/>
    <mergeCell ref="K296:M296"/>
    <mergeCell ref="N296:P296"/>
    <mergeCell ref="Q296:S296"/>
    <mergeCell ref="T296:V296"/>
    <mergeCell ref="W296:Y296"/>
    <mergeCell ref="Z296:AB296"/>
    <mergeCell ref="AF293:AH293"/>
    <mergeCell ref="D294:G294"/>
    <mergeCell ref="H294:J294"/>
    <mergeCell ref="K294:M294"/>
    <mergeCell ref="N294:P294"/>
    <mergeCell ref="Q294:S294"/>
    <mergeCell ref="T294:V294"/>
    <mergeCell ref="W294:Y294"/>
    <mergeCell ref="Z294:AB294"/>
    <mergeCell ref="AC294:AE294"/>
    <mergeCell ref="AC297:AE297"/>
    <mergeCell ref="AF297:AH297"/>
    <mergeCell ref="D298:G298"/>
    <mergeCell ref="H298:J298"/>
    <mergeCell ref="K298:M298"/>
    <mergeCell ref="N298:P298"/>
    <mergeCell ref="Q298:S298"/>
    <mergeCell ref="T298:V298"/>
    <mergeCell ref="W298:Y298"/>
    <mergeCell ref="Z298:AB298"/>
    <mergeCell ref="AC296:AE296"/>
    <mergeCell ref="AF296:AH296"/>
    <mergeCell ref="D297:G297"/>
    <mergeCell ref="H297:J297"/>
    <mergeCell ref="K297:M297"/>
    <mergeCell ref="N297:P297"/>
    <mergeCell ref="Q297:S297"/>
    <mergeCell ref="T297:V297"/>
    <mergeCell ref="W297:Y297"/>
    <mergeCell ref="Z297:AB297"/>
    <mergeCell ref="AC300:AE300"/>
    <mergeCell ref="AF300:AH300"/>
    <mergeCell ref="D301:AH301"/>
    <mergeCell ref="D302:G302"/>
    <mergeCell ref="H302:J302"/>
    <mergeCell ref="K302:M302"/>
    <mergeCell ref="N302:P302"/>
    <mergeCell ref="Q302:S302"/>
    <mergeCell ref="T302:V302"/>
    <mergeCell ref="W302:Y302"/>
    <mergeCell ref="AC298:AE298"/>
    <mergeCell ref="AF298:AH298"/>
    <mergeCell ref="D300:G300"/>
    <mergeCell ref="H300:J300"/>
    <mergeCell ref="K300:M300"/>
    <mergeCell ref="N300:P300"/>
    <mergeCell ref="Q300:S300"/>
    <mergeCell ref="T300:V300"/>
    <mergeCell ref="W300:Y300"/>
    <mergeCell ref="Z300:AB300"/>
    <mergeCell ref="D299:G299"/>
    <mergeCell ref="H299:J299"/>
    <mergeCell ref="K299:M299"/>
    <mergeCell ref="N299:P299"/>
    <mergeCell ref="Q299:S299"/>
    <mergeCell ref="T299:V299"/>
    <mergeCell ref="W299:Y299"/>
    <mergeCell ref="Z299:AB299"/>
    <mergeCell ref="AC299:AE299"/>
    <mergeCell ref="AF299:AH299"/>
    <mergeCell ref="Z303:AB303"/>
    <mergeCell ref="AC303:AE303"/>
    <mergeCell ref="AF303:AH303"/>
    <mergeCell ref="D304:G304"/>
    <mergeCell ref="H304:J304"/>
    <mergeCell ref="K304:M304"/>
    <mergeCell ref="N304:P304"/>
    <mergeCell ref="Q304:S304"/>
    <mergeCell ref="T304:V304"/>
    <mergeCell ref="W304:Y304"/>
    <mergeCell ref="Z302:AB302"/>
    <mergeCell ref="AC302:AE302"/>
    <mergeCell ref="AF302:AH302"/>
    <mergeCell ref="D303:G303"/>
    <mergeCell ref="H303:J303"/>
    <mergeCell ref="K303:M303"/>
    <mergeCell ref="N303:P303"/>
    <mergeCell ref="Q303:S303"/>
    <mergeCell ref="T303:V303"/>
    <mergeCell ref="W303:Y303"/>
    <mergeCell ref="Z306:AB306"/>
    <mergeCell ref="AC306:AE306"/>
    <mergeCell ref="AF306:AH306"/>
    <mergeCell ref="D307:AH307"/>
    <mergeCell ref="D308:G308"/>
    <mergeCell ref="H308:J308"/>
    <mergeCell ref="K308:M308"/>
    <mergeCell ref="N308:P308"/>
    <mergeCell ref="Q308:S308"/>
    <mergeCell ref="T308:V308"/>
    <mergeCell ref="Z304:AB304"/>
    <mergeCell ref="AC304:AE304"/>
    <mergeCell ref="AF304:AH304"/>
    <mergeCell ref="D306:G306"/>
    <mergeCell ref="H306:J306"/>
    <mergeCell ref="K306:M306"/>
    <mergeCell ref="N306:P306"/>
    <mergeCell ref="Q306:S306"/>
    <mergeCell ref="T306:V306"/>
    <mergeCell ref="W306:Y306"/>
    <mergeCell ref="D305:G305"/>
    <mergeCell ref="H305:J305"/>
    <mergeCell ref="K305:M305"/>
    <mergeCell ref="N305:P305"/>
    <mergeCell ref="Q305:S305"/>
    <mergeCell ref="T305:V305"/>
    <mergeCell ref="W305:Y305"/>
    <mergeCell ref="Z305:AB305"/>
    <mergeCell ref="AC305:AE305"/>
    <mergeCell ref="AF305:AH305"/>
    <mergeCell ref="W309:Y309"/>
    <mergeCell ref="Z309:AB309"/>
    <mergeCell ref="AC309:AE309"/>
    <mergeCell ref="AF309:AH309"/>
    <mergeCell ref="D312:G313"/>
    <mergeCell ref="H312:AH312"/>
    <mergeCell ref="H313:J313"/>
    <mergeCell ref="K313:M313"/>
    <mergeCell ref="N313:P313"/>
    <mergeCell ref="Q313:S313"/>
    <mergeCell ref="W308:Y308"/>
    <mergeCell ref="Z308:AB308"/>
    <mergeCell ref="AC308:AE308"/>
    <mergeCell ref="AF308:AH308"/>
    <mergeCell ref="D309:G309"/>
    <mergeCell ref="H309:J309"/>
    <mergeCell ref="K309:M309"/>
    <mergeCell ref="N309:P309"/>
    <mergeCell ref="Q309:S309"/>
    <mergeCell ref="T309:V309"/>
    <mergeCell ref="W315:Y315"/>
    <mergeCell ref="Z315:AB315"/>
    <mergeCell ref="AC315:AE315"/>
    <mergeCell ref="AF315:AH315"/>
    <mergeCell ref="D316:G316"/>
    <mergeCell ref="H316:J316"/>
    <mergeCell ref="K316:M316"/>
    <mergeCell ref="N316:P316"/>
    <mergeCell ref="Q316:S316"/>
    <mergeCell ref="T316:V316"/>
    <mergeCell ref="D315:G315"/>
    <mergeCell ref="H315:J315"/>
    <mergeCell ref="K315:M315"/>
    <mergeCell ref="N315:P315"/>
    <mergeCell ref="Q315:S315"/>
    <mergeCell ref="T315:V315"/>
    <mergeCell ref="T313:V313"/>
    <mergeCell ref="W313:Y313"/>
    <mergeCell ref="Z313:AB313"/>
    <mergeCell ref="AC313:AE313"/>
    <mergeCell ref="AF313:AH313"/>
    <mergeCell ref="D314:AH314"/>
    <mergeCell ref="W317:Y317"/>
    <mergeCell ref="Z317:AB317"/>
    <mergeCell ref="AC317:AE317"/>
    <mergeCell ref="AF317:AH317"/>
    <mergeCell ref="D318:G318"/>
    <mergeCell ref="H318:J318"/>
    <mergeCell ref="K318:M318"/>
    <mergeCell ref="N318:P318"/>
    <mergeCell ref="Q318:S318"/>
    <mergeCell ref="T318:V318"/>
    <mergeCell ref="W316:Y316"/>
    <mergeCell ref="Z316:AB316"/>
    <mergeCell ref="AC316:AE316"/>
    <mergeCell ref="AF316:AH316"/>
    <mergeCell ref="D317:G317"/>
    <mergeCell ref="H317:J317"/>
    <mergeCell ref="K317:M317"/>
    <mergeCell ref="N317:P317"/>
    <mergeCell ref="Q317:S317"/>
    <mergeCell ref="T317:V317"/>
    <mergeCell ref="W319:Y319"/>
    <mergeCell ref="Z319:AB319"/>
    <mergeCell ref="AC319:AE319"/>
    <mergeCell ref="AF319:AH319"/>
    <mergeCell ref="D320:AH320"/>
    <mergeCell ref="D321:G321"/>
    <mergeCell ref="H321:J321"/>
    <mergeCell ref="K321:M321"/>
    <mergeCell ref="N321:P321"/>
    <mergeCell ref="Q321:S321"/>
    <mergeCell ref="T322:V322"/>
    <mergeCell ref="W322:Y322"/>
    <mergeCell ref="Z322:AB322"/>
    <mergeCell ref="AC322:AE322"/>
    <mergeCell ref="AF322:AH322"/>
    <mergeCell ref="W318:Y318"/>
    <mergeCell ref="Z318:AB318"/>
    <mergeCell ref="AC318:AE318"/>
    <mergeCell ref="AF318:AH318"/>
    <mergeCell ref="D319:G319"/>
    <mergeCell ref="H319:J319"/>
    <mergeCell ref="K319:M319"/>
    <mergeCell ref="N319:P319"/>
    <mergeCell ref="Q319:S319"/>
    <mergeCell ref="T319:V319"/>
    <mergeCell ref="T321:V321"/>
    <mergeCell ref="W321:Y321"/>
    <mergeCell ref="Z321:AB321"/>
    <mergeCell ref="AC321:AE321"/>
    <mergeCell ref="AF321:AH321"/>
    <mergeCell ref="D322:G322"/>
    <mergeCell ref="H322:J322"/>
    <mergeCell ref="D325:G325"/>
    <mergeCell ref="H325:J325"/>
    <mergeCell ref="W330:Y330"/>
    <mergeCell ref="Z330:AB330"/>
    <mergeCell ref="AC330:AE330"/>
    <mergeCell ref="K327:M327"/>
    <mergeCell ref="N327:P327"/>
    <mergeCell ref="Q327:S327"/>
    <mergeCell ref="D324:G324"/>
    <mergeCell ref="H324:J324"/>
    <mergeCell ref="K324:M324"/>
    <mergeCell ref="N324:P324"/>
    <mergeCell ref="Q324:S324"/>
    <mergeCell ref="T324:V324"/>
    <mergeCell ref="W324:Y324"/>
    <mergeCell ref="Z324:AB324"/>
    <mergeCell ref="AC324:AE324"/>
    <mergeCell ref="T325:V325"/>
    <mergeCell ref="W325:Y325"/>
    <mergeCell ref="Z325:AB325"/>
    <mergeCell ref="AC325:AE325"/>
    <mergeCell ref="D329:G329"/>
    <mergeCell ref="K325:M325"/>
    <mergeCell ref="N325:P325"/>
    <mergeCell ref="Q325:S325"/>
    <mergeCell ref="AF330:AH330"/>
    <mergeCell ref="W331:Y331"/>
    <mergeCell ref="Z331:AB331"/>
    <mergeCell ref="AC331:AE331"/>
    <mergeCell ref="AF331:AH331"/>
    <mergeCell ref="W327:Y327"/>
    <mergeCell ref="Z327:AB327"/>
    <mergeCell ref="AC327:AE327"/>
    <mergeCell ref="AF327:AH327"/>
    <mergeCell ref="K322:M322"/>
    <mergeCell ref="N322:P322"/>
    <mergeCell ref="Q322:S322"/>
    <mergeCell ref="T323:V323"/>
    <mergeCell ref="W323:Y323"/>
    <mergeCell ref="Z323:AB323"/>
    <mergeCell ref="AC323:AE323"/>
    <mergeCell ref="AF323:AH323"/>
    <mergeCell ref="AF324:AH324"/>
    <mergeCell ref="AF325:AH325"/>
    <mergeCell ref="D327:G327"/>
    <mergeCell ref="H327:J327"/>
    <mergeCell ref="D330:G330"/>
    <mergeCell ref="H330:J330"/>
    <mergeCell ref="K330:M330"/>
    <mergeCell ref="N330:P330"/>
    <mergeCell ref="Q330:S330"/>
    <mergeCell ref="T330:V330"/>
    <mergeCell ref="AF333:AH333"/>
    <mergeCell ref="D334:G334"/>
    <mergeCell ref="H334:J334"/>
    <mergeCell ref="K334:M334"/>
    <mergeCell ref="N334:P334"/>
    <mergeCell ref="Q334:S334"/>
    <mergeCell ref="H329:J329"/>
    <mergeCell ref="K329:M329"/>
    <mergeCell ref="N329:P329"/>
    <mergeCell ref="Q329:S329"/>
    <mergeCell ref="T329:V329"/>
    <mergeCell ref="D323:G323"/>
    <mergeCell ref="H323:J323"/>
    <mergeCell ref="K323:M323"/>
    <mergeCell ref="N323:P323"/>
    <mergeCell ref="Q323:S323"/>
    <mergeCell ref="D332:AH332"/>
    <mergeCell ref="D333:G333"/>
    <mergeCell ref="H333:J333"/>
    <mergeCell ref="K333:M333"/>
    <mergeCell ref="N333:P333"/>
    <mergeCell ref="Q333:S333"/>
    <mergeCell ref="W329:Y329"/>
    <mergeCell ref="Z329:AB329"/>
    <mergeCell ref="AC329:AE329"/>
    <mergeCell ref="AF329:AH329"/>
    <mergeCell ref="D331:G331"/>
    <mergeCell ref="H331:J331"/>
    <mergeCell ref="K331:M331"/>
    <mergeCell ref="N331:P331"/>
    <mergeCell ref="Q331:S331"/>
    <mergeCell ref="T331:V331"/>
    <mergeCell ref="D326:AH326"/>
    <mergeCell ref="W328:Y328"/>
    <mergeCell ref="Z328:AB328"/>
    <mergeCell ref="AC328:AE328"/>
    <mergeCell ref="AF328:AH328"/>
    <mergeCell ref="D328:G328"/>
    <mergeCell ref="H328:J328"/>
    <mergeCell ref="K328:M328"/>
    <mergeCell ref="N328:P328"/>
    <mergeCell ref="Q328:S328"/>
    <mergeCell ref="T328:V328"/>
    <mergeCell ref="D366:H366"/>
    <mergeCell ref="I366:M366"/>
    <mergeCell ref="N366:R366"/>
    <mergeCell ref="S366:W366"/>
    <mergeCell ref="X366:AB366"/>
    <mergeCell ref="AC366:AG366"/>
    <mergeCell ref="D359:AG360"/>
    <mergeCell ref="D362:AG362"/>
    <mergeCell ref="D364:H365"/>
    <mergeCell ref="I364:AG364"/>
    <mergeCell ref="I365:M365"/>
    <mergeCell ref="N365:R365"/>
    <mergeCell ref="S365:W365"/>
    <mergeCell ref="X365:AB365"/>
    <mergeCell ref="AC365:AG365"/>
    <mergeCell ref="D351:AG351"/>
    <mergeCell ref="D338:R338"/>
    <mergeCell ref="S338:AG338"/>
    <mergeCell ref="D339:R339"/>
    <mergeCell ref="S339:AG339"/>
    <mergeCell ref="D369:H369"/>
    <mergeCell ref="I369:M369"/>
    <mergeCell ref="N369:R369"/>
    <mergeCell ref="S369:W369"/>
    <mergeCell ref="X369:AB369"/>
    <mergeCell ref="AC369:AG369"/>
    <mergeCell ref="D368:H368"/>
    <mergeCell ref="I368:M368"/>
    <mergeCell ref="N368:R368"/>
    <mergeCell ref="S368:W368"/>
    <mergeCell ref="X368:AB368"/>
    <mergeCell ref="AC368:AG368"/>
    <mergeCell ref="D367:H367"/>
    <mergeCell ref="I367:M367"/>
    <mergeCell ref="N367:R367"/>
    <mergeCell ref="S367:W367"/>
    <mergeCell ref="X367:AB367"/>
    <mergeCell ref="AC367:AG367"/>
    <mergeCell ref="D372:H372"/>
    <mergeCell ref="I372:M372"/>
    <mergeCell ref="N372:R372"/>
    <mergeCell ref="S372:W372"/>
    <mergeCell ref="X372:AB372"/>
    <mergeCell ref="AC372:AG372"/>
    <mergeCell ref="D371:H371"/>
    <mergeCell ref="I371:M371"/>
    <mergeCell ref="N371:R371"/>
    <mergeCell ref="S371:W371"/>
    <mergeCell ref="X371:AB371"/>
    <mergeCell ref="AC371:AG371"/>
    <mergeCell ref="D370:H370"/>
    <mergeCell ref="I370:M370"/>
    <mergeCell ref="N370:R370"/>
    <mergeCell ref="S370:W370"/>
    <mergeCell ref="X370:AB370"/>
    <mergeCell ref="AC370:AG370"/>
    <mergeCell ref="D373:H373"/>
    <mergeCell ref="I373:M373"/>
    <mergeCell ref="N373:R373"/>
    <mergeCell ref="S373:W373"/>
    <mergeCell ref="X373:AB373"/>
    <mergeCell ref="AC373:AG373"/>
    <mergeCell ref="D404:H404"/>
    <mergeCell ref="I404:M404"/>
    <mergeCell ref="N404:R404"/>
    <mergeCell ref="S404:W404"/>
    <mergeCell ref="X404:AB404"/>
    <mergeCell ref="AC404:AG404"/>
    <mergeCell ref="D400:AG400"/>
    <mergeCell ref="D402:H403"/>
    <mergeCell ref="I402:AG402"/>
    <mergeCell ref="I403:M403"/>
    <mergeCell ref="N403:R403"/>
    <mergeCell ref="S403:W403"/>
    <mergeCell ref="X403:AB403"/>
    <mergeCell ref="AC403:AG403"/>
    <mergeCell ref="D394:AG396"/>
    <mergeCell ref="D376:H377"/>
    <mergeCell ref="I376:AG376"/>
    <mergeCell ref="I377:M377"/>
    <mergeCell ref="N377:R377"/>
    <mergeCell ref="S377:W377"/>
    <mergeCell ref="X377:AB377"/>
    <mergeCell ref="AC377:AG377"/>
    <mergeCell ref="D378:H378"/>
    <mergeCell ref="I378:M378"/>
    <mergeCell ref="N378:R378"/>
    <mergeCell ref="S378:W378"/>
    <mergeCell ref="X406:AB406"/>
    <mergeCell ref="AC406:AG406"/>
    <mergeCell ref="D405:H405"/>
    <mergeCell ref="I405:M405"/>
    <mergeCell ref="N405:R405"/>
    <mergeCell ref="S405:W405"/>
    <mergeCell ref="X405:AB405"/>
    <mergeCell ref="AC405:AG405"/>
    <mergeCell ref="D409:H409"/>
    <mergeCell ref="I409:M409"/>
    <mergeCell ref="N409:R409"/>
    <mergeCell ref="S409:W409"/>
    <mergeCell ref="X409:AB409"/>
    <mergeCell ref="AC409:AG409"/>
    <mergeCell ref="D408:H408"/>
    <mergeCell ref="I408:M408"/>
    <mergeCell ref="N408:R408"/>
    <mergeCell ref="S408:W408"/>
    <mergeCell ref="X408:AB408"/>
    <mergeCell ref="AC408:AG408"/>
    <mergeCell ref="D411:H412"/>
    <mergeCell ref="I411:AG411"/>
    <mergeCell ref="I412:M412"/>
    <mergeCell ref="N412:R412"/>
    <mergeCell ref="S412:W412"/>
    <mergeCell ref="X412:AB412"/>
    <mergeCell ref="AC412:AG412"/>
    <mergeCell ref="D413:H413"/>
    <mergeCell ref="I413:M413"/>
    <mergeCell ref="N413:R413"/>
    <mergeCell ref="S413:W413"/>
    <mergeCell ref="X413:AB413"/>
    <mergeCell ref="AC413:AG413"/>
    <mergeCell ref="D432:L432"/>
    <mergeCell ref="M432:S432"/>
    <mergeCell ref="T432:Z432"/>
    <mergeCell ref="AA432:AG432"/>
    <mergeCell ref="D430:L430"/>
    <mergeCell ref="M430:S430"/>
    <mergeCell ref="T430:Z430"/>
    <mergeCell ref="AA430:AG430"/>
    <mergeCell ref="D431:L431"/>
    <mergeCell ref="M431:S431"/>
    <mergeCell ref="T431:Z431"/>
    <mergeCell ref="AA431:AG431"/>
    <mergeCell ref="D427:AG427"/>
    <mergeCell ref="D428:L428"/>
    <mergeCell ref="M428:S428"/>
    <mergeCell ref="T428:Z428"/>
    <mergeCell ref="AA428:AG428"/>
    <mergeCell ref="D429:L429"/>
    <mergeCell ref="M429:S429"/>
    <mergeCell ref="D434:AG434"/>
    <mergeCell ref="D435:L435"/>
    <mergeCell ref="M435:S435"/>
    <mergeCell ref="T435:Z435"/>
    <mergeCell ref="AA435:AG435"/>
    <mergeCell ref="D436:L436"/>
    <mergeCell ref="M436:S436"/>
    <mergeCell ref="T436:Z436"/>
    <mergeCell ref="AA436:AG436"/>
    <mergeCell ref="D467:M468"/>
    <mergeCell ref="N467:AG467"/>
    <mergeCell ref="N468:W468"/>
    <mergeCell ref="X468:AG468"/>
    <mergeCell ref="D469:M469"/>
    <mergeCell ref="N469:W469"/>
    <mergeCell ref="X469:AG469"/>
    <mergeCell ref="D441:L441"/>
    <mergeCell ref="M441:S441"/>
    <mergeCell ref="T441:Z441"/>
    <mergeCell ref="AA441:AG441"/>
    <mergeCell ref="D442:L442"/>
    <mergeCell ref="M442:S442"/>
    <mergeCell ref="T442:Z442"/>
    <mergeCell ref="AA442:AG442"/>
    <mergeCell ref="D439:L439"/>
    <mergeCell ref="M439:S439"/>
    <mergeCell ref="T439:Z439"/>
    <mergeCell ref="AA439:AG439"/>
    <mergeCell ref="D440:L440"/>
    <mergeCell ref="M440:S440"/>
    <mergeCell ref="T440:Z440"/>
    <mergeCell ref="AA440:AG440"/>
    <mergeCell ref="D448:AG448"/>
    <mergeCell ref="D449:L449"/>
    <mergeCell ref="M449:S449"/>
    <mergeCell ref="T449:Z449"/>
    <mergeCell ref="AA449:AG449"/>
    <mergeCell ref="D450:L450"/>
    <mergeCell ref="M450:S450"/>
    <mergeCell ref="T450:Z450"/>
    <mergeCell ref="AA450:AG450"/>
    <mergeCell ref="D493:O493"/>
    <mergeCell ref="P493:X493"/>
    <mergeCell ref="Y493:AG493"/>
    <mergeCell ref="D488:AG488"/>
    <mergeCell ref="D490:O490"/>
    <mergeCell ref="P490:X490"/>
    <mergeCell ref="Y490:AG490"/>
    <mergeCell ref="D491:O491"/>
    <mergeCell ref="P491:X491"/>
    <mergeCell ref="Y491:AG491"/>
    <mergeCell ref="D470:M470"/>
    <mergeCell ref="N470:W470"/>
    <mergeCell ref="X470:AG470"/>
    <mergeCell ref="D471:M471"/>
    <mergeCell ref="N471:W471"/>
    <mergeCell ref="X471:AG471"/>
    <mergeCell ref="D465:AG465"/>
    <mergeCell ref="D480:M480"/>
    <mergeCell ref="N480:W480"/>
    <mergeCell ref="X480:AG480"/>
    <mergeCell ref="D481:M481"/>
    <mergeCell ref="N481:W481"/>
    <mergeCell ref="X481:AG481"/>
    <mergeCell ref="Y498:AG498"/>
    <mergeCell ref="D499:O499"/>
    <mergeCell ref="P499:X499"/>
    <mergeCell ref="Y499:AG499"/>
    <mergeCell ref="D496:O496"/>
    <mergeCell ref="P496:X496"/>
    <mergeCell ref="Y496:AG496"/>
    <mergeCell ref="D497:O497"/>
    <mergeCell ref="P497:X497"/>
    <mergeCell ref="Y497:AG497"/>
    <mergeCell ref="D502:O502"/>
    <mergeCell ref="P502:X502"/>
    <mergeCell ref="Y502:AG502"/>
    <mergeCell ref="D512:Q512"/>
    <mergeCell ref="R512:AG512"/>
    <mergeCell ref="D513:Q513"/>
    <mergeCell ref="R513:AG513"/>
    <mergeCell ref="D501:O501"/>
    <mergeCell ref="P501:X501"/>
    <mergeCell ref="Y501:AG501"/>
    <mergeCell ref="D498:O498"/>
    <mergeCell ref="P498:X498"/>
    <mergeCell ref="D514:Q514"/>
    <mergeCell ref="R514:AG514"/>
    <mergeCell ref="D506:AG507"/>
    <mergeCell ref="D508:AG508"/>
    <mergeCell ref="D510:Q510"/>
    <mergeCell ref="R510:AG510"/>
    <mergeCell ref="D511:Q511"/>
    <mergeCell ref="R511:AG511"/>
    <mergeCell ref="D521:Q521"/>
    <mergeCell ref="R521:AG521"/>
    <mergeCell ref="D518:Q518"/>
    <mergeCell ref="R518:AG518"/>
    <mergeCell ref="D519:Q519"/>
    <mergeCell ref="R519:AG519"/>
    <mergeCell ref="D520:Q520"/>
    <mergeCell ref="R520:AG520"/>
    <mergeCell ref="D515:Q515"/>
    <mergeCell ref="R515:AG515"/>
    <mergeCell ref="D516:Q516"/>
    <mergeCell ref="R516:AG516"/>
    <mergeCell ref="D517:Q517"/>
    <mergeCell ref="R517:AG517"/>
    <mergeCell ref="D529:AG529"/>
    <mergeCell ref="D531:H532"/>
    <mergeCell ref="I531:AG531"/>
    <mergeCell ref="I532:M532"/>
    <mergeCell ref="N532:R532"/>
    <mergeCell ref="S532:W532"/>
    <mergeCell ref="D534:H534"/>
    <mergeCell ref="X532:AB532"/>
    <mergeCell ref="AC532:AG532"/>
    <mergeCell ref="D533:H533"/>
    <mergeCell ref="AC538:AG538"/>
    <mergeCell ref="D537:H537"/>
    <mergeCell ref="I537:M537"/>
    <mergeCell ref="N537:R537"/>
    <mergeCell ref="S537:W537"/>
    <mergeCell ref="X537:AB537"/>
    <mergeCell ref="AC537:AG537"/>
    <mergeCell ref="D536:H536"/>
    <mergeCell ref="I536:M536"/>
    <mergeCell ref="N536:R536"/>
    <mergeCell ref="S536:W536"/>
    <mergeCell ref="X536:AB536"/>
    <mergeCell ref="AC536:AG536"/>
    <mergeCell ref="D535:H535"/>
    <mergeCell ref="I535:M535"/>
    <mergeCell ref="N535:R535"/>
    <mergeCell ref="S535:W535"/>
    <mergeCell ref="X535:AB535"/>
    <mergeCell ref="AC535:AG535"/>
    <mergeCell ref="D538:H538"/>
    <mergeCell ref="I533:M533"/>
    <mergeCell ref="N533:R533"/>
    <mergeCell ref="D544:H544"/>
    <mergeCell ref="I544:M544"/>
    <mergeCell ref="N544:R544"/>
    <mergeCell ref="S544:W544"/>
    <mergeCell ref="X544:AB544"/>
    <mergeCell ref="AC544:AG544"/>
    <mergeCell ref="D542:H543"/>
    <mergeCell ref="I542:AG542"/>
    <mergeCell ref="I543:M543"/>
    <mergeCell ref="N543:R543"/>
    <mergeCell ref="S543:W543"/>
    <mergeCell ref="X543:AB543"/>
    <mergeCell ref="AC543:AG543"/>
    <mergeCell ref="D547:H547"/>
    <mergeCell ref="D545:H545"/>
    <mergeCell ref="I545:M545"/>
    <mergeCell ref="N545:R545"/>
    <mergeCell ref="S545:W545"/>
    <mergeCell ref="X545:AB545"/>
    <mergeCell ref="AC545:AG545"/>
    <mergeCell ref="D546:H546"/>
    <mergeCell ref="I546:M546"/>
    <mergeCell ref="N546:R546"/>
    <mergeCell ref="S546:W546"/>
    <mergeCell ref="X546:AB546"/>
    <mergeCell ref="AC546:AG546"/>
    <mergeCell ref="D548:H548"/>
    <mergeCell ref="I548:M548"/>
    <mergeCell ref="N548:R548"/>
    <mergeCell ref="S548:W548"/>
    <mergeCell ref="X548:AB548"/>
    <mergeCell ref="AC548:AG548"/>
    <mergeCell ref="I547:M547"/>
    <mergeCell ref="N547:R547"/>
    <mergeCell ref="S547:W547"/>
    <mergeCell ref="X547:AB547"/>
    <mergeCell ref="AC547:AG547"/>
    <mergeCell ref="D572:M572"/>
    <mergeCell ref="N572:W572"/>
    <mergeCell ref="X572:AG572"/>
    <mergeCell ref="D573:M573"/>
    <mergeCell ref="N573:W573"/>
    <mergeCell ref="X573:AG573"/>
    <mergeCell ref="D570:M570"/>
    <mergeCell ref="N570:W570"/>
    <mergeCell ref="X570:AG570"/>
    <mergeCell ref="D571:M571"/>
    <mergeCell ref="N571:W571"/>
    <mergeCell ref="X571:AG571"/>
    <mergeCell ref="D553:AG553"/>
    <mergeCell ref="D568:M568"/>
    <mergeCell ref="N568:W568"/>
    <mergeCell ref="X568:AG568"/>
    <mergeCell ref="D569:M569"/>
    <mergeCell ref="N569:W569"/>
    <mergeCell ref="X569:AG569"/>
    <mergeCell ref="D549:H549"/>
    <mergeCell ref="I549:M549"/>
    <mergeCell ref="D582:M582"/>
    <mergeCell ref="N582:W582"/>
    <mergeCell ref="X582:AG582"/>
    <mergeCell ref="D583:M583"/>
    <mergeCell ref="N583:W583"/>
    <mergeCell ref="X583:AG583"/>
    <mergeCell ref="D579:AG579"/>
    <mergeCell ref="D581:M581"/>
    <mergeCell ref="N581:W581"/>
    <mergeCell ref="X581:AG581"/>
    <mergeCell ref="D574:M574"/>
    <mergeCell ref="N574:W574"/>
    <mergeCell ref="X574:AG574"/>
    <mergeCell ref="D588:M588"/>
    <mergeCell ref="N588:W588"/>
    <mergeCell ref="X588:AG588"/>
    <mergeCell ref="D589:M589"/>
    <mergeCell ref="N589:W589"/>
    <mergeCell ref="X589:AG589"/>
    <mergeCell ref="D586:M586"/>
    <mergeCell ref="N586:W586"/>
    <mergeCell ref="X586:AG586"/>
    <mergeCell ref="D587:M587"/>
    <mergeCell ref="N587:W587"/>
    <mergeCell ref="X587:AG587"/>
    <mergeCell ref="D584:M584"/>
    <mergeCell ref="N584:W584"/>
    <mergeCell ref="X584:AG584"/>
    <mergeCell ref="D585:M585"/>
    <mergeCell ref="N585:W585"/>
    <mergeCell ref="X585:AG585"/>
    <mergeCell ref="D594:M594"/>
    <mergeCell ref="N594:W594"/>
    <mergeCell ref="X594:AG594"/>
    <mergeCell ref="D595:M595"/>
    <mergeCell ref="N595:W595"/>
    <mergeCell ref="X595:AG595"/>
    <mergeCell ref="D592:M592"/>
    <mergeCell ref="N592:W592"/>
    <mergeCell ref="X592:AG592"/>
    <mergeCell ref="D593:M593"/>
    <mergeCell ref="N593:W593"/>
    <mergeCell ref="X593:AG593"/>
    <mergeCell ref="D590:M590"/>
    <mergeCell ref="N590:W590"/>
    <mergeCell ref="X590:AG590"/>
    <mergeCell ref="D591:M591"/>
    <mergeCell ref="N591:W591"/>
    <mergeCell ref="X591:AG591"/>
    <mergeCell ref="D599:M599"/>
    <mergeCell ref="N599:W599"/>
    <mergeCell ref="X599:AG599"/>
    <mergeCell ref="D602:AG602"/>
    <mergeCell ref="D605:M605"/>
    <mergeCell ref="N605:W605"/>
    <mergeCell ref="X605:AG605"/>
    <mergeCell ref="D610:M610"/>
    <mergeCell ref="N610:W610"/>
    <mergeCell ref="X610:AG610"/>
    <mergeCell ref="D611:M611"/>
    <mergeCell ref="N611:W611"/>
    <mergeCell ref="X611:AG611"/>
    <mergeCell ref="D596:M596"/>
    <mergeCell ref="N596:W596"/>
    <mergeCell ref="X596:AG596"/>
    <mergeCell ref="D597:M597"/>
    <mergeCell ref="N597:W597"/>
    <mergeCell ref="X597:AG597"/>
    <mergeCell ref="D598:M598"/>
    <mergeCell ref="N598:W598"/>
    <mergeCell ref="X598:AG598"/>
    <mergeCell ref="D603:AG603"/>
    <mergeCell ref="N631:W631"/>
    <mergeCell ref="X631:AG631"/>
    <mergeCell ref="D608:M608"/>
    <mergeCell ref="N608:W608"/>
    <mergeCell ref="X608:AG608"/>
    <mergeCell ref="D609:M609"/>
    <mergeCell ref="N609:W609"/>
    <mergeCell ref="X609:AG609"/>
    <mergeCell ref="D617:AG617"/>
    <mergeCell ref="D619:J619"/>
    <mergeCell ref="K619:M619"/>
    <mergeCell ref="AD619:AG619"/>
    <mergeCell ref="D606:M606"/>
    <mergeCell ref="N606:W606"/>
    <mergeCell ref="X606:AG606"/>
    <mergeCell ref="D607:M607"/>
    <mergeCell ref="N607:W607"/>
    <mergeCell ref="X607:AG607"/>
    <mergeCell ref="D620:AG620"/>
    <mergeCell ref="D621:J621"/>
    <mergeCell ref="K621:M621"/>
    <mergeCell ref="N619:Q619"/>
    <mergeCell ref="R619:U619"/>
    <mergeCell ref="V619:Y619"/>
    <mergeCell ref="Z619:AC619"/>
    <mergeCell ref="N621:Q621"/>
    <mergeCell ref="R621:U621"/>
    <mergeCell ref="V621:Y621"/>
    <mergeCell ref="Z621:AC621"/>
    <mergeCell ref="N623:Q623"/>
    <mergeCell ref="R623:U623"/>
    <mergeCell ref="V623:Y623"/>
    <mergeCell ref="D635:M635"/>
    <mergeCell ref="N635:W635"/>
    <mergeCell ref="X635:AG635"/>
    <mergeCell ref="D612:M612"/>
    <mergeCell ref="N612:W612"/>
    <mergeCell ref="X612:AG612"/>
    <mergeCell ref="D636:M636"/>
    <mergeCell ref="N636:W636"/>
    <mergeCell ref="X636:AG636"/>
    <mergeCell ref="D637:M637"/>
    <mergeCell ref="N637:W637"/>
    <mergeCell ref="X637:AG637"/>
    <mergeCell ref="D634:M634"/>
    <mergeCell ref="N634:W634"/>
    <mergeCell ref="X634:AG634"/>
    <mergeCell ref="D622:AG622"/>
    <mergeCell ref="D623:J623"/>
    <mergeCell ref="K623:M623"/>
    <mergeCell ref="D627:AG627"/>
    <mergeCell ref="D629:M629"/>
    <mergeCell ref="N629:W629"/>
    <mergeCell ref="X629:AG629"/>
    <mergeCell ref="D633:M633"/>
    <mergeCell ref="N633:W633"/>
    <mergeCell ref="X633:AG633"/>
    <mergeCell ref="D632:M632"/>
    <mergeCell ref="N632:W632"/>
    <mergeCell ref="X632:AG632"/>
    <mergeCell ref="D630:M630"/>
    <mergeCell ref="N630:W630"/>
    <mergeCell ref="X630:AG630"/>
    <mergeCell ref="D631:M631"/>
    <mergeCell ref="D641:AG641"/>
    <mergeCell ref="D645:AG645"/>
    <mergeCell ref="Z667:AC667"/>
    <mergeCell ref="AD667:AG667"/>
    <mergeCell ref="D668:I668"/>
    <mergeCell ref="J668:M668"/>
    <mergeCell ref="N668:Q668"/>
    <mergeCell ref="R668:U668"/>
    <mergeCell ref="V668:Y668"/>
    <mergeCell ref="Z668:AC668"/>
    <mergeCell ref="AD668:AG668"/>
    <mergeCell ref="D662:AG662"/>
    <mergeCell ref="D664:AG664"/>
    <mergeCell ref="D666:I667"/>
    <mergeCell ref="J666:Q666"/>
    <mergeCell ref="R666:Y666"/>
    <mergeCell ref="Z666:AG666"/>
    <mergeCell ref="J667:M667"/>
    <mergeCell ref="D651:AG651"/>
    <mergeCell ref="D654:AG654"/>
    <mergeCell ref="D655:AG658"/>
    <mergeCell ref="N667:Q667"/>
    <mergeCell ref="R667:U667"/>
    <mergeCell ref="V667:Y667"/>
    <mergeCell ref="N677:Q677"/>
    <mergeCell ref="R677:U677"/>
    <mergeCell ref="V677:Y677"/>
    <mergeCell ref="Z677:AC677"/>
    <mergeCell ref="AD677:AG677"/>
    <mergeCell ref="D672:AG672"/>
    <mergeCell ref="D676:M677"/>
    <mergeCell ref="N676:Q676"/>
    <mergeCell ref="R676:Y676"/>
    <mergeCell ref="Z676:AG676"/>
    <mergeCell ref="D681:M681"/>
    <mergeCell ref="N681:Q681"/>
    <mergeCell ref="R681:U681"/>
    <mergeCell ref="V681:Y681"/>
    <mergeCell ref="Z681:AC681"/>
    <mergeCell ref="AD681:AG681"/>
    <mergeCell ref="D680:M680"/>
    <mergeCell ref="N680:Q680"/>
    <mergeCell ref="R680:U680"/>
    <mergeCell ref="V680:Y680"/>
    <mergeCell ref="Z680:AC680"/>
    <mergeCell ref="AD680:AG680"/>
    <mergeCell ref="D679:M679"/>
    <mergeCell ref="N679:Q679"/>
    <mergeCell ref="R679:U679"/>
    <mergeCell ref="V679:Y679"/>
    <mergeCell ref="Z679:AC679"/>
    <mergeCell ref="AD679:AG679"/>
    <mergeCell ref="D684:M684"/>
    <mergeCell ref="N684:Q684"/>
    <mergeCell ref="R684:U684"/>
    <mergeCell ref="V684:Y684"/>
    <mergeCell ref="Z684:AC684"/>
    <mergeCell ref="AD684:AG684"/>
    <mergeCell ref="D683:M683"/>
    <mergeCell ref="N683:Q683"/>
    <mergeCell ref="R683:U683"/>
    <mergeCell ref="V683:Y683"/>
    <mergeCell ref="Z683:AC683"/>
    <mergeCell ref="AD683:AG683"/>
    <mergeCell ref="D682:M682"/>
    <mergeCell ref="N682:Q682"/>
    <mergeCell ref="R682:U682"/>
    <mergeCell ref="V682:Y682"/>
    <mergeCell ref="Z682:AC682"/>
    <mergeCell ref="AD682:AG682"/>
    <mergeCell ref="D689:AG689"/>
    <mergeCell ref="D691:AG692"/>
    <mergeCell ref="D694:M695"/>
    <mergeCell ref="N694:W695"/>
    <mergeCell ref="X694:AG695"/>
    <mergeCell ref="D696:M696"/>
    <mergeCell ref="N696:W696"/>
    <mergeCell ref="X696:AG696"/>
    <mergeCell ref="D686:M686"/>
    <mergeCell ref="N686:Q686"/>
    <mergeCell ref="R686:U686"/>
    <mergeCell ref="V686:Y686"/>
    <mergeCell ref="Z686:AC686"/>
    <mergeCell ref="AD686:AG686"/>
    <mergeCell ref="D685:M685"/>
    <mergeCell ref="N685:Q685"/>
    <mergeCell ref="R685:U685"/>
    <mergeCell ref="V685:Y685"/>
    <mergeCell ref="Z685:AC685"/>
    <mergeCell ref="AD685:AG685"/>
    <mergeCell ref="D701:M701"/>
    <mergeCell ref="N701:W701"/>
    <mergeCell ref="X701:AG701"/>
    <mergeCell ref="D699:M699"/>
    <mergeCell ref="N699:W699"/>
    <mergeCell ref="X699:AG699"/>
    <mergeCell ref="D700:M700"/>
    <mergeCell ref="N700:W700"/>
    <mergeCell ref="X700:AG700"/>
    <mergeCell ref="D697:M697"/>
    <mergeCell ref="N697:W697"/>
    <mergeCell ref="X697:AG697"/>
    <mergeCell ref="D698:M698"/>
    <mergeCell ref="N698:W698"/>
    <mergeCell ref="X698:AG698"/>
    <mergeCell ref="D706:M706"/>
    <mergeCell ref="N706:W706"/>
    <mergeCell ref="X706:AG706"/>
    <mergeCell ref="D704:M704"/>
    <mergeCell ref="N704:W704"/>
    <mergeCell ref="X704:AG704"/>
    <mergeCell ref="D705:M705"/>
    <mergeCell ref="N705:W705"/>
    <mergeCell ref="X705:AG705"/>
    <mergeCell ref="D702:M702"/>
    <mergeCell ref="N702:W702"/>
    <mergeCell ref="X702:AG702"/>
    <mergeCell ref="D703:M703"/>
    <mergeCell ref="N703:W703"/>
    <mergeCell ref="X703:AG703"/>
    <mergeCell ref="D707:M707"/>
    <mergeCell ref="N707:W707"/>
    <mergeCell ref="X707:AG707"/>
    <mergeCell ref="D708:M708"/>
    <mergeCell ref="N708:W708"/>
    <mergeCell ref="X708:AG708"/>
    <mergeCell ref="D719:M719"/>
    <mergeCell ref="N719:W719"/>
    <mergeCell ref="X719:AG719"/>
    <mergeCell ref="D720:M720"/>
    <mergeCell ref="N720:W720"/>
    <mergeCell ref="X720:AG720"/>
    <mergeCell ref="D717:M717"/>
    <mergeCell ref="N717:W717"/>
    <mergeCell ref="X717:AG717"/>
    <mergeCell ref="D718:M718"/>
    <mergeCell ref="N718:W718"/>
    <mergeCell ref="X718:AG718"/>
    <mergeCell ref="D715:M715"/>
    <mergeCell ref="N715:W715"/>
    <mergeCell ref="X715:AG715"/>
    <mergeCell ref="D716:M716"/>
    <mergeCell ref="N716:W716"/>
    <mergeCell ref="X716:AG716"/>
    <mergeCell ref="D730:M730"/>
    <mergeCell ref="N730:W730"/>
    <mergeCell ref="X730:AG730"/>
    <mergeCell ref="D731:M731"/>
    <mergeCell ref="N731:W731"/>
    <mergeCell ref="X731:AG731"/>
    <mergeCell ref="D723:AG723"/>
    <mergeCell ref="D725:AG725"/>
    <mergeCell ref="D727:M728"/>
    <mergeCell ref="N727:W728"/>
    <mergeCell ref="X727:AG728"/>
    <mergeCell ref="D729:M729"/>
    <mergeCell ref="N729:W729"/>
    <mergeCell ref="X729:AG729"/>
    <mergeCell ref="D710:AG710"/>
    <mergeCell ref="D712:M713"/>
    <mergeCell ref="N712:W713"/>
    <mergeCell ref="X712:AG713"/>
    <mergeCell ref="D714:M714"/>
    <mergeCell ref="N714:W714"/>
    <mergeCell ref="X714:AG714"/>
    <mergeCell ref="D732:M732"/>
    <mergeCell ref="N732:W732"/>
    <mergeCell ref="X732:AG732"/>
    <mergeCell ref="D733:M733"/>
    <mergeCell ref="N733:W733"/>
    <mergeCell ref="X733:AG733"/>
    <mergeCell ref="X741:AG741"/>
    <mergeCell ref="X742:AG742"/>
    <mergeCell ref="X743:AG743"/>
    <mergeCell ref="X744:AG744"/>
    <mergeCell ref="X745:AG745"/>
    <mergeCell ref="D736:M736"/>
    <mergeCell ref="N736:W736"/>
    <mergeCell ref="X736:AG736"/>
    <mergeCell ref="D737:M737"/>
    <mergeCell ref="N737:W737"/>
    <mergeCell ref="X737:AG737"/>
    <mergeCell ref="D734:M734"/>
    <mergeCell ref="N734:W734"/>
    <mergeCell ref="X734:AG734"/>
    <mergeCell ref="D735:M735"/>
    <mergeCell ref="N735:W735"/>
    <mergeCell ref="X735:AG735"/>
    <mergeCell ref="D741:M741"/>
    <mergeCell ref="D742:M742"/>
    <mergeCell ref="D756:M756"/>
    <mergeCell ref="N756:W756"/>
    <mergeCell ref="X756:AG756"/>
    <mergeCell ref="D743:M743"/>
    <mergeCell ref="D744:M744"/>
    <mergeCell ref="D745:M745"/>
    <mergeCell ref="N738:W738"/>
    <mergeCell ref="N739:W739"/>
    <mergeCell ref="N740:W740"/>
    <mergeCell ref="N741:W741"/>
    <mergeCell ref="N742:W742"/>
    <mergeCell ref="N743:W743"/>
    <mergeCell ref="N744:W744"/>
    <mergeCell ref="N745:W745"/>
    <mergeCell ref="X738:AG738"/>
    <mergeCell ref="X739:AG739"/>
    <mergeCell ref="X740:AG740"/>
    <mergeCell ref="D747:M747"/>
    <mergeCell ref="N747:W747"/>
    <mergeCell ref="X747:AG747"/>
    <mergeCell ref="D748:M748"/>
    <mergeCell ref="D749:M749"/>
    <mergeCell ref="N748:W748"/>
    <mergeCell ref="N749:W749"/>
    <mergeCell ref="X748:AG748"/>
    <mergeCell ref="X749:AG749"/>
    <mergeCell ref="D738:M738"/>
    <mergeCell ref="D739:M739"/>
    <mergeCell ref="D740:M740"/>
    <mergeCell ref="D746:M746"/>
    <mergeCell ref="N746:W746"/>
    <mergeCell ref="X746:AG746"/>
    <mergeCell ref="N765:W765"/>
    <mergeCell ref="X765:AG765"/>
    <mergeCell ref="D763:M763"/>
    <mergeCell ref="N763:W763"/>
    <mergeCell ref="X763:AG763"/>
    <mergeCell ref="D764:M764"/>
    <mergeCell ref="N764:W764"/>
    <mergeCell ref="X764:AG764"/>
    <mergeCell ref="N753:W753"/>
    <mergeCell ref="X753:AG753"/>
    <mergeCell ref="D753:M753"/>
    <mergeCell ref="D751:M751"/>
    <mergeCell ref="N751:W751"/>
    <mergeCell ref="X751:AG751"/>
    <mergeCell ref="D752:M752"/>
    <mergeCell ref="N752:W752"/>
    <mergeCell ref="X752:AG752"/>
    <mergeCell ref="D757:M757"/>
    <mergeCell ref="N757:W757"/>
    <mergeCell ref="X757:AG757"/>
    <mergeCell ref="D754:M754"/>
    <mergeCell ref="N754:W754"/>
    <mergeCell ref="X754:AG754"/>
    <mergeCell ref="D755:M755"/>
    <mergeCell ref="N755:W755"/>
    <mergeCell ref="X755:AG755"/>
    <mergeCell ref="D750:M750"/>
    <mergeCell ref="N750:W750"/>
    <mergeCell ref="X750:AG750"/>
    <mergeCell ref="D789:AG789"/>
    <mergeCell ref="D791:I793"/>
    <mergeCell ref="J791:U792"/>
    <mergeCell ref="V791:AG792"/>
    <mergeCell ref="J793:M793"/>
    <mergeCell ref="N793:Q793"/>
    <mergeCell ref="R793:U793"/>
    <mergeCell ref="V793:Y793"/>
    <mergeCell ref="Z793:AC793"/>
    <mergeCell ref="AD793:AG793"/>
    <mergeCell ref="AD796:AG796"/>
    <mergeCell ref="D797:I797"/>
    <mergeCell ref="J797:M797"/>
    <mergeCell ref="N797:Q797"/>
    <mergeCell ref="R797:U797"/>
    <mergeCell ref="V797:Y797"/>
    <mergeCell ref="Z797:AC797"/>
    <mergeCell ref="AD797:AG797"/>
    <mergeCell ref="D796:I796"/>
    <mergeCell ref="J796:M796"/>
    <mergeCell ref="N796:Q796"/>
    <mergeCell ref="R796:U796"/>
    <mergeCell ref="V796:Y796"/>
    <mergeCell ref="Z796:AC796"/>
    <mergeCell ref="AD794:AG794"/>
    <mergeCell ref="D795:I795"/>
    <mergeCell ref="J795:M795"/>
    <mergeCell ref="N795:Q795"/>
    <mergeCell ref="R795:U795"/>
    <mergeCell ref="V795:Y795"/>
    <mergeCell ref="Z795:AC795"/>
    <mergeCell ref="AD795:AG795"/>
    <mergeCell ref="D794:I794"/>
    <mergeCell ref="J794:M794"/>
    <mergeCell ref="N794:Q794"/>
    <mergeCell ref="R794:U794"/>
    <mergeCell ref="V794:Y794"/>
    <mergeCell ref="Z794:AC794"/>
    <mergeCell ref="AD800:AG800"/>
    <mergeCell ref="D801:I801"/>
    <mergeCell ref="J801:M801"/>
    <mergeCell ref="N801:Q801"/>
    <mergeCell ref="R801:U801"/>
    <mergeCell ref="V801:Y801"/>
    <mergeCell ref="Z801:AC801"/>
    <mergeCell ref="AD801:AG801"/>
    <mergeCell ref="D800:I800"/>
    <mergeCell ref="J800:M800"/>
    <mergeCell ref="N800:Q800"/>
    <mergeCell ref="R800:U800"/>
    <mergeCell ref="V800:Y800"/>
    <mergeCell ref="Z800:AC800"/>
    <mergeCell ref="AD798:AG798"/>
    <mergeCell ref="D799:I799"/>
    <mergeCell ref="J799:M799"/>
    <mergeCell ref="N799:Q799"/>
    <mergeCell ref="R799:U799"/>
    <mergeCell ref="V799:Y799"/>
    <mergeCell ref="Z799:AC799"/>
    <mergeCell ref="AD799:AG799"/>
    <mergeCell ref="D798:I798"/>
    <mergeCell ref="J798:M798"/>
    <mergeCell ref="N798:Q798"/>
    <mergeCell ref="R798:U798"/>
    <mergeCell ref="V798:Y798"/>
    <mergeCell ref="Z798:AC798"/>
    <mergeCell ref="AD804:AG804"/>
    <mergeCell ref="D805:I805"/>
    <mergeCell ref="J805:M805"/>
    <mergeCell ref="N805:Q805"/>
    <mergeCell ref="R805:U805"/>
    <mergeCell ref="V805:Y805"/>
    <mergeCell ref="Z805:AC805"/>
    <mergeCell ref="AD805:AG805"/>
    <mergeCell ref="D804:I804"/>
    <mergeCell ref="J804:M804"/>
    <mergeCell ref="N804:Q804"/>
    <mergeCell ref="R804:U804"/>
    <mergeCell ref="V804:Y804"/>
    <mergeCell ref="Z804:AC804"/>
    <mergeCell ref="AD802:AG802"/>
    <mergeCell ref="D803:I803"/>
    <mergeCell ref="J803:M803"/>
    <mergeCell ref="N803:Q803"/>
    <mergeCell ref="R803:U803"/>
    <mergeCell ref="V803:Y803"/>
    <mergeCell ref="Z803:AC803"/>
    <mergeCell ref="AD803:AG803"/>
    <mergeCell ref="D802:I802"/>
    <mergeCell ref="J802:M802"/>
    <mergeCell ref="N802:Q802"/>
    <mergeCell ref="R802:U802"/>
    <mergeCell ref="V802:Y802"/>
    <mergeCell ref="Z802:AC802"/>
    <mergeCell ref="D808:AG808"/>
    <mergeCell ref="D810:AG810"/>
    <mergeCell ref="N832:Q832"/>
    <mergeCell ref="R832:U832"/>
    <mergeCell ref="V832:Y832"/>
    <mergeCell ref="Z832:AC832"/>
    <mergeCell ref="R831:U831"/>
    <mergeCell ref="V831:Y831"/>
    <mergeCell ref="Z831:AC831"/>
    <mergeCell ref="AD831:AG831"/>
    <mergeCell ref="N836:Q836"/>
    <mergeCell ref="R836:U836"/>
    <mergeCell ref="V836:Y836"/>
    <mergeCell ref="Z836:AC836"/>
    <mergeCell ref="N835:Q835"/>
    <mergeCell ref="R835:U835"/>
    <mergeCell ref="V835:Y835"/>
    <mergeCell ref="Z835:AC835"/>
    <mergeCell ref="N834:Q834"/>
    <mergeCell ref="R834:U834"/>
    <mergeCell ref="V834:Y834"/>
    <mergeCell ref="Z834:AC834"/>
    <mergeCell ref="N833:Q833"/>
    <mergeCell ref="R833:U833"/>
    <mergeCell ref="V833:Y833"/>
    <mergeCell ref="Z833:AC833"/>
    <mergeCell ref="D814:AG814"/>
    <mergeCell ref="D816:L817"/>
    <mergeCell ref="M816:Q817"/>
    <mergeCell ref="R816:AG816"/>
    <mergeCell ref="R817:Y817"/>
    <mergeCell ref="Z817:AG817"/>
    <mergeCell ref="N839:Q839"/>
    <mergeCell ref="R839:U839"/>
    <mergeCell ref="V839:Y839"/>
    <mergeCell ref="Z839:AC839"/>
    <mergeCell ref="N838:Q838"/>
    <mergeCell ref="R838:U838"/>
    <mergeCell ref="V838:Y838"/>
    <mergeCell ref="Z838:AC838"/>
    <mergeCell ref="D822:L822"/>
    <mergeCell ref="M822:Q822"/>
    <mergeCell ref="R822:Y822"/>
    <mergeCell ref="Z822:AG822"/>
    <mergeCell ref="D823:L823"/>
    <mergeCell ref="M823:Q823"/>
    <mergeCell ref="R823:Y823"/>
    <mergeCell ref="Z823:AG823"/>
    <mergeCell ref="D820:L820"/>
    <mergeCell ref="M820:Q820"/>
    <mergeCell ref="R820:Y820"/>
    <mergeCell ref="Z820:AG820"/>
    <mergeCell ref="D821:L821"/>
    <mergeCell ref="M821:Q821"/>
    <mergeCell ref="R821:Y821"/>
    <mergeCell ref="Z821:AG821"/>
    <mergeCell ref="D833:M833"/>
    <mergeCell ref="AD833:AG833"/>
    <mergeCell ref="D839:M839"/>
    <mergeCell ref="AD839:AG839"/>
    <mergeCell ref="D836:M836"/>
    <mergeCell ref="AD836:AG836"/>
    <mergeCell ref="D838:M838"/>
    <mergeCell ref="AD838:AG838"/>
    <mergeCell ref="D818:L818"/>
    <mergeCell ref="M818:Q818"/>
    <mergeCell ref="R818:Y818"/>
    <mergeCell ref="Z818:AG818"/>
    <mergeCell ref="R842:U842"/>
    <mergeCell ref="V842:Y842"/>
    <mergeCell ref="Z842:AC842"/>
    <mergeCell ref="AD842:AG842"/>
    <mergeCell ref="D819:L819"/>
    <mergeCell ref="M819:Q819"/>
    <mergeCell ref="R819:Y819"/>
    <mergeCell ref="Z819:AG819"/>
    <mergeCell ref="D827:AG827"/>
    <mergeCell ref="D829:M830"/>
    <mergeCell ref="N829:AG829"/>
    <mergeCell ref="N830:Q830"/>
    <mergeCell ref="R830:U830"/>
    <mergeCell ref="V830:Y830"/>
    <mergeCell ref="Z830:AC830"/>
    <mergeCell ref="AD830:AG830"/>
    <mergeCell ref="D824:L824"/>
    <mergeCell ref="M824:Q824"/>
    <mergeCell ref="R824:Y824"/>
    <mergeCell ref="Z824:AG824"/>
    <mergeCell ref="D832:M832"/>
    <mergeCell ref="AD832:AG832"/>
    <mergeCell ref="D831:M831"/>
    <mergeCell ref="N831:Q831"/>
    <mergeCell ref="D835:M835"/>
    <mergeCell ref="AD835:AG835"/>
    <mergeCell ref="D834:M834"/>
    <mergeCell ref="AD834:AG834"/>
    <mergeCell ref="D842:M842"/>
    <mergeCell ref="N842:Q842"/>
    <mergeCell ref="D845:M845"/>
    <mergeCell ref="N845:Q845"/>
    <mergeCell ref="R845:U845"/>
    <mergeCell ref="V845:Y845"/>
    <mergeCell ref="Z845:AC845"/>
    <mergeCell ref="AD845:AG845"/>
    <mergeCell ref="D844:M844"/>
    <mergeCell ref="N844:Q844"/>
    <mergeCell ref="R844:U844"/>
    <mergeCell ref="V844:Y844"/>
    <mergeCell ref="Z844:AC844"/>
    <mergeCell ref="AD844:AG844"/>
    <mergeCell ref="D843:M843"/>
    <mergeCell ref="N843:Q843"/>
    <mergeCell ref="R843:U843"/>
    <mergeCell ref="V843:Y843"/>
    <mergeCell ref="Z843:AC843"/>
    <mergeCell ref="AD843:AG843"/>
    <mergeCell ref="D846:M846"/>
    <mergeCell ref="N846:Q846"/>
    <mergeCell ref="R846:U846"/>
    <mergeCell ref="V846:Y846"/>
    <mergeCell ref="Z846:AC846"/>
    <mergeCell ref="AD846:AG846"/>
    <mergeCell ref="D852:M852"/>
    <mergeCell ref="N852:Q852"/>
    <mergeCell ref="R852:U852"/>
    <mergeCell ref="V852:Y852"/>
    <mergeCell ref="Z852:AC852"/>
    <mergeCell ref="AD852:AG852"/>
    <mergeCell ref="D851:M851"/>
    <mergeCell ref="N851:Q851"/>
    <mergeCell ref="R851:U851"/>
    <mergeCell ref="V851:Y851"/>
    <mergeCell ref="Z851:AC851"/>
    <mergeCell ref="AD851:AG851"/>
    <mergeCell ref="D849:M850"/>
    <mergeCell ref="N849:AG849"/>
    <mergeCell ref="N850:Q850"/>
    <mergeCell ref="R850:U850"/>
    <mergeCell ref="V850:Y850"/>
    <mergeCell ref="Z850:AC850"/>
    <mergeCell ref="AD850:AG850"/>
    <mergeCell ref="D855:M855"/>
    <mergeCell ref="N855:Q855"/>
    <mergeCell ref="R855:U855"/>
    <mergeCell ref="V855:Y855"/>
    <mergeCell ref="Z855:AC855"/>
    <mergeCell ref="AD855:AG855"/>
    <mergeCell ref="D854:M854"/>
    <mergeCell ref="N854:Q854"/>
    <mergeCell ref="R854:U854"/>
    <mergeCell ref="V854:Y854"/>
    <mergeCell ref="Z854:AC854"/>
    <mergeCell ref="AD854:AG854"/>
    <mergeCell ref="D853:M853"/>
    <mergeCell ref="N853:Q853"/>
    <mergeCell ref="R853:U853"/>
    <mergeCell ref="V853:Y853"/>
    <mergeCell ref="Z853:AC853"/>
    <mergeCell ref="AD853:AG853"/>
    <mergeCell ref="N859:Q859"/>
    <mergeCell ref="R859:U859"/>
    <mergeCell ref="V859:Y859"/>
    <mergeCell ref="Z859:AC859"/>
    <mergeCell ref="AD859:AG859"/>
    <mergeCell ref="D857:M857"/>
    <mergeCell ref="N857:Q857"/>
    <mergeCell ref="R857:U857"/>
    <mergeCell ref="V857:Y857"/>
    <mergeCell ref="Z857:AC857"/>
    <mergeCell ref="AD857:AG857"/>
    <mergeCell ref="D856:M856"/>
    <mergeCell ref="N856:Q856"/>
    <mergeCell ref="R856:U856"/>
    <mergeCell ref="V856:Y856"/>
    <mergeCell ref="Z856:AC856"/>
    <mergeCell ref="AD856:AG856"/>
    <mergeCell ref="D858:M858"/>
    <mergeCell ref="N858:Q858"/>
    <mergeCell ref="R858:U858"/>
    <mergeCell ref="V858:Y858"/>
    <mergeCell ref="Z858:AC858"/>
    <mergeCell ref="AD858:AG858"/>
    <mergeCell ref="V866:Y866"/>
    <mergeCell ref="Z866:AC866"/>
    <mergeCell ref="AD866:AG866"/>
    <mergeCell ref="D863:M863"/>
    <mergeCell ref="N863:Q863"/>
    <mergeCell ref="R863:U863"/>
    <mergeCell ref="V863:Y863"/>
    <mergeCell ref="Z863:AC863"/>
    <mergeCell ref="AD863:AG863"/>
    <mergeCell ref="D862:M862"/>
    <mergeCell ref="N862:Q862"/>
    <mergeCell ref="R862:U862"/>
    <mergeCell ref="V862:Y862"/>
    <mergeCell ref="Z862:AC862"/>
    <mergeCell ref="AD862:AG862"/>
    <mergeCell ref="D865:M865"/>
    <mergeCell ref="N865:Q865"/>
    <mergeCell ref="R865:U865"/>
    <mergeCell ref="V865:Y865"/>
    <mergeCell ref="Z865:AC865"/>
    <mergeCell ref="AD865:AG865"/>
    <mergeCell ref="D864:M864"/>
    <mergeCell ref="N864:Q864"/>
    <mergeCell ref="R864:U864"/>
    <mergeCell ref="V864:Y864"/>
    <mergeCell ref="Z864:AC864"/>
    <mergeCell ref="AD864:AG864"/>
    <mergeCell ref="X555:AG555"/>
    <mergeCell ref="D556:M556"/>
    <mergeCell ref="N556:W556"/>
    <mergeCell ref="X556:AG556"/>
    <mergeCell ref="D557:M557"/>
    <mergeCell ref="N557:W557"/>
    <mergeCell ref="X557:AG557"/>
    <mergeCell ref="D558:M558"/>
    <mergeCell ref="N558:W558"/>
    <mergeCell ref="X558:AG558"/>
    <mergeCell ref="D559:M559"/>
    <mergeCell ref="N559:W559"/>
    <mergeCell ref="X559:AG559"/>
    <mergeCell ref="D873:AG873"/>
    <mergeCell ref="D877:AG878"/>
    <mergeCell ref="D869:AG869"/>
    <mergeCell ref="D861:M861"/>
    <mergeCell ref="N861:Q861"/>
    <mergeCell ref="R861:U861"/>
    <mergeCell ref="V861:Y861"/>
    <mergeCell ref="Z861:AC861"/>
    <mergeCell ref="AD861:AG861"/>
    <mergeCell ref="D860:M860"/>
    <mergeCell ref="N860:Q860"/>
    <mergeCell ref="R860:U860"/>
    <mergeCell ref="V860:Y860"/>
    <mergeCell ref="Z860:AC860"/>
    <mergeCell ref="AD860:AG860"/>
    <mergeCell ref="D859:M859"/>
    <mergeCell ref="D866:M866"/>
    <mergeCell ref="N866:Q866"/>
    <mergeCell ref="R866:U866"/>
    <mergeCell ref="D15:AG15"/>
    <mergeCell ref="D274:AG275"/>
    <mergeCell ref="D276:AG280"/>
    <mergeCell ref="D281:AG281"/>
    <mergeCell ref="D347:I347"/>
    <mergeCell ref="D348:I348"/>
    <mergeCell ref="J347:N347"/>
    <mergeCell ref="J348:N348"/>
    <mergeCell ref="D346:I346"/>
    <mergeCell ref="O346:R346"/>
    <mergeCell ref="O347:R347"/>
    <mergeCell ref="O348:R348"/>
    <mergeCell ref="J346:N346"/>
    <mergeCell ref="D345:R345"/>
    <mergeCell ref="Y261:AA261"/>
    <mergeCell ref="AB261:AD261"/>
    <mergeCell ref="AE261:AG261"/>
    <mergeCell ref="AE258:AG258"/>
    <mergeCell ref="D259:I259"/>
    <mergeCell ref="J259:L259"/>
    <mergeCell ref="M259:O259"/>
    <mergeCell ref="P259:R259"/>
    <mergeCell ref="S259:U259"/>
    <mergeCell ref="V259:X259"/>
    <mergeCell ref="Y259:AA259"/>
    <mergeCell ref="AF334:AH334"/>
    <mergeCell ref="D337:R337"/>
    <mergeCell ref="S337:AG337"/>
    <mergeCell ref="T333:V333"/>
    <mergeCell ref="W333:Y333"/>
    <mergeCell ref="Z333:AB333"/>
    <mergeCell ref="AC333:AE333"/>
    <mergeCell ref="AB259:AD259"/>
    <mergeCell ref="AE259:AG259"/>
    <mergeCell ref="T327:V327"/>
    <mergeCell ref="T334:V334"/>
    <mergeCell ref="W334:Y334"/>
    <mergeCell ref="Z334:AB334"/>
    <mergeCell ref="AC334:AE334"/>
    <mergeCell ref="D786:O786"/>
    <mergeCell ref="P786:X786"/>
    <mergeCell ref="Y786:AG786"/>
    <mergeCell ref="D787:O787"/>
    <mergeCell ref="P787:X787"/>
    <mergeCell ref="Y787:AG787"/>
    <mergeCell ref="D777:AG777"/>
    <mergeCell ref="D779:AG779"/>
    <mergeCell ref="D781:O781"/>
    <mergeCell ref="P781:X781"/>
    <mergeCell ref="Y781:AG781"/>
    <mergeCell ref="D782:O782"/>
    <mergeCell ref="P782:X782"/>
    <mergeCell ref="Y782:AG782"/>
    <mergeCell ref="D783:O783"/>
    <mergeCell ref="P783:X783"/>
    <mergeCell ref="Y783:AG783"/>
    <mergeCell ref="D784:O784"/>
    <mergeCell ref="P784:X784"/>
    <mergeCell ref="Y784:AG784"/>
    <mergeCell ref="D785:O785"/>
    <mergeCell ref="P785:X785"/>
    <mergeCell ref="Y785:AG785"/>
    <mergeCell ref="D555:M555"/>
    <mergeCell ref="N555:W555"/>
    <mergeCell ref="D775:M775"/>
    <mergeCell ref="N775:W775"/>
    <mergeCell ref="X775:AG775"/>
    <mergeCell ref="D761:M761"/>
    <mergeCell ref="N761:W761"/>
    <mergeCell ref="X761:AG761"/>
    <mergeCell ref="D762:M762"/>
    <mergeCell ref="N762:W762"/>
    <mergeCell ref="X762:AG762"/>
    <mergeCell ref="D758:M759"/>
    <mergeCell ref="N758:W759"/>
    <mergeCell ref="X758:AG759"/>
    <mergeCell ref="D760:M760"/>
    <mergeCell ref="N760:W760"/>
    <mergeCell ref="X760:AG760"/>
    <mergeCell ref="D765:M765"/>
    <mergeCell ref="N560:W560"/>
    <mergeCell ref="X560:AG560"/>
    <mergeCell ref="D561:M561"/>
    <mergeCell ref="N561:W561"/>
    <mergeCell ref="X561:AG561"/>
    <mergeCell ref="D562:M562"/>
    <mergeCell ref="N562:W562"/>
    <mergeCell ref="X562:AG562"/>
    <mergeCell ref="D563:M563"/>
    <mergeCell ref="N563:W563"/>
    <mergeCell ref="X563:AG563"/>
    <mergeCell ref="D564:M564"/>
    <mergeCell ref="N564:W564"/>
    <mergeCell ref="X564:AG564"/>
    <mergeCell ref="D565:M565"/>
    <mergeCell ref="N565:W565"/>
    <mergeCell ref="D387:AG387"/>
    <mergeCell ref="D566:M566"/>
    <mergeCell ref="N566:W566"/>
    <mergeCell ref="X566:AG566"/>
    <mergeCell ref="D768:AG768"/>
    <mergeCell ref="D770:M771"/>
    <mergeCell ref="N770:W771"/>
    <mergeCell ref="X770:AG771"/>
    <mergeCell ref="D772:M772"/>
    <mergeCell ref="N772:W772"/>
    <mergeCell ref="X772:AG772"/>
    <mergeCell ref="D773:M773"/>
    <mergeCell ref="N773:W773"/>
    <mergeCell ref="X773:AG773"/>
    <mergeCell ref="D774:M774"/>
    <mergeCell ref="N774:W774"/>
    <mergeCell ref="X774:AG774"/>
    <mergeCell ref="X565:AG565"/>
    <mergeCell ref="D560:M560"/>
    <mergeCell ref="D476:AG476"/>
    <mergeCell ref="D478:M478"/>
    <mergeCell ref="N478:W478"/>
    <mergeCell ref="X478:AG478"/>
    <mergeCell ref="D479:M479"/>
    <mergeCell ref="N479:W479"/>
    <mergeCell ref="X479:AG479"/>
    <mergeCell ref="D482:M482"/>
    <mergeCell ref="N482:W482"/>
    <mergeCell ref="X482:AG482"/>
    <mergeCell ref="D483:M483"/>
    <mergeCell ref="N483:W483"/>
    <mergeCell ref="X483:AG483"/>
  </mergeCells>
  <pageMargins left="0.70866141732283472" right="0.23622047244094491" top="0.31496062992125984" bottom="0.98425196850393704" header="0.31496062992125984" footer="0.15748031496062992"/>
  <pageSetup paperSize="9" scale="82" firstPageNumber="13" fitToHeight="0" orientation="portrait" blackAndWhite="1" useFirstPageNumber="1" r:id="rId1"/>
  <headerFooter>
    <oddFooter>&amp;C&amp;P
The accompanying balance sheet, income statement and notes are an integral part of these financial statements.
THIS IS A TRANSLATION OF THE ORIGINAL SLOVAK DOCUMENT.</oddFooter>
  </headerFooter>
  <rowBreaks count="16" manualBreakCount="16">
    <brk id="70" min="1" max="33" man="1"/>
    <brk id="145" min="1" max="33" man="1"/>
    <brk id="182" min="1" max="33" man="1"/>
    <brk id="240" min="1" max="33" man="1"/>
    <brk id="282" min="1" max="33" man="1"/>
    <brk id="339" min="1" max="33" man="1"/>
    <brk id="396" min="1" max="33" man="1"/>
    <brk id="442" min="1" max="33" man="1"/>
    <brk id="466" min="1" max="33" man="1"/>
    <brk id="521" min="1" max="33" man="1"/>
    <brk id="575" min="1" max="33" man="1"/>
    <brk id="638" min="1" max="33" man="1"/>
    <brk id="688" min="1" max="33" man="1"/>
    <brk id="745" min="1" max="33" man="1"/>
    <brk id="788" min="1" max="33" man="1"/>
    <brk id="848" min="1" max="33" man="1"/>
  </rowBreaks>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B1:H97"/>
  <sheetViews>
    <sheetView showGridLines="0" topLeftCell="A43" zoomScale="70" zoomScaleNormal="70" workbookViewId="0">
      <selection activeCell="D26" sqref="D26"/>
    </sheetView>
  </sheetViews>
  <sheetFormatPr defaultColWidth="9.140625" defaultRowHeight="18"/>
  <cols>
    <col min="1" max="1" width="5.140625" style="983" customWidth="1"/>
    <col min="2" max="2" width="10.42578125" style="983" customWidth="1"/>
    <col min="3" max="3" width="115" style="981" customWidth="1"/>
    <col min="4" max="4" width="20.5703125" style="982" bestFit="1" customWidth="1"/>
    <col min="5" max="5" width="22.28515625" style="982" bestFit="1" customWidth="1"/>
    <col min="6" max="6" width="5.140625" style="983" customWidth="1"/>
    <col min="7" max="16384" width="9.140625" style="983"/>
  </cols>
  <sheetData>
    <row r="1" spans="2:8">
      <c r="B1" s="980" t="s">
        <v>2886</v>
      </c>
    </row>
    <row r="2" spans="2:8">
      <c r="B2" s="980"/>
    </row>
    <row r="3" spans="2:8" s="980" customFormat="1">
      <c r="B3" s="2650" t="s">
        <v>2117</v>
      </c>
      <c r="C3" s="2650" t="s">
        <v>1740</v>
      </c>
      <c r="D3" s="2653" t="s">
        <v>2118</v>
      </c>
      <c r="E3" s="2654"/>
    </row>
    <row r="4" spans="2:8" s="980" customFormat="1">
      <c r="B4" s="2651"/>
      <c r="C4" s="2651"/>
      <c r="D4" s="984" t="s">
        <v>2119</v>
      </c>
      <c r="E4" s="984" t="s">
        <v>2120</v>
      </c>
    </row>
    <row r="5" spans="2:8" s="980" customFormat="1">
      <c r="B5" s="2652"/>
      <c r="C5" s="2652"/>
      <c r="D5" s="985" t="s">
        <v>679</v>
      </c>
      <c r="E5" s="985" t="s">
        <v>679</v>
      </c>
      <c r="H5" s="986"/>
    </row>
    <row r="6" spans="2:8" s="991" customFormat="1">
      <c r="B6" s="987" t="s">
        <v>2121</v>
      </c>
      <c r="C6" s="988"/>
      <c r="D6" s="989"/>
      <c r="E6" s="990"/>
      <c r="H6" s="986"/>
    </row>
    <row r="7" spans="2:8" s="980" customFormat="1">
      <c r="B7" s="992" t="s">
        <v>984</v>
      </c>
      <c r="C7" s="993" t="s">
        <v>2122</v>
      </c>
      <c r="D7" s="994">
        <f>'Cash Flow SK'!D11</f>
        <v>212837</v>
      </c>
      <c r="E7" s="994">
        <f>'Cash Flow SK'!E11</f>
        <v>338656</v>
      </c>
      <c r="H7" s="986"/>
    </row>
    <row r="8" spans="2:8" s="991" customFormat="1">
      <c r="B8" s="995"/>
      <c r="C8" s="996"/>
      <c r="D8" s="997">
        <f>'Cash Flow SK'!D12</f>
        <v>0</v>
      </c>
      <c r="E8" s="997">
        <f>'Cash Flow SK'!E12</f>
        <v>0</v>
      </c>
      <c r="H8" s="986"/>
    </row>
    <row r="9" spans="2:8" ht="36">
      <c r="B9" s="963" t="s">
        <v>985</v>
      </c>
      <c r="C9" s="961" t="s">
        <v>2718</v>
      </c>
      <c r="D9" s="997">
        <f>'Cash Flow SK'!D13</f>
        <v>471804</v>
      </c>
      <c r="E9" s="997">
        <f>'Cash Flow SK'!E13</f>
        <v>396069</v>
      </c>
      <c r="H9" s="998"/>
    </row>
    <row r="10" spans="2:8">
      <c r="B10" s="963" t="s">
        <v>986</v>
      </c>
      <c r="C10" s="961" t="s">
        <v>2123</v>
      </c>
      <c r="D10" s="997">
        <f>'Cash Flow SK'!D14</f>
        <v>406478</v>
      </c>
      <c r="E10" s="997">
        <f>'Cash Flow SK'!E14</f>
        <v>403395</v>
      </c>
      <c r="H10" s="998"/>
    </row>
    <row r="11" spans="2:8" ht="36">
      <c r="B11" s="963" t="s">
        <v>987</v>
      </c>
      <c r="C11" s="961" t="s">
        <v>2124</v>
      </c>
      <c r="D11" s="997">
        <f>'Cash Flow SK'!D15</f>
        <v>0</v>
      </c>
      <c r="E11" s="997">
        <f>'Cash Flow SK'!E15</f>
        <v>0</v>
      </c>
      <c r="H11" s="998"/>
    </row>
    <row r="12" spans="2:8" ht="21">
      <c r="B12" s="963" t="s">
        <v>988</v>
      </c>
      <c r="C12" s="961" t="s">
        <v>2125</v>
      </c>
      <c r="D12" s="997">
        <f>'Cash Flow SK'!D16</f>
        <v>0</v>
      </c>
      <c r="E12" s="997">
        <f>'Cash Flow SK'!E16</f>
        <v>0</v>
      </c>
      <c r="H12" s="998"/>
    </row>
    <row r="13" spans="2:8">
      <c r="B13" s="963" t="s">
        <v>989</v>
      </c>
      <c r="C13" s="961" t="s">
        <v>2126</v>
      </c>
      <c r="D13" s="997">
        <f>'Cash Flow SK'!D17</f>
        <v>0</v>
      </c>
      <c r="E13" s="997">
        <f>'Cash Flow SK'!E17</f>
        <v>0</v>
      </c>
      <c r="H13" s="998"/>
    </row>
    <row r="14" spans="2:8">
      <c r="B14" s="963" t="s">
        <v>990</v>
      </c>
      <c r="C14" s="961" t="s">
        <v>2127</v>
      </c>
      <c r="D14" s="997">
        <f>'Cash Flow SK'!D18</f>
        <v>11121</v>
      </c>
      <c r="E14" s="997">
        <f>'Cash Flow SK'!E18</f>
        <v>-2658</v>
      </c>
      <c r="H14" s="998"/>
    </row>
    <row r="15" spans="2:8">
      <c r="B15" s="963" t="s">
        <v>991</v>
      </c>
      <c r="C15" s="961" t="s">
        <v>2128</v>
      </c>
      <c r="D15" s="997">
        <f>'Cash Flow SK'!D19</f>
        <v>-1421</v>
      </c>
      <c r="E15" s="997">
        <f>'Cash Flow SK'!E19</f>
        <v>-4637</v>
      </c>
      <c r="H15" s="998"/>
    </row>
    <row r="16" spans="2:8">
      <c r="B16" s="963" t="s">
        <v>992</v>
      </c>
      <c r="C16" s="961" t="s">
        <v>2129</v>
      </c>
      <c r="D16" s="997">
        <f>'Cash Flow SK'!D20</f>
        <v>0</v>
      </c>
      <c r="E16" s="997">
        <f>'Cash Flow SK'!E20</f>
        <v>0</v>
      </c>
      <c r="H16" s="998"/>
    </row>
    <row r="17" spans="2:8">
      <c r="B17" s="963" t="s">
        <v>993</v>
      </c>
      <c r="C17" s="961" t="s">
        <v>2130</v>
      </c>
      <c r="D17" s="997">
        <f>'Cash Flow SK'!D21</f>
        <v>0</v>
      </c>
      <c r="E17" s="997">
        <f>'Cash Flow SK'!E21</f>
        <v>0</v>
      </c>
      <c r="H17" s="998"/>
    </row>
    <row r="18" spans="2:8">
      <c r="B18" s="963" t="s">
        <v>994</v>
      </c>
      <c r="C18" s="961" t="s">
        <v>2131</v>
      </c>
      <c r="D18" s="997">
        <f>'Cash Flow SK'!D22</f>
        <v>0</v>
      </c>
      <c r="E18" s="997">
        <f>'Cash Flow SK'!E22</f>
        <v>-31</v>
      </c>
      <c r="H18" s="998"/>
    </row>
    <row r="19" spans="2:8">
      <c r="B19" s="963" t="s">
        <v>995</v>
      </c>
      <c r="C19" s="961" t="s">
        <v>2132</v>
      </c>
      <c r="D19" s="997">
        <f>'Cash Flow SK'!D23</f>
        <v>0</v>
      </c>
      <c r="E19" s="997">
        <f>'Cash Flow SK'!E23</f>
        <v>0</v>
      </c>
      <c r="H19" s="998"/>
    </row>
    <row r="20" spans="2:8">
      <c r="B20" s="963" t="s">
        <v>996</v>
      </c>
      <c r="C20" s="961" t="s">
        <v>2133</v>
      </c>
      <c r="D20" s="997">
        <f>'Cash Flow SK'!D24</f>
        <v>0</v>
      </c>
      <c r="E20" s="997">
        <f>'Cash Flow SK'!E24</f>
        <v>0</v>
      </c>
      <c r="H20" s="998"/>
    </row>
    <row r="21" spans="2:8" ht="21">
      <c r="B21" s="963" t="s">
        <v>2134</v>
      </c>
      <c r="C21" s="961" t="s">
        <v>2135</v>
      </c>
      <c r="D21" s="997">
        <f>'Cash Flow SK'!D25</f>
        <v>-9584</v>
      </c>
      <c r="E21" s="997">
        <f>'Cash Flow SK'!E25</f>
        <v>0</v>
      </c>
      <c r="H21" s="998"/>
    </row>
    <row r="22" spans="2:8" ht="36">
      <c r="B22" s="963" t="s">
        <v>2136</v>
      </c>
      <c r="C22" s="961" t="s">
        <v>2137</v>
      </c>
      <c r="D22" s="997">
        <f>'Cash Flow SK'!D26</f>
        <v>65210</v>
      </c>
      <c r="E22" s="997">
        <f>'Cash Flow SK'!E26</f>
        <v>0</v>
      </c>
      <c r="H22" s="998"/>
    </row>
    <row r="23" spans="2:8" ht="54">
      <c r="B23" s="963" t="s">
        <v>999</v>
      </c>
      <c r="C23" s="961" t="s">
        <v>2138</v>
      </c>
      <c r="D23" s="997">
        <f>'Cash Flow SK'!D27</f>
        <v>-356274</v>
      </c>
      <c r="E23" s="997">
        <f>'Cash Flow SK'!E27</f>
        <v>-24821</v>
      </c>
      <c r="H23" s="998"/>
    </row>
    <row r="24" spans="2:8">
      <c r="B24" s="963" t="s">
        <v>1000</v>
      </c>
      <c r="C24" s="961" t="s">
        <v>2139</v>
      </c>
      <c r="D24" s="997">
        <f>'Cash Flow SK'!D28</f>
        <v>-419578</v>
      </c>
      <c r="E24" s="997">
        <f>'Cash Flow SK'!E28</f>
        <v>-17285</v>
      </c>
      <c r="H24" s="998"/>
    </row>
    <row r="25" spans="2:8">
      <c r="B25" s="963" t="s">
        <v>1001</v>
      </c>
      <c r="C25" s="961" t="s">
        <v>2140</v>
      </c>
      <c r="D25" s="997">
        <f>'Cash Flow SK'!D29</f>
        <v>336963</v>
      </c>
      <c r="E25" s="997">
        <f>'Cash Flow SK'!E29</f>
        <v>-59287</v>
      </c>
      <c r="H25" s="998"/>
    </row>
    <row r="26" spans="2:8">
      <c r="B26" s="963" t="s">
        <v>1002</v>
      </c>
      <c r="C26" s="961" t="s">
        <v>2141</v>
      </c>
      <c r="D26" s="997">
        <f>'Cash Flow SK'!D30</f>
        <v>-273659</v>
      </c>
      <c r="E26" s="997">
        <f>'Cash Flow SK'!E30</f>
        <v>51751</v>
      </c>
      <c r="H26" s="998"/>
    </row>
    <row r="27" spans="2:8" ht="36">
      <c r="B27" s="963" t="s">
        <v>1003</v>
      </c>
      <c r="C27" s="961" t="s">
        <v>2142</v>
      </c>
      <c r="D27" s="997">
        <f>'Cash Flow SK'!D31</f>
        <v>0</v>
      </c>
      <c r="E27" s="997">
        <f>'Cash Flow SK'!E31</f>
        <v>0</v>
      </c>
      <c r="H27" s="998"/>
    </row>
    <row r="28" spans="2:8" ht="36" customHeight="1">
      <c r="B28" s="995"/>
      <c r="C28" s="999" t="s">
        <v>2143</v>
      </c>
      <c r="D28" s="994">
        <f>'Cash Flow SK'!D32</f>
        <v>328367</v>
      </c>
      <c r="E28" s="994">
        <f>'Cash Flow SK'!E32</f>
        <v>709904</v>
      </c>
      <c r="H28" s="998"/>
    </row>
    <row r="29" spans="2:8">
      <c r="B29" s="963" t="s">
        <v>1004</v>
      </c>
      <c r="C29" s="1000" t="s">
        <v>2144</v>
      </c>
      <c r="D29" s="997">
        <f>'Cash Flow SK'!D33</f>
        <v>0</v>
      </c>
      <c r="E29" s="997">
        <f>'Cash Flow SK'!E33</f>
        <v>31</v>
      </c>
      <c r="H29" s="998"/>
    </row>
    <row r="30" spans="2:8">
      <c r="B30" s="963" t="s">
        <v>1005</v>
      </c>
      <c r="C30" s="1000" t="s">
        <v>2145</v>
      </c>
      <c r="D30" s="997">
        <f>'Cash Flow SK'!D34</f>
        <v>0</v>
      </c>
      <c r="E30" s="997">
        <f>'Cash Flow SK'!E34</f>
        <v>0</v>
      </c>
      <c r="H30" s="998"/>
    </row>
    <row r="31" spans="2:8">
      <c r="B31" s="963" t="s">
        <v>1006</v>
      </c>
      <c r="C31" s="1000" t="s">
        <v>2146</v>
      </c>
      <c r="D31" s="997">
        <f>'Cash Flow SK'!D35</f>
        <v>0</v>
      </c>
      <c r="E31" s="997">
        <f>'Cash Flow SK'!E35</f>
        <v>0</v>
      </c>
      <c r="H31" s="998"/>
    </row>
    <row r="32" spans="2:8">
      <c r="B32" s="963" t="s">
        <v>1007</v>
      </c>
      <c r="C32" s="1000" t="s">
        <v>2147</v>
      </c>
      <c r="D32" s="997">
        <f>'Cash Flow SK'!D36</f>
        <v>-114636</v>
      </c>
      <c r="E32" s="997">
        <f>'Cash Flow SK'!E36</f>
        <v>-395724</v>
      </c>
      <c r="H32" s="998"/>
    </row>
    <row r="33" spans="2:8">
      <c r="B33" s="963"/>
      <c r="C33" s="1001" t="s">
        <v>2148</v>
      </c>
      <c r="D33" s="997">
        <f>'Cash Flow SK'!D37</f>
        <v>213731</v>
      </c>
      <c r="E33" s="997">
        <f>'Cash Flow SK'!E37</f>
        <v>314211</v>
      </c>
      <c r="H33" s="998"/>
    </row>
    <row r="34" spans="2:8" ht="36">
      <c r="B34" s="963" t="s">
        <v>1008</v>
      </c>
      <c r="C34" s="1000" t="s">
        <v>2149</v>
      </c>
      <c r="D34" s="997">
        <f>'Cash Flow SK'!D38</f>
        <v>-286811</v>
      </c>
      <c r="E34" s="997">
        <f>'Cash Flow SK'!E38</f>
        <v>-36357</v>
      </c>
      <c r="H34" s="998"/>
    </row>
    <row r="35" spans="2:8">
      <c r="B35" s="963" t="s">
        <v>1009</v>
      </c>
      <c r="C35" s="1000" t="s">
        <v>2150</v>
      </c>
      <c r="D35" s="997">
        <f>'Cash Flow SK'!D39</f>
        <v>0</v>
      </c>
      <c r="E35" s="997">
        <f>'Cash Flow SK'!E39</f>
        <v>0</v>
      </c>
      <c r="H35" s="998"/>
    </row>
    <row r="36" spans="2:8">
      <c r="B36" s="963" t="s">
        <v>1010</v>
      </c>
      <c r="C36" s="1000" t="s">
        <v>2151</v>
      </c>
      <c r="D36" s="997">
        <f>'Cash Flow SK'!D40</f>
        <v>0</v>
      </c>
      <c r="E36" s="997">
        <f>'Cash Flow SK'!E40</f>
        <v>0</v>
      </c>
      <c r="H36" s="998"/>
    </row>
    <row r="37" spans="2:8">
      <c r="B37" s="972" t="s">
        <v>523</v>
      </c>
      <c r="C37" s="999" t="s">
        <v>2152</v>
      </c>
      <c r="D37" s="994">
        <f>'Cash Flow SK'!D41</f>
        <v>-73080</v>
      </c>
      <c r="E37" s="994">
        <f>'Cash Flow SK'!E41</f>
        <v>277854</v>
      </c>
      <c r="H37" s="1002"/>
    </row>
    <row r="38" spans="2:8">
      <c r="B38" s="967"/>
      <c r="C38" s="1003"/>
      <c r="D38" s="997">
        <f>'Cash Flow SK'!D42</f>
        <v>0</v>
      </c>
      <c r="E38" s="997">
        <f>'Cash Flow SK'!E42</f>
        <v>0</v>
      </c>
      <c r="H38" s="1002"/>
    </row>
    <row r="39" spans="2:8" s="980" customFormat="1">
      <c r="C39" s="1004" t="s">
        <v>2153</v>
      </c>
      <c r="D39" s="997">
        <f>'Cash Flow SK'!D43</f>
        <v>0</v>
      </c>
      <c r="E39" s="997">
        <f>'Cash Flow SK'!E43</f>
        <v>0</v>
      </c>
      <c r="H39" s="1002"/>
    </row>
    <row r="40" spans="2:8">
      <c r="B40" s="968" t="s">
        <v>833</v>
      </c>
      <c r="C40" s="971" t="s">
        <v>2154</v>
      </c>
      <c r="D40" s="997">
        <f>'Cash Flow SK'!D44</f>
        <v>0</v>
      </c>
      <c r="E40" s="997">
        <f>'Cash Flow SK'!E44</f>
        <v>0</v>
      </c>
      <c r="H40" s="998"/>
    </row>
    <row r="41" spans="2:8">
      <c r="B41" s="968" t="s">
        <v>1011</v>
      </c>
      <c r="C41" s="971" t="s">
        <v>2155</v>
      </c>
      <c r="D41" s="997">
        <f>'Cash Flow SK'!D45</f>
        <v>-406211</v>
      </c>
      <c r="E41" s="997">
        <f>'Cash Flow SK'!E45</f>
        <v>-73020</v>
      </c>
      <c r="H41" s="998"/>
    </row>
    <row r="42" spans="2:8" ht="54">
      <c r="B42" s="968" t="s">
        <v>1012</v>
      </c>
      <c r="C42" s="971" t="s">
        <v>2156</v>
      </c>
      <c r="D42" s="997">
        <f>'Cash Flow SK'!D46</f>
        <v>0</v>
      </c>
      <c r="E42" s="997">
        <f>'Cash Flow SK'!E46</f>
        <v>0</v>
      </c>
      <c r="H42" s="998"/>
    </row>
    <row r="43" spans="2:8">
      <c r="B43" s="968" t="s">
        <v>1013</v>
      </c>
      <c r="C43" s="971" t="s">
        <v>2157</v>
      </c>
      <c r="D43" s="997">
        <f>'Cash Flow SK'!D47</f>
        <v>0</v>
      </c>
      <c r="E43" s="997">
        <f>'Cash Flow SK'!E47</f>
        <v>0</v>
      </c>
      <c r="H43" s="998"/>
    </row>
    <row r="44" spans="2:8">
      <c r="B44" s="968" t="s">
        <v>1014</v>
      </c>
      <c r="C44" s="971" t="s">
        <v>2158</v>
      </c>
      <c r="D44" s="997">
        <f>'Cash Flow SK'!D48</f>
        <v>9584</v>
      </c>
      <c r="E44" s="997">
        <f>'Cash Flow SK'!E48</f>
        <v>0</v>
      </c>
      <c r="H44" s="998"/>
    </row>
    <row r="45" spans="2:8" ht="54">
      <c r="B45" s="968" t="s">
        <v>1015</v>
      </c>
      <c r="C45" s="971" t="s">
        <v>2159</v>
      </c>
      <c r="D45" s="997">
        <f>'Cash Flow SK'!D49</f>
        <v>0</v>
      </c>
      <c r="E45" s="997">
        <f>'Cash Flow SK'!E49</f>
        <v>0</v>
      </c>
      <c r="H45" s="998"/>
    </row>
    <row r="46" spans="2:8" ht="36">
      <c r="B46" s="968" t="s">
        <v>1016</v>
      </c>
      <c r="C46" s="971" t="s">
        <v>2160</v>
      </c>
      <c r="D46" s="997">
        <f>'Cash Flow SK'!D50</f>
        <v>0</v>
      </c>
      <c r="E46" s="997">
        <f>'Cash Flow SK'!E50</f>
        <v>0</v>
      </c>
      <c r="H46" s="998"/>
    </row>
    <row r="47" spans="2:8" ht="36">
      <c r="B47" s="968" t="s">
        <v>2161</v>
      </c>
      <c r="C47" s="971" t="s">
        <v>2162</v>
      </c>
      <c r="D47" s="997">
        <f>'Cash Flow SK'!D51</f>
        <v>0</v>
      </c>
      <c r="E47" s="997">
        <f>'Cash Flow SK'!E51</f>
        <v>0</v>
      </c>
      <c r="H47" s="998"/>
    </row>
    <row r="48" spans="2:8" ht="36">
      <c r="B48" s="968" t="s">
        <v>1018</v>
      </c>
      <c r="C48" s="971" t="s">
        <v>2163</v>
      </c>
      <c r="D48" s="997">
        <f>'Cash Flow SK'!D52</f>
        <v>0</v>
      </c>
      <c r="E48" s="997">
        <f>'Cash Flow SK'!E52</f>
        <v>0</v>
      </c>
      <c r="H48" s="998"/>
    </row>
    <row r="49" spans="2:8">
      <c r="B49" s="968" t="s">
        <v>1019</v>
      </c>
      <c r="C49" s="971" t="s">
        <v>2216</v>
      </c>
      <c r="D49" s="997">
        <f>'Cash Flow SK'!D53</f>
        <v>0</v>
      </c>
      <c r="E49" s="997">
        <f>'Cash Flow SK'!E53</f>
        <v>0</v>
      </c>
      <c r="H49" s="998"/>
    </row>
    <row r="50" spans="2:8" ht="36">
      <c r="B50" s="968" t="s">
        <v>2164</v>
      </c>
      <c r="C50" s="971" t="s">
        <v>2165</v>
      </c>
      <c r="D50" s="997">
        <f>'Cash Flow SK'!D54</f>
        <v>0</v>
      </c>
      <c r="E50" s="997">
        <f>'Cash Flow SK'!E54</f>
        <v>0</v>
      </c>
      <c r="H50" s="998"/>
    </row>
    <row r="51" spans="2:8">
      <c r="B51" s="968" t="s">
        <v>1021</v>
      </c>
      <c r="C51" s="971" t="s">
        <v>2166</v>
      </c>
      <c r="D51" s="997">
        <f>'Cash Flow SK'!D55</f>
        <v>0</v>
      </c>
      <c r="E51" s="997">
        <f>'Cash Flow SK'!E55</f>
        <v>0</v>
      </c>
      <c r="H51" s="998"/>
    </row>
    <row r="52" spans="2:8" ht="36">
      <c r="B52" s="968" t="s">
        <v>1022</v>
      </c>
      <c r="C52" s="971" t="s">
        <v>2167</v>
      </c>
      <c r="D52" s="997">
        <f>'Cash Flow SK'!D56</f>
        <v>0</v>
      </c>
      <c r="E52" s="997">
        <f>'Cash Flow SK'!E56</f>
        <v>0</v>
      </c>
      <c r="H52" s="998"/>
    </row>
    <row r="53" spans="2:8" ht="36">
      <c r="B53" s="968" t="s">
        <v>1023</v>
      </c>
      <c r="C53" s="971" t="s">
        <v>2168</v>
      </c>
      <c r="D53" s="997">
        <f>'Cash Flow SK'!D57</f>
        <v>0</v>
      </c>
      <c r="E53" s="997">
        <f>'Cash Flow SK'!E57</f>
        <v>0</v>
      </c>
      <c r="H53" s="998"/>
    </row>
    <row r="54" spans="2:8" ht="36">
      <c r="B54" s="968" t="s">
        <v>1024</v>
      </c>
      <c r="C54" s="971" t="s">
        <v>2169</v>
      </c>
      <c r="D54" s="997">
        <f>'Cash Flow SK'!D58</f>
        <v>0</v>
      </c>
      <c r="E54" s="997">
        <f>'Cash Flow SK'!E58</f>
        <v>0</v>
      </c>
      <c r="H54" s="998"/>
    </row>
    <row r="55" spans="2:8">
      <c r="B55" s="968" t="s">
        <v>1025</v>
      </c>
      <c r="C55" s="971" t="s">
        <v>2170</v>
      </c>
      <c r="D55" s="997">
        <f>'Cash Flow SK'!D59</f>
        <v>0</v>
      </c>
      <c r="E55" s="997">
        <f>'Cash Flow SK'!E59</f>
        <v>0</v>
      </c>
      <c r="H55" s="998"/>
    </row>
    <row r="56" spans="2:8">
      <c r="B56" s="968" t="s">
        <v>1026</v>
      </c>
      <c r="C56" s="971" t="s">
        <v>2171</v>
      </c>
      <c r="D56" s="997">
        <f>'Cash Flow SK'!D60</f>
        <v>0</v>
      </c>
      <c r="E56" s="997">
        <f>'Cash Flow SK'!E60</f>
        <v>0</v>
      </c>
      <c r="H56" s="998"/>
    </row>
    <row r="57" spans="2:8">
      <c r="B57" s="968" t="s">
        <v>1027</v>
      </c>
      <c r="C57" s="971" t="s">
        <v>2172</v>
      </c>
      <c r="D57" s="997">
        <f>'Cash Flow SK'!D61</f>
        <v>0</v>
      </c>
      <c r="E57" s="997">
        <f>'Cash Flow SK'!E61</f>
        <v>0</v>
      </c>
      <c r="H57" s="998"/>
    </row>
    <row r="58" spans="2:8">
      <c r="B58" s="968" t="s">
        <v>1028</v>
      </c>
      <c r="C58" s="971" t="s">
        <v>2173</v>
      </c>
      <c r="D58" s="997">
        <f>'Cash Flow SK'!D62</f>
        <v>0</v>
      </c>
      <c r="E58" s="997">
        <f>'Cash Flow SK'!E62</f>
        <v>0</v>
      </c>
      <c r="H58" s="998"/>
    </row>
    <row r="59" spans="2:8">
      <c r="B59" s="968" t="s">
        <v>2060</v>
      </c>
      <c r="C59" s="971" t="s">
        <v>2174</v>
      </c>
      <c r="D59" s="997">
        <f>'Cash Flow SK'!D63</f>
        <v>0</v>
      </c>
      <c r="E59" s="997">
        <f>'Cash Flow SK'!E63</f>
        <v>0</v>
      </c>
      <c r="H59" s="998"/>
    </row>
    <row r="60" spans="2:8" s="980" customFormat="1">
      <c r="B60" s="972" t="s">
        <v>594</v>
      </c>
      <c r="C60" s="999" t="s">
        <v>2175</v>
      </c>
      <c r="D60" s="994">
        <f>'Cash Flow SK'!D64</f>
        <v>-396627</v>
      </c>
      <c r="E60" s="994">
        <f>'Cash Flow SK'!E64</f>
        <v>-73020</v>
      </c>
      <c r="H60" s="1002"/>
    </row>
    <row r="61" spans="2:8" s="1005" customFormat="1">
      <c r="B61" s="967"/>
      <c r="C61" s="1003"/>
      <c r="D61" s="997">
        <f>'Cash Flow SK'!D65</f>
        <v>0</v>
      </c>
      <c r="E61" s="997">
        <f>'Cash Flow SK'!E65</f>
        <v>0</v>
      </c>
      <c r="H61" s="1002"/>
    </row>
    <row r="62" spans="2:8" s="980" customFormat="1">
      <c r="B62" s="1004" t="s">
        <v>2176</v>
      </c>
      <c r="C62" s="1006"/>
      <c r="D62" s="997">
        <f>'Cash Flow SK'!D66</f>
        <v>0</v>
      </c>
      <c r="E62" s="997">
        <f>'Cash Flow SK'!E66</f>
        <v>0</v>
      </c>
      <c r="H62" s="1002"/>
    </row>
    <row r="63" spans="2:8">
      <c r="B63" s="995" t="s">
        <v>666</v>
      </c>
      <c r="C63" s="996" t="s">
        <v>2177</v>
      </c>
      <c r="D63" s="997">
        <f>'Cash Flow SK'!D67</f>
        <v>0</v>
      </c>
      <c r="E63" s="997">
        <f>'Cash Flow SK'!E67</f>
        <v>0</v>
      </c>
      <c r="H63" s="998"/>
    </row>
    <row r="64" spans="2:8">
      <c r="B64" s="968" t="s">
        <v>1029</v>
      </c>
      <c r="C64" s="996" t="s">
        <v>2178</v>
      </c>
      <c r="D64" s="997">
        <f>'Cash Flow SK'!D68</f>
        <v>0</v>
      </c>
      <c r="E64" s="997">
        <f>'Cash Flow SK'!E68</f>
        <v>0</v>
      </c>
      <c r="H64" s="998"/>
    </row>
    <row r="65" spans="2:8">
      <c r="B65" s="968" t="s">
        <v>1030</v>
      </c>
      <c r="C65" s="996" t="s">
        <v>2179</v>
      </c>
      <c r="D65" s="997">
        <f>'Cash Flow SK'!D69</f>
        <v>0</v>
      </c>
      <c r="E65" s="997">
        <f>'Cash Flow SK'!E69</f>
        <v>0</v>
      </c>
      <c r="H65" s="998"/>
    </row>
    <row r="66" spans="2:8">
      <c r="B66" s="968" t="s">
        <v>1031</v>
      </c>
      <c r="C66" s="996" t="s">
        <v>2180</v>
      </c>
      <c r="D66" s="997">
        <f>'Cash Flow SK'!D70</f>
        <v>0</v>
      </c>
      <c r="E66" s="997">
        <f>'Cash Flow SK'!E70</f>
        <v>0</v>
      </c>
      <c r="H66" s="998"/>
    </row>
    <row r="67" spans="2:8">
      <c r="B67" s="968" t="s">
        <v>1032</v>
      </c>
      <c r="C67" s="996" t="s">
        <v>2181</v>
      </c>
      <c r="D67" s="997">
        <f>'Cash Flow SK'!D71</f>
        <v>0</v>
      </c>
      <c r="E67" s="997">
        <f>'Cash Flow SK'!E71</f>
        <v>0</v>
      </c>
      <c r="H67" s="998"/>
    </row>
    <row r="68" spans="2:8">
      <c r="B68" s="968" t="s">
        <v>2182</v>
      </c>
      <c r="C68" s="996" t="s">
        <v>2183</v>
      </c>
      <c r="D68" s="997">
        <f>'Cash Flow SK'!D72</f>
        <v>0</v>
      </c>
      <c r="E68" s="997">
        <f>'Cash Flow SK'!E72</f>
        <v>0</v>
      </c>
      <c r="H68" s="998"/>
    </row>
    <row r="69" spans="2:8">
      <c r="B69" s="968" t="s">
        <v>1034</v>
      </c>
      <c r="C69" s="996" t="s">
        <v>2184</v>
      </c>
      <c r="D69" s="997">
        <f>'Cash Flow SK'!D73</f>
        <v>0</v>
      </c>
      <c r="E69" s="997">
        <f>'Cash Flow SK'!E73</f>
        <v>0</v>
      </c>
      <c r="H69" s="998"/>
    </row>
    <row r="70" spans="2:8">
      <c r="B70" s="968" t="s">
        <v>1035</v>
      </c>
      <c r="C70" s="996" t="s">
        <v>2185</v>
      </c>
      <c r="D70" s="997">
        <f>'Cash Flow SK'!D74</f>
        <v>0</v>
      </c>
      <c r="E70" s="997">
        <f>'Cash Flow SK'!E74</f>
        <v>0</v>
      </c>
      <c r="H70" s="998"/>
    </row>
    <row r="71" spans="2:8">
      <c r="B71" s="968" t="s">
        <v>1036</v>
      </c>
      <c r="C71" s="996" t="s">
        <v>2186</v>
      </c>
      <c r="D71" s="997">
        <f>'Cash Flow SK'!D75</f>
        <v>0</v>
      </c>
      <c r="E71" s="997">
        <f>'Cash Flow SK'!E75</f>
        <v>0</v>
      </c>
      <c r="H71" s="998"/>
    </row>
    <row r="72" spans="2:8">
      <c r="B72" s="995" t="s">
        <v>1037</v>
      </c>
      <c r="C72" s="996" t="s">
        <v>2187</v>
      </c>
      <c r="D72" s="997">
        <f>'Cash Flow SK'!D76</f>
        <v>1310</v>
      </c>
      <c r="E72" s="997">
        <f>'Cash Flow SK'!E76</f>
        <v>1517</v>
      </c>
      <c r="H72" s="998"/>
    </row>
    <row r="73" spans="2:8">
      <c r="B73" s="968" t="s">
        <v>1038</v>
      </c>
      <c r="C73" s="996" t="s">
        <v>2188</v>
      </c>
      <c r="D73" s="997">
        <f>'Cash Flow SK'!D77</f>
        <v>0</v>
      </c>
      <c r="E73" s="997">
        <f>'Cash Flow SK'!E77</f>
        <v>0</v>
      </c>
      <c r="H73" s="998"/>
    </row>
    <row r="74" spans="2:8">
      <c r="B74" s="968" t="s">
        <v>1039</v>
      </c>
      <c r="C74" s="996" t="s">
        <v>2189</v>
      </c>
      <c r="D74" s="997">
        <f>'Cash Flow SK'!D78</f>
        <v>0</v>
      </c>
      <c r="E74" s="997">
        <f>'Cash Flow SK'!E78</f>
        <v>0</v>
      </c>
      <c r="H74" s="998"/>
    </row>
    <row r="75" spans="2:8">
      <c r="B75" s="968" t="s">
        <v>1040</v>
      </c>
      <c r="C75" s="971" t="s">
        <v>2190</v>
      </c>
      <c r="D75" s="997">
        <f>'Cash Flow SK'!D79</f>
        <v>0</v>
      </c>
      <c r="E75" s="997">
        <f>'Cash Flow SK'!E79</f>
        <v>0</v>
      </c>
      <c r="H75" s="998"/>
    </row>
    <row r="76" spans="2:8">
      <c r="B76" s="968" t="s">
        <v>1041</v>
      </c>
      <c r="C76" s="996" t="s">
        <v>2191</v>
      </c>
      <c r="D76" s="997">
        <f>'Cash Flow SK'!D80</f>
        <v>0</v>
      </c>
      <c r="E76" s="997">
        <f>'Cash Flow SK'!E80</f>
        <v>0</v>
      </c>
      <c r="H76" s="998"/>
    </row>
    <row r="77" spans="2:8">
      <c r="B77" s="968" t="s">
        <v>1042</v>
      </c>
      <c r="C77" s="971" t="s">
        <v>2192</v>
      </c>
      <c r="D77" s="997">
        <f>'Cash Flow SK'!D81</f>
        <v>1310</v>
      </c>
      <c r="E77" s="997">
        <f>'Cash Flow SK'!E81</f>
        <v>1517</v>
      </c>
      <c r="H77" s="998"/>
    </row>
    <row r="78" spans="2:8">
      <c r="B78" s="968" t="s">
        <v>1043</v>
      </c>
      <c r="C78" s="971" t="s">
        <v>2193</v>
      </c>
      <c r="D78" s="997">
        <f>'Cash Flow SK'!D82</f>
        <v>0</v>
      </c>
      <c r="E78" s="997">
        <f>'Cash Flow SK'!E82</f>
        <v>0</v>
      </c>
      <c r="H78" s="998"/>
    </row>
    <row r="79" spans="2:8">
      <c r="B79" s="968" t="s">
        <v>1044</v>
      </c>
      <c r="C79" s="971" t="s">
        <v>2194</v>
      </c>
      <c r="D79" s="997">
        <f>'Cash Flow SK'!D83</f>
        <v>0</v>
      </c>
      <c r="E79" s="997">
        <f>'Cash Flow SK'!E83</f>
        <v>0</v>
      </c>
      <c r="H79" s="998"/>
    </row>
    <row r="80" spans="2:8" ht="36">
      <c r="B80" s="968" t="s">
        <v>1045</v>
      </c>
      <c r="C80" s="971" t="s">
        <v>2195</v>
      </c>
      <c r="D80" s="997">
        <f>'Cash Flow SK'!D84</f>
        <v>0</v>
      </c>
      <c r="E80" s="997">
        <f>'Cash Flow SK'!E84</f>
        <v>0</v>
      </c>
      <c r="H80" s="998"/>
    </row>
    <row r="81" spans="2:8" ht="54">
      <c r="B81" s="968" t="s">
        <v>1046</v>
      </c>
      <c r="C81" s="971" t="s">
        <v>2196</v>
      </c>
      <c r="D81" s="997">
        <f>'Cash Flow SK'!D85</f>
        <v>0</v>
      </c>
      <c r="E81" s="997">
        <f>'Cash Flow SK'!E85</f>
        <v>0</v>
      </c>
      <c r="H81" s="998"/>
    </row>
    <row r="82" spans="2:8" ht="54">
      <c r="B82" s="968" t="s">
        <v>2083</v>
      </c>
      <c r="C82" s="971" t="s">
        <v>2197</v>
      </c>
      <c r="D82" s="997">
        <f>'Cash Flow SK'!D86</f>
        <v>0</v>
      </c>
      <c r="E82" s="997">
        <f>'Cash Flow SK'!E86</f>
        <v>0</v>
      </c>
      <c r="H82" s="998"/>
    </row>
    <row r="83" spans="2:8">
      <c r="B83" s="968" t="s">
        <v>1047</v>
      </c>
      <c r="C83" s="971" t="s">
        <v>2198</v>
      </c>
      <c r="D83" s="997">
        <f>'Cash Flow SK'!D87</f>
        <v>0</v>
      </c>
      <c r="E83" s="997">
        <f>'Cash Flow SK'!E87</f>
        <v>0</v>
      </c>
      <c r="H83" s="998"/>
    </row>
    <row r="84" spans="2:8">
      <c r="B84" s="968" t="s">
        <v>1048</v>
      </c>
      <c r="C84" s="971" t="s">
        <v>2199</v>
      </c>
      <c r="D84" s="997">
        <f>'Cash Flow SK'!D88</f>
        <v>0</v>
      </c>
      <c r="E84" s="997">
        <f>'Cash Flow SK'!E88</f>
        <v>0</v>
      </c>
      <c r="H84" s="998"/>
    </row>
    <row r="85" spans="2:8" ht="36">
      <c r="B85" s="968" t="s">
        <v>1049</v>
      </c>
      <c r="C85" s="971" t="s">
        <v>2200</v>
      </c>
      <c r="D85" s="997">
        <f>'Cash Flow SK'!D89</f>
        <v>0</v>
      </c>
      <c r="E85" s="997">
        <f>'Cash Flow SK'!E89</f>
        <v>0</v>
      </c>
      <c r="H85" s="998"/>
    </row>
    <row r="86" spans="2:8" ht="36">
      <c r="B86" s="968" t="s">
        <v>1050</v>
      </c>
      <c r="C86" s="971" t="s">
        <v>2201</v>
      </c>
      <c r="D86" s="997">
        <f>'Cash Flow SK'!D90</f>
        <v>0</v>
      </c>
      <c r="E86" s="997">
        <f>'Cash Flow SK'!E90</f>
        <v>0</v>
      </c>
      <c r="H86" s="998"/>
    </row>
    <row r="87" spans="2:8">
      <c r="B87" s="968" t="s">
        <v>1051</v>
      </c>
      <c r="C87" s="971" t="s">
        <v>2202</v>
      </c>
      <c r="D87" s="997">
        <f>'Cash Flow SK'!D91</f>
        <v>0</v>
      </c>
      <c r="E87" s="997">
        <f>'Cash Flow SK'!E91</f>
        <v>0</v>
      </c>
      <c r="H87" s="998"/>
    </row>
    <row r="88" spans="2:8">
      <c r="B88" s="968" t="s">
        <v>1052</v>
      </c>
      <c r="C88" s="971" t="s">
        <v>2203</v>
      </c>
      <c r="D88" s="997">
        <f>'Cash Flow SK'!D92</f>
        <v>0</v>
      </c>
      <c r="E88" s="997">
        <f>'Cash Flow SK'!E92</f>
        <v>0</v>
      </c>
      <c r="H88" s="998"/>
    </row>
    <row r="89" spans="2:8">
      <c r="B89" s="968" t="s">
        <v>1053</v>
      </c>
      <c r="C89" s="971" t="s">
        <v>2204</v>
      </c>
      <c r="D89" s="997">
        <f>'Cash Flow SK'!D93</f>
        <v>0</v>
      </c>
      <c r="E89" s="997">
        <f>'Cash Flow SK'!E93</f>
        <v>0</v>
      </c>
      <c r="H89" s="998"/>
    </row>
    <row r="90" spans="2:8" s="980" customFormat="1">
      <c r="B90" s="972" t="s">
        <v>663</v>
      </c>
      <c r="C90" s="976" t="s">
        <v>2205</v>
      </c>
      <c r="D90" s="994">
        <f>D63+D72+SUM(D83:D89)</f>
        <v>1310</v>
      </c>
      <c r="E90" s="994">
        <f>E63+E72+SUM(E83:E89)</f>
        <v>1517</v>
      </c>
      <c r="H90" s="1002"/>
    </row>
    <row r="91" spans="2:8" s="991" customFormat="1">
      <c r="B91" s="967"/>
      <c r="C91" s="973"/>
      <c r="D91" s="997"/>
      <c r="E91" s="997"/>
      <c r="H91" s="1002"/>
    </row>
    <row r="92" spans="2:8" s="980" customFormat="1">
      <c r="B92" s="967" t="s">
        <v>853</v>
      </c>
      <c r="C92" s="976" t="s">
        <v>2206</v>
      </c>
      <c r="D92" s="994">
        <f>'Cash Flow SK'!D96</f>
        <v>-468397</v>
      </c>
      <c r="E92" s="994">
        <f>'Cash Flow SK'!E96</f>
        <v>206351</v>
      </c>
      <c r="H92" s="1002"/>
    </row>
    <row r="93" spans="2:8">
      <c r="B93" s="972" t="s">
        <v>856</v>
      </c>
      <c r="C93" s="976" t="s">
        <v>2207</v>
      </c>
      <c r="D93" s="994">
        <f>'Cash Flow SK'!D97</f>
        <v>768310</v>
      </c>
      <c r="E93" s="994">
        <f>'Cash Flow SK'!E97</f>
        <v>561959</v>
      </c>
      <c r="H93" s="1002"/>
    </row>
    <row r="94" spans="2:8" ht="36">
      <c r="B94" s="972" t="s">
        <v>862</v>
      </c>
      <c r="C94" s="976" t="s">
        <v>2208</v>
      </c>
      <c r="D94" s="994">
        <f>'Cash Flow SK'!D98</f>
        <v>299913</v>
      </c>
      <c r="E94" s="994">
        <f>'Cash Flow SK'!E98</f>
        <v>768310</v>
      </c>
      <c r="H94" s="1002"/>
    </row>
    <row r="95" spans="2:8" ht="36">
      <c r="B95" s="972" t="s">
        <v>865</v>
      </c>
      <c r="C95" s="976" t="s">
        <v>2209</v>
      </c>
      <c r="D95" s="994">
        <f>'Cash Flow SK'!D99</f>
        <v>0</v>
      </c>
      <c r="E95" s="994">
        <f>'Cash Flow SK'!E99</f>
        <v>0</v>
      </c>
      <c r="H95" s="1002"/>
    </row>
    <row r="96" spans="2:8" s="980" customFormat="1" ht="36">
      <c r="B96" s="972" t="s">
        <v>871</v>
      </c>
      <c r="C96" s="978" t="s">
        <v>2210</v>
      </c>
      <c r="D96" s="994">
        <f>'Cash Flow SK'!D100</f>
        <v>299913</v>
      </c>
      <c r="E96" s="994">
        <f>'Cash Flow SK'!E100</f>
        <v>768310</v>
      </c>
      <c r="H96" s="1002"/>
    </row>
    <row r="97" ht="23.25" customHeight="1"/>
  </sheetData>
  <mergeCells count="3">
    <mergeCell ref="B3:B5"/>
    <mergeCell ref="C3:C5"/>
    <mergeCell ref="D3:E3"/>
  </mergeCells>
  <printOptions horizontalCentered="1"/>
  <pageMargins left="0.39370078740157483" right="0.27559055118110237" top="0.74803149606299213" bottom="0.47244094488188981" header="0.11811023622047245" footer="0.51181102362204722"/>
  <pageSetup paperSize="9" scale="53" fitToHeight="2" orientation="portrait" r:id="rId1"/>
  <headerFooter alignWithMargins="0">
    <oddFooter>&amp;C&amp;"Verdana,Normálne"&amp;7THIS IS A TRANSLATION OF THE ORIGINAL SLOVAK DOCUMENT.</oddFooter>
  </headerFooter>
  <rowBreaks count="1" manualBreakCount="1">
    <brk id="60" max="5" man="1"/>
  </rowBreaks>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outlinePr summaryBelow="0" summaryRight="0"/>
  </sheetPr>
  <dimension ref="A1:AL55"/>
  <sheetViews>
    <sheetView showGridLines="0" view="pageBreakPreview" zoomScaleNormal="100" zoomScaleSheetLayoutView="100" workbookViewId="0">
      <selection activeCell="X2" sqref="X2"/>
    </sheetView>
  </sheetViews>
  <sheetFormatPr defaultColWidth="9.140625" defaultRowHeight="12.75"/>
  <cols>
    <col min="1" max="13" width="2.5703125" style="1289" customWidth="1"/>
    <col min="14" max="14" width="3" style="1289" customWidth="1"/>
    <col min="15" max="15" width="2.5703125" style="1289" customWidth="1"/>
    <col min="16" max="16" width="3.5703125" style="1289" customWidth="1"/>
    <col min="17" max="17" width="4.7109375" style="1289" customWidth="1"/>
    <col min="18" max="36" width="2.5703125" style="1289" customWidth="1"/>
    <col min="37" max="37" width="2.85546875" style="1289" customWidth="1"/>
    <col min="38" max="38" width="1.85546875" style="1289" customWidth="1"/>
    <col min="39" max="45" width="2.5703125" style="1289" customWidth="1"/>
    <col min="46" max="46" width="7.7109375" style="1289" customWidth="1"/>
    <col min="47" max="61" width="2.5703125" style="1289" customWidth="1"/>
    <col min="62" max="16384" width="9.140625" style="1289"/>
  </cols>
  <sheetData>
    <row r="1" spans="1:37" s="500" customFormat="1" ht="9.75">
      <c r="C1" s="501" t="s">
        <v>2225</v>
      </c>
    </row>
    <row r="2" spans="1:37" s="397" customFormat="1" ht="21" customHeight="1">
      <c r="C2" s="499" t="s">
        <v>2226</v>
      </c>
      <c r="D2" s="498"/>
      <c r="E2" s="498"/>
      <c r="F2" s="498"/>
      <c r="G2" s="498"/>
      <c r="H2" s="498"/>
      <c r="I2" s="498"/>
      <c r="J2" s="497"/>
      <c r="P2" s="496" t="s">
        <v>2591</v>
      </c>
    </row>
    <row r="3" spans="1:37" ht="13.5" thickBot="1">
      <c r="O3" s="1349" t="s">
        <v>2592</v>
      </c>
      <c r="P3" s="1350"/>
      <c r="Q3" s="1325"/>
      <c r="R3" s="1325"/>
      <c r="S3" s="1325"/>
      <c r="T3" s="1325"/>
      <c r="U3" s="1325"/>
      <c r="V3" s="1325"/>
      <c r="W3" s="1325"/>
      <c r="X3" s="1325"/>
    </row>
    <row r="4" spans="1:37" ht="28.5" customHeight="1" thickBot="1">
      <c r="M4" s="1321" t="s">
        <v>1544</v>
      </c>
      <c r="N4" s="1323"/>
      <c r="O4" s="1323"/>
      <c r="P4" s="1323"/>
      <c r="Q4" s="494" t="str">
        <f>+MID('Input data'!$B$11,1,1)</f>
        <v>3</v>
      </c>
      <c r="R4" s="494" t="str">
        <f>+MID('Input data'!$B$11,2,1)</f>
        <v>1</v>
      </c>
      <c r="S4" s="494" t="s">
        <v>1063</v>
      </c>
      <c r="T4" s="494" t="str">
        <f>LEFT('Input data'!B13,1)</f>
        <v>0</v>
      </c>
      <c r="U4" s="494" t="str">
        <f>RIGHT('Input data'!B13,1)</f>
        <v>3</v>
      </c>
      <c r="V4" s="494" t="s">
        <v>1063</v>
      </c>
      <c r="W4" s="494" t="str">
        <f>+LEFT('Input data'!$B$14,1)</f>
        <v>2</v>
      </c>
      <c r="X4" s="494" t="str">
        <f>+MID('Input data'!$B$14,2,1)</f>
        <v>0</v>
      </c>
      <c r="Y4" s="494" t="str">
        <f>+MID('Input data'!$B$14,3,1)</f>
        <v>1</v>
      </c>
      <c r="Z4" s="1035" t="str">
        <f>+MID('Input data'!$B$14,4,1)</f>
        <v>8</v>
      </c>
    </row>
    <row r="5" spans="1:37" ht="6" customHeight="1" thickBot="1"/>
    <row r="6" spans="1:37" s="487" customFormat="1" ht="14.25" customHeight="1">
      <c r="A6" s="490" t="s">
        <v>1546</v>
      </c>
      <c r="B6" s="489"/>
      <c r="C6" s="489"/>
      <c r="D6" s="489"/>
      <c r="E6" s="489"/>
      <c r="F6" s="489"/>
      <c r="G6" s="489"/>
      <c r="H6" s="489"/>
      <c r="I6" s="489"/>
      <c r="J6" s="489"/>
      <c r="K6" s="489"/>
      <c r="L6" s="489"/>
      <c r="M6" s="489"/>
      <c r="N6" s="489"/>
      <c r="O6" s="489"/>
      <c r="P6" s="489"/>
      <c r="Q6" s="489"/>
      <c r="R6" s="489"/>
      <c r="S6" s="488"/>
      <c r="T6" s="489"/>
      <c r="U6" s="489"/>
      <c r="V6" s="489"/>
      <c r="W6" s="489"/>
      <c r="X6" s="489"/>
      <c r="Y6" s="489"/>
      <c r="Z6" s="489"/>
      <c r="AA6" s="489"/>
      <c r="AB6" s="489"/>
      <c r="AC6" s="489"/>
      <c r="AD6" s="489"/>
      <c r="AE6" s="489"/>
      <c r="AF6" s="489"/>
      <c r="AG6" s="489"/>
      <c r="AH6" s="489"/>
      <c r="AI6" s="489"/>
      <c r="AJ6" s="489"/>
      <c r="AK6" s="488"/>
    </row>
    <row r="7" spans="1:37" s="487" customFormat="1" ht="14.25" customHeight="1">
      <c r="A7" s="857" t="s">
        <v>1547</v>
      </c>
      <c r="B7" s="858"/>
      <c r="C7" s="858"/>
      <c r="D7" s="858"/>
      <c r="E7" s="858"/>
      <c r="F7" s="858"/>
      <c r="G7" s="858"/>
      <c r="H7" s="858"/>
      <c r="I7" s="858"/>
      <c r="J7" s="858"/>
      <c r="K7" s="858"/>
      <c r="L7" s="858"/>
      <c r="M7" s="858"/>
      <c r="N7" s="858"/>
      <c r="O7" s="858"/>
      <c r="P7" s="858"/>
      <c r="Q7" s="858"/>
      <c r="R7" s="858"/>
      <c r="S7" s="858"/>
      <c r="T7" s="858"/>
      <c r="U7" s="858"/>
      <c r="V7" s="858"/>
      <c r="W7" s="858"/>
      <c r="X7" s="858"/>
      <c r="Y7" s="858"/>
      <c r="Z7" s="858"/>
      <c r="AA7" s="858"/>
      <c r="AB7" s="858"/>
      <c r="AC7" s="858"/>
      <c r="AD7" s="858"/>
      <c r="AE7" s="858"/>
      <c r="AF7" s="858"/>
      <c r="AG7" s="858"/>
      <c r="AH7" s="858"/>
      <c r="AI7" s="858"/>
      <c r="AJ7" s="858"/>
      <c r="AK7" s="859"/>
    </row>
    <row r="8" spans="1:37" s="391" customFormat="1" ht="15" customHeight="1">
      <c r="A8" s="860" t="s">
        <v>1548</v>
      </c>
      <c r="B8" s="402"/>
      <c r="C8" s="402"/>
      <c r="D8" s="402"/>
      <c r="E8" s="402"/>
      <c r="F8" s="402"/>
      <c r="G8" s="402"/>
      <c r="H8" s="402"/>
      <c r="I8" s="402"/>
      <c r="J8" s="402"/>
      <c r="K8" s="402"/>
      <c r="L8" s="402"/>
      <c r="M8" s="402"/>
      <c r="N8" s="402"/>
      <c r="O8" s="402"/>
      <c r="P8" s="402"/>
      <c r="Q8" s="402"/>
      <c r="R8" s="402"/>
      <c r="S8" s="486"/>
      <c r="T8" s="402"/>
      <c r="U8" s="402"/>
      <c r="V8" s="402"/>
      <c r="W8" s="402"/>
      <c r="X8" s="402"/>
      <c r="Y8" s="402"/>
      <c r="Z8" s="402"/>
      <c r="AA8" s="402"/>
      <c r="AB8" s="402"/>
      <c r="AC8" s="402"/>
      <c r="AD8" s="402"/>
      <c r="AE8" s="402"/>
      <c r="AF8" s="402"/>
      <c r="AG8" s="402"/>
      <c r="AH8" s="402"/>
      <c r="AI8" s="402"/>
      <c r="AJ8" s="402"/>
      <c r="AK8" s="486"/>
    </row>
    <row r="9" spans="1:37" s="482" customFormat="1" ht="18" customHeight="1" thickBot="1">
      <c r="A9" s="485" t="s">
        <v>1067</v>
      </c>
      <c r="B9" s="484"/>
      <c r="C9" s="484"/>
      <c r="D9" s="484"/>
      <c r="E9" s="485"/>
      <c r="F9" s="484"/>
      <c r="G9" s="484"/>
      <c r="H9" s="484"/>
      <c r="I9" s="484"/>
      <c r="J9" s="484"/>
      <c r="K9" s="484"/>
      <c r="L9" s="484"/>
      <c r="M9" s="484"/>
      <c r="N9" s="484"/>
      <c r="O9" s="484"/>
      <c r="P9" s="484"/>
      <c r="Q9" s="484"/>
      <c r="R9" s="484"/>
      <c r="S9" s="483"/>
      <c r="T9" s="484"/>
      <c r="U9" s="484"/>
      <c r="V9" s="484"/>
      <c r="W9" s="484"/>
      <c r="X9" s="484"/>
      <c r="Y9" s="484"/>
      <c r="Z9" s="484"/>
      <c r="AA9" s="484"/>
      <c r="AB9" s="484"/>
      <c r="AC9" s="484"/>
      <c r="AD9" s="484"/>
      <c r="AE9" s="484"/>
      <c r="AF9" s="484"/>
      <c r="AG9" s="484"/>
      <c r="AH9" s="484"/>
      <c r="AI9" s="484"/>
      <c r="AJ9" s="484"/>
      <c r="AK9" s="483"/>
    </row>
    <row r="10" spans="1:37" s="462" customFormat="1" ht="3.75" customHeight="1" thickBot="1"/>
    <row r="11" spans="1:37" s="462" customFormat="1" ht="14.25" customHeight="1">
      <c r="A11" s="464" t="s">
        <v>1550</v>
      </c>
      <c r="B11" s="463"/>
      <c r="C11" s="463"/>
      <c r="D11" s="463"/>
      <c r="E11" s="463"/>
      <c r="F11" s="463"/>
      <c r="G11" s="463"/>
      <c r="H11" s="463"/>
      <c r="I11" s="407"/>
      <c r="J11" s="406"/>
      <c r="K11" s="480" t="s">
        <v>1551</v>
      </c>
      <c r="L11" s="463"/>
      <c r="M11" s="481"/>
      <c r="N11" s="481"/>
      <c r="O11" s="481"/>
      <c r="P11" s="463"/>
      <c r="Q11" s="1327" t="s">
        <v>2594</v>
      </c>
      <c r="R11" s="1328"/>
      <c r="S11" s="1329"/>
      <c r="T11" s="1328"/>
      <c r="U11" s="1328"/>
      <c r="V11" s="1330"/>
      <c r="W11" s="1292"/>
      <c r="X11" s="463"/>
      <c r="Y11" s="463"/>
      <c r="Z11" s="463"/>
      <c r="AA11" s="463"/>
      <c r="AB11" s="463"/>
      <c r="AC11" s="463"/>
      <c r="AD11" s="480" t="s">
        <v>1552</v>
      </c>
      <c r="AE11" s="480"/>
      <c r="AF11" s="480"/>
      <c r="AG11" s="480" t="s">
        <v>1553</v>
      </c>
      <c r="AH11" s="463"/>
      <c r="AI11" s="463"/>
      <c r="AJ11" s="463"/>
      <c r="AK11" s="479"/>
    </row>
    <row r="12" spans="1:37" s="462" customFormat="1" ht="19.5" customHeight="1">
      <c r="A12" s="476" t="str">
        <f>LEFT('Input data'!C24,1)</f>
        <v>2</v>
      </c>
      <c r="B12" s="441" t="str">
        <f>MID('Input data'!$C$24,2,1)</f>
        <v>0</v>
      </c>
      <c r="C12" s="441" t="str">
        <f>MID('Input data'!$C$24,3,1)</f>
        <v>2</v>
      </c>
      <c r="D12" s="441" t="str">
        <f>MID('Input data'!$C$24,4,1)</f>
        <v>0</v>
      </c>
      <c r="E12" s="441" t="str">
        <f>MID('Input data'!$C$24,5,1)</f>
        <v>3</v>
      </c>
      <c r="F12" s="441" t="str">
        <f>MID('Input data'!$C$24,6,1)</f>
        <v>1</v>
      </c>
      <c r="G12" s="441" t="str">
        <f>MID('Input data'!$C$24,7,1)</f>
        <v>9</v>
      </c>
      <c r="H12" s="441" t="str">
        <f>MID('Input data'!$C$24,8,1)</f>
        <v>8</v>
      </c>
      <c r="I12" s="441" t="str">
        <f>MID('Input data'!$C$24,9,1)</f>
        <v>2</v>
      </c>
      <c r="J12" s="448" t="str">
        <f>MID('Input data'!$C$24,10,1)</f>
        <v>9</v>
      </c>
      <c r="K12" s="399"/>
      <c r="L12" s="465"/>
      <c r="M12" s="465"/>
      <c r="N12" s="465"/>
      <c r="O12" s="465"/>
      <c r="P12" s="465"/>
      <c r="Q12" s="465"/>
      <c r="R12" s="465"/>
      <c r="S12" s="465"/>
      <c r="T12" s="465"/>
      <c r="U12" s="465"/>
      <c r="V12" s="471"/>
      <c r="W12" s="1293" t="s">
        <v>1554</v>
      </c>
      <c r="X12" s="470"/>
      <c r="Y12" s="465"/>
      <c r="Z12" s="465"/>
      <c r="AA12" s="465"/>
      <c r="AB12" s="470" t="s">
        <v>1555</v>
      </c>
      <c r="AC12" s="465"/>
      <c r="AD12" s="441" t="str">
        <f>MID('Input data'!$B$8,1,1)</f>
        <v>0</v>
      </c>
      <c r="AE12" s="441" t="str">
        <f>MID('Input data'!$B$8,2,1)</f>
        <v>4</v>
      </c>
      <c r="AF12" s="441"/>
      <c r="AG12" s="441" t="str">
        <f>MID('Input data'!$B$9,1,1)</f>
        <v>2</v>
      </c>
      <c r="AH12" s="441" t="str">
        <f>MID('Input data'!$B$9,2,1)</f>
        <v>0</v>
      </c>
      <c r="AI12" s="441" t="str">
        <f>MID('Input data'!$B$9,3,1)</f>
        <v>1</v>
      </c>
      <c r="AJ12" s="441" t="str">
        <f>MID('Input data'!$B$9,4,1)</f>
        <v>7</v>
      </c>
      <c r="AK12" s="471"/>
    </row>
    <row r="13" spans="1:37" s="462" customFormat="1" ht="19.5" customHeight="1" thickBot="1">
      <c r="A13" s="403" t="s">
        <v>1556</v>
      </c>
      <c r="B13" s="465"/>
      <c r="C13" s="465"/>
      <c r="D13" s="465"/>
      <c r="E13" s="465"/>
      <c r="F13" s="465"/>
      <c r="G13" s="465"/>
      <c r="H13" s="399"/>
      <c r="I13" s="399"/>
      <c r="J13" s="398"/>
      <c r="K13" s="399"/>
      <c r="L13" s="478" t="str">
        <f>IF('Input data'!D7="x","x"," ")</f>
        <v>x</v>
      </c>
      <c r="M13" s="470" t="s">
        <v>1557</v>
      </c>
      <c r="N13" s="472"/>
      <c r="O13" s="472"/>
      <c r="P13" s="472"/>
      <c r="Q13" s="472"/>
      <c r="R13" s="478" t="str">
        <f>IF('Input data'!D17="x","x"," ")</f>
        <v>x</v>
      </c>
      <c r="S13" s="470" t="s">
        <v>2595</v>
      </c>
      <c r="T13" s="465"/>
      <c r="U13" s="465"/>
      <c r="V13" s="471"/>
      <c r="W13" s="477"/>
      <c r="X13" s="467"/>
      <c r="Y13" s="467"/>
      <c r="Z13" s="467"/>
      <c r="AA13" s="467"/>
      <c r="AB13" s="466" t="s">
        <v>1559</v>
      </c>
      <c r="AC13" s="467"/>
      <c r="AD13" s="439" t="str">
        <f>MID('Input data'!$B$13,1,1)</f>
        <v>0</v>
      </c>
      <c r="AE13" s="439" t="str">
        <f>MID('Input data'!$B$13,2,1)</f>
        <v>3</v>
      </c>
      <c r="AF13" s="439"/>
      <c r="AG13" s="439" t="str">
        <f>MID('Input data'!$B$14,1,1)</f>
        <v>2</v>
      </c>
      <c r="AH13" s="439" t="str">
        <f>MID('Input data'!$B$14,2,1)</f>
        <v>0</v>
      </c>
      <c r="AI13" s="439" t="str">
        <f>MID('Input data'!$B$14,3,1)</f>
        <v>1</v>
      </c>
      <c r="AJ13" s="439" t="str">
        <f>MID('Input data'!$B$14,4,1)</f>
        <v>8</v>
      </c>
      <c r="AK13" s="468"/>
    </row>
    <row r="14" spans="1:37" s="462" customFormat="1" ht="19.5" customHeight="1">
      <c r="A14" s="476" t="str">
        <f>LEFT('Input data'!C26,1)</f>
        <v>3</v>
      </c>
      <c r="B14" s="441" t="str">
        <f>MID('Input data'!$C$26,2,1)</f>
        <v>1</v>
      </c>
      <c r="C14" s="441" t="str">
        <f>MID('Input data'!$C$26,3,1)</f>
        <v>3</v>
      </c>
      <c r="D14" s="441" t="str">
        <f>MID('Input data'!$C$26,4,1)</f>
        <v>6</v>
      </c>
      <c r="E14" s="441" t="str">
        <f>MID('Input data'!$C$26,5,1)</f>
        <v>5</v>
      </c>
      <c r="F14" s="441" t="str">
        <f>MID('Input data'!$C$26,6,1)</f>
        <v>5</v>
      </c>
      <c r="G14" s="441" t="str">
        <f>MID('Input data'!$C$26,7,1)</f>
        <v>0</v>
      </c>
      <c r="H14" s="441" t="str">
        <f>MID('Input data'!$C$26,8,1)</f>
        <v>7</v>
      </c>
      <c r="I14" s="399"/>
      <c r="J14" s="398"/>
      <c r="K14" s="399"/>
      <c r="L14" s="474" t="str">
        <f>IF('Input data'!D8="x","x", "")</f>
        <v/>
      </c>
      <c r="M14" s="470" t="s">
        <v>1560</v>
      </c>
      <c r="N14" s="472"/>
      <c r="O14" s="472"/>
      <c r="P14" s="472"/>
      <c r="Q14" s="472"/>
      <c r="R14" s="475" t="str">
        <f>IF('Input data'!D18="x","x"," ")</f>
        <v xml:space="preserve"> </v>
      </c>
      <c r="S14" s="470" t="s">
        <v>2596</v>
      </c>
      <c r="T14" s="465"/>
      <c r="U14" s="465"/>
      <c r="V14" s="471"/>
      <c r="W14" s="470"/>
      <c r="X14" s="465"/>
      <c r="Y14" s="402"/>
      <c r="Z14" s="399"/>
      <c r="AA14" s="399"/>
      <c r="AB14" s="472"/>
      <c r="AC14" s="399"/>
      <c r="AD14" s="474"/>
      <c r="AE14" s="474"/>
      <c r="AF14" s="474"/>
      <c r="AG14" s="474"/>
      <c r="AH14" s="474"/>
      <c r="AI14" s="474"/>
      <c r="AJ14" s="474"/>
      <c r="AK14" s="398"/>
    </row>
    <row r="15" spans="1:37" s="462" customFormat="1" ht="19.5" customHeight="1">
      <c r="A15" s="403" t="s">
        <v>1081</v>
      </c>
      <c r="B15" s="465"/>
      <c r="C15" s="465"/>
      <c r="D15" s="465"/>
      <c r="E15" s="465"/>
      <c r="F15" s="465"/>
      <c r="G15" s="465"/>
      <c r="H15" s="465"/>
      <c r="I15" s="399"/>
      <c r="J15" s="398"/>
      <c r="K15" s="399"/>
      <c r="L15" s="478" t="str">
        <f>IF('Input data'!D9="x","x"," ")</f>
        <v xml:space="preserve"> </v>
      </c>
      <c r="M15" s="1326" t="s">
        <v>2593</v>
      </c>
      <c r="N15" s="472"/>
      <c r="O15" s="472"/>
      <c r="P15" s="472"/>
      <c r="Q15" s="472"/>
      <c r="R15" s="865" t="s">
        <v>1562</v>
      </c>
      <c r="T15" s="465"/>
      <c r="U15" s="465"/>
      <c r="V15" s="471"/>
      <c r="W15" s="470" t="s">
        <v>1563</v>
      </c>
      <c r="X15" s="465"/>
      <c r="Y15" s="402"/>
      <c r="Z15" s="399"/>
      <c r="AA15" s="399"/>
      <c r="AB15" s="470" t="s">
        <v>1555</v>
      </c>
      <c r="AC15" s="399"/>
      <c r="AD15" s="441" t="str">
        <f>MID('Input data'!$B$18,1,1)</f>
        <v>0</v>
      </c>
      <c r="AE15" s="441" t="str">
        <f>MID('Input data'!$B$18,2,1)</f>
        <v>4</v>
      </c>
      <c r="AF15" s="441"/>
      <c r="AG15" s="441" t="str">
        <f>MID('Input data'!$B$19,1,1)</f>
        <v>2</v>
      </c>
      <c r="AH15" s="441" t="str">
        <f>MID('Input data'!$B$19,2,1)</f>
        <v>0</v>
      </c>
      <c r="AI15" s="441" t="str">
        <f>MID('Input data'!$B$19,3,1)</f>
        <v>1</v>
      </c>
      <c r="AJ15" s="441" t="str">
        <f>MID('Input data'!$B$19,4,1)</f>
        <v>6</v>
      </c>
      <c r="AK15" s="398"/>
    </row>
    <row r="16" spans="1:37" s="462" customFormat="1" ht="19.5" customHeight="1" thickBot="1">
      <c r="A16" s="469" t="str">
        <f>LEFT('Input data'!$F$7,1)</f>
        <v>2</v>
      </c>
      <c r="B16" s="394" t="str">
        <f>MID('Input data'!$F$7,2,1)</f>
        <v>7</v>
      </c>
      <c r="C16" s="467" t="s">
        <v>1063</v>
      </c>
      <c r="D16" s="394" t="str">
        <f>MID('Input data'!$F$7,3,1)</f>
        <v>3</v>
      </c>
      <c r="E16" s="394" t="str">
        <f>MID('Input data'!$F$7,4,1)</f>
        <v>1</v>
      </c>
      <c r="F16" s="846" t="s">
        <v>1063</v>
      </c>
      <c r="G16" s="394" t="str">
        <f>MID('Input data'!$F$7,5,1)</f>
        <v>0</v>
      </c>
      <c r="H16" s="394"/>
      <c r="I16" s="394"/>
      <c r="J16" s="393"/>
      <c r="K16" s="394"/>
      <c r="L16" s="1036" t="str">
        <f>IF('Input data'!D10="x","x", "")</f>
        <v/>
      </c>
      <c r="M16" s="466"/>
      <c r="N16" s="1037"/>
      <c r="O16" s="1037"/>
      <c r="P16" s="394"/>
      <c r="Q16" s="394"/>
      <c r="R16" s="394"/>
      <c r="S16" s="394"/>
      <c r="T16" s="467"/>
      <c r="U16" s="467"/>
      <c r="V16" s="468"/>
      <c r="W16" s="466"/>
      <c r="X16" s="467"/>
      <c r="Y16" s="395"/>
      <c r="Z16" s="394"/>
      <c r="AA16" s="394"/>
      <c r="AB16" s="466" t="s">
        <v>1559</v>
      </c>
      <c r="AC16" s="394"/>
      <c r="AD16" s="439" t="str">
        <f>MID('Input data'!$B$21,1,1)</f>
        <v>0</v>
      </c>
      <c r="AE16" s="439" t="str">
        <f>MID('Input data'!$B$21,2,1)</f>
        <v>3</v>
      </c>
      <c r="AF16" s="439"/>
      <c r="AG16" s="439" t="str">
        <f>MID('Input data'!$B$22,1,1)</f>
        <v>2</v>
      </c>
      <c r="AH16" s="439" t="str">
        <f>MID('Input data'!$B$22,2,1)</f>
        <v>0</v>
      </c>
      <c r="AI16" s="439" t="str">
        <f>MID('Input data'!$B$22,3,1)</f>
        <v>1</v>
      </c>
      <c r="AJ16" s="439" t="str">
        <f>MID('Input data'!$B$22,4,1)</f>
        <v>7</v>
      </c>
      <c r="AK16" s="393"/>
    </row>
    <row r="17" spans="1:37" s="462" customFormat="1" ht="3.75" customHeight="1" thickBot="1">
      <c r="A17" s="465"/>
      <c r="B17" s="465"/>
      <c r="C17" s="465"/>
      <c r="D17" s="465"/>
      <c r="E17" s="465"/>
      <c r="F17" s="463"/>
      <c r="G17" s="465"/>
      <c r="H17" s="399"/>
      <c r="I17" s="399"/>
      <c r="J17" s="399"/>
      <c r="K17" s="399"/>
      <c r="L17" s="399"/>
      <c r="M17" s="399"/>
      <c r="N17" s="399"/>
      <c r="O17" s="399"/>
      <c r="P17" s="399"/>
      <c r="Q17" s="399"/>
      <c r="R17" s="399"/>
      <c r="S17" s="399"/>
      <c r="T17" s="465"/>
      <c r="U17" s="465"/>
      <c r="V17" s="399"/>
      <c r="W17" s="399"/>
      <c r="X17" s="399"/>
      <c r="Y17" s="399"/>
      <c r="Z17" s="399"/>
      <c r="AA17" s="399"/>
      <c r="AB17" s="399"/>
      <c r="AC17" s="399"/>
      <c r="AD17" s="399"/>
      <c r="AE17" s="399"/>
      <c r="AF17" s="399"/>
      <c r="AG17" s="399"/>
      <c r="AH17" s="399"/>
      <c r="AI17" s="399"/>
      <c r="AJ17" s="399"/>
      <c r="AK17" s="399"/>
    </row>
    <row r="18" spans="1:37" s="462" customFormat="1" ht="17.100000000000001" customHeight="1">
      <c r="A18" s="1331" t="s">
        <v>2597</v>
      </c>
      <c r="B18" s="1328"/>
      <c r="C18" s="1328"/>
      <c r="D18" s="1328"/>
      <c r="E18" s="1328"/>
      <c r="F18" s="1328"/>
      <c r="G18" s="1328"/>
      <c r="H18" s="1329"/>
      <c r="I18" s="1329"/>
      <c r="J18" s="1329"/>
      <c r="K18" s="407"/>
      <c r="L18" s="407"/>
      <c r="M18" s="407"/>
      <c r="N18" s="407"/>
      <c r="O18" s="407"/>
      <c r="P18" s="407"/>
      <c r="Q18" s="407"/>
      <c r="R18" s="407"/>
      <c r="S18" s="407"/>
      <c r="T18" s="463"/>
      <c r="U18" s="463"/>
      <c r="V18" s="463"/>
      <c r="W18" s="407"/>
      <c r="X18" s="407"/>
      <c r="Y18" s="407"/>
      <c r="Z18" s="407"/>
      <c r="AA18" s="407"/>
      <c r="AB18" s="407"/>
      <c r="AC18" s="407"/>
      <c r="AD18" s="407"/>
      <c r="AE18" s="407"/>
      <c r="AF18" s="407"/>
      <c r="AG18" s="407"/>
      <c r="AH18" s="407"/>
      <c r="AI18" s="407"/>
      <c r="AJ18" s="407"/>
      <c r="AK18" s="406"/>
    </row>
    <row r="19" spans="1:37" s="462" customFormat="1" ht="17.100000000000001" customHeight="1">
      <c r="A19" s="1040"/>
      <c r="B19" s="478" t="str">
        <f>IF('Input data'!D12="x","x"," ")</f>
        <v>x</v>
      </c>
      <c r="C19" s="1326" t="s">
        <v>2598</v>
      </c>
      <c r="D19" s="1332"/>
      <c r="E19" s="1333"/>
      <c r="F19" s="1333"/>
      <c r="G19" s="1333"/>
      <c r="H19" s="399"/>
      <c r="I19" s="399"/>
      <c r="J19" s="399"/>
      <c r="K19" s="478" t="str">
        <f>IF('Input data'!D13="x","x"," ")</f>
        <v>x</v>
      </c>
      <c r="L19" s="1326" t="s">
        <v>2599</v>
      </c>
      <c r="M19" s="1334"/>
      <c r="N19" s="1334"/>
      <c r="O19" s="1334"/>
      <c r="P19" s="1334"/>
      <c r="Q19" s="1334"/>
      <c r="R19" s="1334"/>
      <c r="S19" s="1334"/>
      <c r="T19" s="1333"/>
      <c r="U19" s="1333"/>
      <c r="V19" s="1333"/>
      <c r="W19" s="1335" t="str">
        <f>IF('Input data'!D14="x","x"," ")</f>
        <v>x</v>
      </c>
      <c r="X19" s="1326" t="s">
        <v>2600</v>
      </c>
      <c r="Y19" s="1326"/>
      <c r="Z19" s="1334"/>
      <c r="AA19" s="1334"/>
      <c r="AB19" s="1334"/>
      <c r="AC19" s="1334"/>
      <c r="AD19" s="1334"/>
      <c r="AE19" s="1334"/>
      <c r="AF19" s="1334"/>
      <c r="AG19" s="1334"/>
      <c r="AH19" s="399"/>
      <c r="AI19" s="399"/>
      <c r="AJ19" s="399"/>
      <c r="AK19" s="398"/>
    </row>
    <row r="20" spans="1:37" s="462" customFormat="1" ht="17.100000000000001" customHeight="1" thickBot="1">
      <c r="A20" s="1041"/>
      <c r="B20" s="467"/>
      <c r="C20" s="1336" t="s">
        <v>2601</v>
      </c>
      <c r="D20" s="1337"/>
      <c r="E20" s="1337"/>
      <c r="F20" s="1337"/>
      <c r="G20" s="1337"/>
      <c r="H20" s="394"/>
      <c r="I20" s="394"/>
      <c r="J20" s="394"/>
      <c r="K20" s="394"/>
      <c r="L20" s="1336" t="s">
        <v>2601</v>
      </c>
      <c r="M20" s="1338"/>
      <c r="N20" s="1338"/>
      <c r="O20" s="1338"/>
      <c r="P20" s="1338"/>
      <c r="Q20" s="394"/>
      <c r="R20" s="394"/>
      <c r="S20" s="394"/>
      <c r="T20" s="467"/>
      <c r="U20" s="467"/>
      <c r="V20" s="467"/>
      <c r="W20" s="394"/>
      <c r="X20" s="1336" t="s">
        <v>2602</v>
      </c>
      <c r="Y20" s="1336"/>
      <c r="Z20" s="1338"/>
      <c r="AA20" s="1338"/>
      <c r="AB20" s="1338"/>
      <c r="AC20" s="1338"/>
      <c r="AD20" s="1338"/>
      <c r="AE20" s="1338"/>
      <c r="AF20" s="1338"/>
      <c r="AG20" s="1338"/>
      <c r="AH20" s="1338"/>
      <c r="AI20" s="394"/>
      <c r="AJ20" s="394"/>
      <c r="AK20" s="393"/>
    </row>
    <row r="21" spans="1:37" s="462" customFormat="1" ht="3.75" customHeight="1" thickBot="1">
      <c r="H21" s="392"/>
      <c r="I21" s="392"/>
      <c r="J21" s="392"/>
      <c r="K21" s="392"/>
      <c r="L21" s="392"/>
      <c r="M21" s="392"/>
      <c r="N21" s="392"/>
      <c r="O21" s="392"/>
      <c r="P21" s="392"/>
      <c r="Q21" s="392"/>
      <c r="R21" s="392"/>
      <c r="S21" s="392"/>
      <c r="W21" s="392"/>
      <c r="X21" s="392"/>
      <c r="Y21" s="392"/>
      <c r="Z21" s="392"/>
      <c r="AA21" s="392"/>
      <c r="AB21" s="392"/>
      <c r="AC21" s="392"/>
      <c r="AD21" s="392"/>
      <c r="AE21" s="392"/>
      <c r="AF21" s="392"/>
      <c r="AG21" s="392"/>
      <c r="AH21" s="392"/>
      <c r="AI21" s="392"/>
      <c r="AJ21" s="392"/>
      <c r="AK21" s="392"/>
    </row>
    <row r="22" spans="1:37" s="462" customFormat="1" ht="16.5">
      <c r="A22" s="464" t="s">
        <v>1564</v>
      </c>
      <c r="B22" s="463"/>
      <c r="C22" s="463"/>
      <c r="D22" s="463"/>
      <c r="E22" s="463"/>
      <c r="F22" s="463"/>
      <c r="G22" s="463"/>
      <c r="H22" s="407"/>
      <c r="I22" s="407"/>
      <c r="J22" s="407"/>
      <c r="K22" s="407"/>
      <c r="L22" s="407"/>
      <c r="M22" s="407"/>
      <c r="N22" s="407"/>
      <c r="O22" s="407"/>
      <c r="P22" s="407"/>
      <c r="Q22" s="407"/>
      <c r="R22" s="407"/>
      <c r="S22" s="407"/>
      <c r="T22" s="463"/>
      <c r="U22" s="463"/>
      <c r="V22" s="463"/>
      <c r="W22" s="407"/>
      <c r="X22" s="407"/>
      <c r="Y22" s="407"/>
      <c r="Z22" s="407"/>
      <c r="AA22" s="407"/>
      <c r="AB22" s="407"/>
      <c r="AC22" s="407"/>
      <c r="AD22" s="407"/>
      <c r="AE22" s="407"/>
      <c r="AF22" s="407"/>
      <c r="AG22" s="407"/>
      <c r="AH22" s="407"/>
      <c r="AI22" s="407"/>
      <c r="AJ22" s="407"/>
      <c r="AK22" s="406"/>
    </row>
    <row r="23" spans="1:37" s="462" customFormat="1" ht="19.5" customHeight="1">
      <c r="A23" s="449" t="str">
        <f>+LEFT('Input data'!$F$3,1)</f>
        <v>F</v>
      </c>
      <c r="B23" s="441" t="str">
        <f>+MID('Input data'!$F$3,2,1)</f>
        <v>o</v>
      </c>
      <c r="C23" s="441" t="str">
        <f>+MID('Input data'!$F$3,3,1)</f>
        <v>s</v>
      </c>
      <c r="D23" s="441" t="str">
        <f>+MID('Input data'!$F$3,4,1)</f>
        <v>s</v>
      </c>
      <c r="E23" s="441" t="str">
        <f>+MID('Input data'!$F$3,5,1)</f>
        <v xml:space="preserve"> </v>
      </c>
      <c r="F23" s="441" t="str">
        <f>+MID('Input data'!$F$3,6,1)</f>
        <v>F</v>
      </c>
      <c r="G23" s="441" t="str">
        <f>+MID('Input data'!$F$3,7,1)</f>
        <v>i</v>
      </c>
      <c r="H23" s="441" t="str">
        <f>+MID('Input data'!$F$3,8,1)</f>
        <v>b</v>
      </c>
      <c r="I23" s="441" t="str">
        <f>+MID('Input data'!$F$3,9,1)</f>
        <v>r</v>
      </c>
      <c r="J23" s="441" t="str">
        <f>+MID('Input data'!$F$3,10,1)</f>
        <v>e</v>
      </c>
      <c r="K23" s="441" t="str">
        <f>+MID('Input data'!$F$3,11,1)</f>
        <v xml:space="preserve"> </v>
      </c>
      <c r="L23" s="441" t="str">
        <f>+MID('Input data'!$F$3,12,1)</f>
        <v>O</v>
      </c>
      <c r="M23" s="441" t="str">
        <f>+MID('Input data'!$F$3,13,1)</f>
        <v>p</v>
      </c>
      <c r="N23" s="441" t="str">
        <f>+MID('Input data'!$F$3,14,1)</f>
        <v>t</v>
      </c>
      <c r="O23" s="441" t="str">
        <f>+MID('Input data'!$F$3,15,1)</f>
        <v>i</v>
      </c>
      <c r="P23" s="441" t="str">
        <f>+MID('Input data'!$F$3,16,1)</f>
        <v>c</v>
      </c>
      <c r="Q23" s="441" t="str">
        <f>+MID('Input data'!$F$3,17,1)</f>
        <v>s</v>
      </c>
      <c r="R23" s="441" t="str">
        <f>+MID('Input data'!$F$3,18,1)</f>
        <v>,</v>
      </c>
      <c r="S23" s="441" t="str">
        <f>+MID('Input data'!$F$3,19,1)</f>
        <v xml:space="preserve"> </v>
      </c>
      <c r="T23" s="441" t="str">
        <f>+MID('Input data'!$F$3,20,1)</f>
        <v>s</v>
      </c>
      <c r="U23" s="441" t="str">
        <f>+MID('Input data'!$F$3,21,1)</f>
        <v>.</v>
      </c>
      <c r="V23" s="441" t="str">
        <f>+MID('Input data'!$F$3,22,1)</f>
        <v>r</v>
      </c>
      <c r="W23" s="441" t="str">
        <f>+MID('Input data'!$F$3,23,1)</f>
        <v>.</v>
      </c>
      <c r="X23" s="441" t="str">
        <f>+MID('Input data'!$F$3,24,1)</f>
        <v>o</v>
      </c>
      <c r="Y23" s="441" t="str">
        <f>+MID('Input data'!$F$3,25,1)</f>
        <v>.</v>
      </c>
      <c r="Z23" s="441" t="str">
        <f>+MID('Input data'!$F$3,26,1)</f>
        <v xml:space="preserve"> </v>
      </c>
      <c r="AA23" s="441" t="str">
        <f>+MID('Input data'!$F$3,27,1)</f>
        <v xml:space="preserve">
</v>
      </c>
      <c r="AB23" s="441" t="str">
        <f>+MID('Input data'!$F$3,28,1)</f>
        <v/>
      </c>
      <c r="AC23" s="441" t="str">
        <f>+MID('Input data'!$F$3,29,1)</f>
        <v/>
      </c>
      <c r="AD23" s="441" t="str">
        <f>+MID('Input data'!$F$3,30,1)</f>
        <v/>
      </c>
      <c r="AE23" s="441" t="str">
        <f>+MID('Input data'!$F$3,31,1)</f>
        <v/>
      </c>
      <c r="AF23" s="441" t="str">
        <f>+MID('Input data'!$F$3,32,1)</f>
        <v/>
      </c>
      <c r="AG23" s="441" t="str">
        <f>+MID('Input data'!$F$3,33,1)</f>
        <v/>
      </c>
      <c r="AH23" s="441" t="str">
        <f>+MID('Input data'!$F$3,34,1)</f>
        <v/>
      </c>
      <c r="AI23" s="441" t="str">
        <f>+MID('Input data'!$F$3,35,1)</f>
        <v/>
      </c>
      <c r="AJ23" s="441" t="str">
        <f>+MID('Input data'!$F$3,36,1)</f>
        <v/>
      </c>
      <c r="AK23" s="448" t="str">
        <f>+MID('Input data'!$F$3,37,1)</f>
        <v/>
      </c>
    </row>
    <row r="24" spans="1:37" ht="19.5" customHeight="1">
      <c r="A24" s="449" t="str">
        <f>+MID('Input data'!$F$3,38,1)</f>
        <v/>
      </c>
      <c r="B24" s="441" t="str">
        <f>+MID('Input data'!$F$3,39,1)</f>
        <v/>
      </c>
      <c r="C24" s="441" t="str">
        <f>+MID('Input data'!$F$3,40,1)</f>
        <v/>
      </c>
      <c r="D24" s="441" t="str">
        <f>+MID('Input data'!$F$3,41,1)</f>
        <v/>
      </c>
      <c r="E24" s="441" t="str">
        <f>+MID('Input data'!$F$3,42,1)</f>
        <v/>
      </c>
      <c r="F24" s="441" t="str">
        <f>+MID('Input data'!$F$3,43,1)</f>
        <v/>
      </c>
      <c r="G24" s="441" t="str">
        <f>+MID('Input data'!$F$3,44,1)</f>
        <v/>
      </c>
      <c r="H24" s="441" t="str">
        <f>+MID('Input data'!$F$3,45,1)</f>
        <v/>
      </c>
      <c r="I24" s="441" t="str">
        <f>+MID('Input data'!$F$3,46,1)</f>
        <v/>
      </c>
      <c r="J24" s="441" t="str">
        <f>+MID('Input data'!$F$3,47,1)</f>
        <v/>
      </c>
      <c r="K24" s="441" t="str">
        <f>+MID('Input data'!$F$3,48,1)</f>
        <v/>
      </c>
      <c r="L24" s="441" t="str">
        <f>+MID('Input data'!$F$3,49,1)</f>
        <v/>
      </c>
      <c r="M24" s="441" t="str">
        <f>+MID('Input data'!$F$3,50,1)</f>
        <v/>
      </c>
      <c r="N24" s="441" t="str">
        <f>+MID('Input data'!$F$3,51,1)</f>
        <v/>
      </c>
      <c r="O24" s="441" t="str">
        <f>+MID('Input data'!$F$3,52,1)</f>
        <v/>
      </c>
      <c r="P24" s="441" t="str">
        <f>+MID('Input data'!$F$3,53,1)</f>
        <v/>
      </c>
      <c r="Q24" s="441" t="str">
        <f>+MID('Input data'!$F$3,54,1)</f>
        <v/>
      </c>
      <c r="R24" s="441" t="str">
        <f>+MID('Input data'!$F$3,55,1)</f>
        <v/>
      </c>
      <c r="S24" s="441" t="str">
        <f>+MID('Input data'!$F$3,56,1)</f>
        <v/>
      </c>
      <c r="T24" s="441" t="str">
        <f>+MID('Input data'!$F$3,57,1)</f>
        <v/>
      </c>
      <c r="U24" s="441" t="str">
        <f>+MID('Input data'!$F$3,58,1)</f>
        <v/>
      </c>
      <c r="V24" s="441" t="str">
        <f>+MID('Input data'!$F$3,59,1)</f>
        <v/>
      </c>
      <c r="W24" s="441" t="str">
        <f>+MID('Input data'!$F$3,60,1)</f>
        <v/>
      </c>
      <c r="X24" s="441" t="str">
        <f>+MID('Input data'!$F$3,61,1)</f>
        <v/>
      </c>
      <c r="Y24" s="441" t="str">
        <f>+MID('Input data'!$F$3,62,1)</f>
        <v/>
      </c>
      <c r="Z24" s="441" t="str">
        <f>+MID('Input data'!$F$3,63,1)</f>
        <v/>
      </c>
      <c r="AA24" s="441" t="str">
        <f>+MID('Input data'!$F$3,64,1)</f>
        <v/>
      </c>
      <c r="AB24" s="441" t="str">
        <f>+MID('Input data'!$F$3,65,1)</f>
        <v/>
      </c>
      <c r="AC24" s="441" t="str">
        <f>+MID('Input data'!$F$3,66,1)</f>
        <v/>
      </c>
      <c r="AD24" s="441" t="str">
        <f>+MID('Input data'!$F$3,67,1)</f>
        <v/>
      </c>
      <c r="AE24" s="441" t="str">
        <f>+MID('Input data'!$F$3,68,1)</f>
        <v/>
      </c>
      <c r="AF24" s="441" t="str">
        <f>+MID('Input data'!$F$3,69,1)</f>
        <v/>
      </c>
      <c r="AG24" s="441" t="str">
        <f>+MID('Input data'!$F$3,70,1)</f>
        <v/>
      </c>
      <c r="AH24" s="441" t="str">
        <f>+MID('Input data'!$F$3,71,1)</f>
        <v/>
      </c>
      <c r="AI24" s="441" t="str">
        <f>+MID('Input data'!$F$3,72,1)</f>
        <v/>
      </c>
      <c r="AJ24" s="441" t="str">
        <f>+MID('Input data'!$F$3,73,1)</f>
        <v/>
      </c>
      <c r="AK24" s="448" t="str">
        <f>+MID('Input data'!$F$3,74,1)</f>
        <v/>
      </c>
    </row>
    <row r="25" spans="1:37" ht="14.25" customHeight="1">
      <c r="A25" s="461"/>
      <c r="B25" s="460"/>
      <c r="C25" s="460"/>
      <c r="D25" s="460"/>
      <c r="E25" s="460"/>
      <c r="F25" s="460"/>
      <c r="G25" s="460"/>
      <c r="H25" s="460"/>
      <c r="I25" s="460"/>
      <c r="J25" s="460"/>
      <c r="K25" s="460"/>
      <c r="L25" s="460"/>
      <c r="M25" s="460"/>
      <c r="N25" s="460"/>
      <c r="O25" s="460"/>
      <c r="P25" s="460"/>
      <c r="Q25" s="460"/>
      <c r="R25" s="460"/>
      <c r="S25" s="460"/>
      <c r="T25" s="460"/>
      <c r="U25" s="460"/>
      <c r="V25" s="460"/>
      <c r="W25" s="459"/>
      <c r="X25" s="459"/>
      <c r="Y25" s="459"/>
      <c r="Z25" s="459"/>
      <c r="AA25" s="459"/>
      <c r="AB25" s="459"/>
      <c r="AC25" s="459"/>
      <c r="AD25" s="459"/>
      <c r="AE25" s="459"/>
      <c r="AF25" s="459"/>
      <c r="AG25" s="459"/>
      <c r="AH25" s="459"/>
      <c r="AI25" s="459"/>
      <c r="AJ25" s="459"/>
      <c r="AK25" s="458"/>
    </row>
    <row r="26" spans="1:37" ht="19.5" hidden="1" customHeight="1">
      <c r="A26" s="457"/>
      <c r="B26" s="456"/>
      <c r="C26" s="456"/>
      <c r="D26" s="456"/>
      <c r="E26" s="456"/>
      <c r="F26" s="456"/>
      <c r="G26" s="456" t="e">
        <f>+MID('Input data'!#REF!,7,1)</f>
        <v>#REF!</v>
      </c>
      <c r="H26" s="456" t="e">
        <f>+MID('Input data'!#REF!,8,1)</f>
        <v>#REF!</v>
      </c>
      <c r="I26" s="456" t="e">
        <f>+MID('Input data'!#REF!,9,1)</f>
        <v>#REF!</v>
      </c>
      <c r="J26" s="456" t="e">
        <f>+MID('Input data'!#REF!,10,1)</f>
        <v>#REF!</v>
      </c>
      <c r="K26" s="456" t="e">
        <f>+MID('Input data'!#REF!,11,1)</f>
        <v>#REF!</v>
      </c>
      <c r="L26" s="456" t="e">
        <f>+MID('Input data'!#REF!,12,1)</f>
        <v>#REF!</v>
      </c>
      <c r="M26" s="456" t="e">
        <f>+MID('Input data'!#REF!,13,1)</f>
        <v>#REF!</v>
      </c>
      <c r="N26" s="456" t="e">
        <f>+MID('Input data'!#REF!,14,1)</f>
        <v>#REF!</v>
      </c>
      <c r="O26" s="456" t="e">
        <f>+MID('Input data'!#REF!,15,1)</f>
        <v>#REF!</v>
      </c>
      <c r="P26" s="456" t="e">
        <f>+MID('Input data'!#REF!,16,1)</f>
        <v>#REF!</v>
      </c>
      <c r="Q26" s="456" t="e">
        <f>+MID('Input data'!#REF!,17,1)</f>
        <v>#REF!</v>
      </c>
      <c r="R26" s="456" t="e">
        <f>+MID('Input data'!#REF!,18,1)</f>
        <v>#REF!</v>
      </c>
      <c r="S26" s="456" t="e">
        <f>+MID('Input data'!#REF!,19,1)</f>
        <v>#REF!</v>
      </c>
      <c r="T26" s="456" t="e">
        <f>+MID('Input data'!#REF!,20,1)</f>
        <v>#REF!</v>
      </c>
      <c r="U26" s="456" t="e">
        <f>+MID('Input data'!#REF!,21,1)</f>
        <v>#REF!</v>
      </c>
      <c r="V26" s="456" t="e">
        <f>+MID('Input data'!#REF!,22,1)</f>
        <v>#REF!</v>
      </c>
      <c r="W26" s="456" t="e">
        <f>+MID('Input data'!#REF!,23,1)</f>
        <v>#REF!</v>
      </c>
      <c r="X26" s="456" t="e">
        <f>+MID('Input data'!#REF!,24,1)</f>
        <v>#REF!</v>
      </c>
      <c r="Y26" s="456" t="e">
        <f>+MID('Input data'!#REF!,25,1)</f>
        <v>#REF!</v>
      </c>
      <c r="Z26" s="456" t="e">
        <f>+MID('Input data'!#REF!,26,1)</f>
        <v>#REF!</v>
      </c>
      <c r="AA26" s="456" t="e">
        <f>+MID('Input data'!#REF!,27,1)</f>
        <v>#REF!</v>
      </c>
      <c r="AB26" s="456" t="e">
        <f>+MID('Input data'!#REF!,28,1)</f>
        <v>#REF!</v>
      </c>
      <c r="AC26" s="456" t="e">
        <f>+MID('Input data'!#REF!,29,1)</f>
        <v>#REF!</v>
      </c>
      <c r="AD26" s="456" t="e">
        <f>+MID('Input data'!#REF!,30,1)</f>
        <v>#REF!</v>
      </c>
      <c r="AE26" s="456" t="e">
        <f>+MID('Input data'!#REF!,31,1)</f>
        <v>#REF!</v>
      </c>
      <c r="AF26" s="456" t="e">
        <f>+MID('Input data'!#REF!,32,1)</f>
        <v>#REF!</v>
      </c>
      <c r="AG26" s="456" t="e">
        <f>+MID('Input data'!#REF!,33,1)</f>
        <v>#REF!</v>
      </c>
      <c r="AH26" s="456" t="e">
        <f>+MID('Input data'!#REF!,34,1)</f>
        <v>#REF!</v>
      </c>
      <c r="AI26" s="456" t="e">
        <f>+MID('Input data'!#REF!,35,1)</f>
        <v>#REF!</v>
      </c>
      <c r="AJ26" s="456" t="e">
        <f>+MID('Input data'!#REF!,36,1)</f>
        <v>#REF!</v>
      </c>
      <c r="AK26" s="455" t="e">
        <f>+MID('Input data'!#REF!,37,1)</f>
        <v>#REF!</v>
      </c>
    </row>
    <row r="27" spans="1:37" s="450" customFormat="1" ht="12" customHeight="1">
      <c r="A27" s="868" t="s">
        <v>1565</v>
      </c>
      <c r="B27" s="868"/>
      <c r="C27" s="453"/>
      <c r="D27" s="453"/>
      <c r="E27" s="453"/>
      <c r="F27" s="453"/>
      <c r="G27" s="453"/>
      <c r="H27" s="453"/>
      <c r="I27" s="453"/>
      <c r="J27" s="453"/>
      <c r="K27" s="453"/>
      <c r="L27" s="453"/>
      <c r="M27" s="453"/>
      <c r="N27" s="453"/>
      <c r="O27" s="453"/>
      <c r="P27" s="453"/>
      <c r="Q27" s="453"/>
      <c r="R27" s="453"/>
      <c r="S27" s="453"/>
      <c r="T27" s="453"/>
      <c r="U27" s="453"/>
      <c r="V27" s="453"/>
      <c r="W27" s="452"/>
      <c r="X27" s="452"/>
      <c r="Y27" s="452"/>
      <c r="Z27" s="452"/>
      <c r="AA27" s="452"/>
      <c r="AB27" s="452"/>
      <c r="AC27" s="452"/>
      <c r="AD27" s="452"/>
      <c r="AE27" s="452"/>
      <c r="AF27" s="452"/>
      <c r="AG27" s="452"/>
      <c r="AH27" s="452"/>
      <c r="AI27" s="452"/>
      <c r="AJ27" s="452"/>
      <c r="AK27" s="451"/>
    </row>
    <row r="28" spans="1:37">
      <c r="A28" s="446" t="s">
        <v>1566</v>
      </c>
      <c r="B28" s="1320"/>
      <c r="C28" s="1320"/>
      <c r="D28" s="1320"/>
      <c r="E28" s="1320"/>
      <c r="F28" s="1320"/>
      <c r="G28" s="1320"/>
      <c r="H28" s="1320"/>
      <c r="I28" s="1320"/>
      <c r="J28" s="1320"/>
      <c r="K28" s="1320"/>
      <c r="L28" s="1320"/>
      <c r="M28" s="1320"/>
      <c r="N28" s="1320"/>
      <c r="O28" s="1320"/>
      <c r="P28" s="1320"/>
      <c r="Q28" s="1320"/>
      <c r="R28" s="1320"/>
      <c r="S28" s="1320"/>
      <c r="T28" s="1320"/>
      <c r="U28" s="1320"/>
      <c r="V28" s="1320"/>
      <c r="W28" s="399"/>
      <c r="X28" s="399"/>
      <c r="Y28" s="399"/>
      <c r="Z28" s="399"/>
      <c r="AA28" s="399"/>
      <c r="AB28" s="1320"/>
      <c r="AC28" s="399"/>
      <c r="AD28" s="402" t="s">
        <v>1567</v>
      </c>
      <c r="AE28" s="399"/>
      <c r="AF28" s="399"/>
      <c r="AG28" s="399"/>
      <c r="AH28" s="399"/>
      <c r="AI28" s="399"/>
      <c r="AJ28" s="399"/>
      <c r="AK28" s="398"/>
    </row>
    <row r="29" spans="1:37" ht="19.5" customHeight="1">
      <c r="A29" s="449" t="str">
        <f>+LEFT('Input data'!$C$28,1)</f>
        <v>O</v>
      </c>
      <c r="B29" s="441" t="str">
        <f>+MID('Input data'!$C$28,2,1)</f>
        <v>d</v>
      </c>
      <c r="C29" s="441" t="str">
        <f>+MID('Input data'!$C$28,3,1)</f>
        <v>b</v>
      </c>
      <c r="D29" s="441" t="str">
        <f>+MID('Input data'!$C$28,4,1)</f>
        <v>o</v>
      </c>
      <c r="E29" s="441" t="str">
        <f>+MID('Input data'!$C$28,5,1)</f>
        <v>r</v>
      </c>
      <c r="F29" s="441" t="str">
        <f>+MID('Input data'!$C$28,6,1)</f>
        <v>á</v>
      </c>
      <c r="G29" s="441" t="str">
        <f>+MID('Input data'!$C$28,7,1)</f>
        <v>r</v>
      </c>
      <c r="H29" s="441" t="str">
        <f>+MID('Input data'!$C$28,8,1)</f>
        <v>s</v>
      </c>
      <c r="I29" s="441" t="str">
        <f>+MID('Input data'!$C$28,9,1)</f>
        <v>k</v>
      </c>
      <c r="J29" s="441" t="str">
        <f>+MID('Input data'!$C$28,10,1)</f>
        <v>a</v>
      </c>
      <c r="K29" s="441" t="str">
        <f>+MID('Input data'!$C$28,11,1)</f>
        <v/>
      </c>
      <c r="L29" s="441" t="str">
        <f>+MID('Input data'!$C$28,12,1)</f>
        <v/>
      </c>
      <c r="M29" s="441" t="str">
        <f>+MID('Input data'!$C$28,13,1)</f>
        <v/>
      </c>
      <c r="N29" s="441" t="str">
        <f>+MID('Input data'!$C$28,14,1)</f>
        <v/>
      </c>
      <c r="O29" s="441" t="str">
        <f>+MID('Input data'!$C$28,15,1)</f>
        <v/>
      </c>
      <c r="P29" s="441" t="str">
        <f>+MID('Input data'!$C$28,16,1)</f>
        <v/>
      </c>
      <c r="Q29" s="441" t="str">
        <f>+MID('Input data'!$C$28,17,1)</f>
        <v/>
      </c>
      <c r="R29" s="441" t="str">
        <f>+MID('Input data'!$C$28,18,1)</f>
        <v/>
      </c>
      <c r="S29" s="441" t="str">
        <f>+MID('Input data'!$C$28,19,1)</f>
        <v/>
      </c>
      <c r="T29" s="441" t="str">
        <f>+MID('Input data'!$C$28,20,1)</f>
        <v/>
      </c>
      <c r="U29" s="441" t="str">
        <f>+MID('Input data'!$C$28,21,1)</f>
        <v/>
      </c>
      <c r="V29" s="441" t="str">
        <f>+MID('Input data'!$C$28,22,1)</f>
        <v/>
      </c>
      <c r="W29" s="441" t="str">
        <f>+MID('Input data'!$C$28,23,1)</f>
        <v/>
      </c>
      <c r="X29" s="441" t="str">
        <f>+MID('Input data'!$C$28,24,1)</f>
        <v/>
      </c>
      <c r="Y29" s="441" t="str">
        <f>+MID('Input data'!$C$28,25,1)</f>
        <v/>
      </c>
      <c r="Z29" s="441" t="str">
        <f>+MID('Input data'!$C$28,26,1)</f>
        <v/>
      </c>
      <c r="AA29" s="441" t="str">
        <f>+MID('Input data'!$C$28,27,1)</f>
        <v/>
      </c>
      <c r="AB29" s="441" t="str">
        <f>+MID('Input data'!$C$28,28,1)</f>
        <v/>
      </c>
      <c r="AC29" s="443"/>
      <c r="AD29" s="441" t="str">
        <f>+LEFT('Input data'!$C$30,1)</f>
        <v>5</v>
      </c>
      <c r="AE29" s="441" t="str">
        <f>+MID('Input data'!$C$30,2,1)</f>
        <v>2</v>
      </c>
      <c r="AF29" s="441" t="str">
        <f>+MID('Input data'!$C$30,3,1)</f>
        <v/>
      </c>
      <c r="AG29" s="441" t="str">
        <f>+MID('Input data'!$C$30,4,1)</f>
        <v/>
      </c>
      <c r="AH29" s="441" t="str">
        <f>+MID('Input data'!$C$30,5,1)</f>
        <v/>
      </c>
      <c r="AI29" s="441" t="str">
        <f>+MID('Input data'!$C$30,6,1)</f>
        <v/>
      </c>
      <c r="AJ29" s="441" t="str">
        <f>+MID('Input data'!$C$30,7,1)</f>
        <v/>
      </c>
      <c r="AK29" s="448" t="str">
        <f>+MID('Input data'!$C$30,8,1)</f>
        <v/>
      </c>
    </row>
    <row r="30" spans="1:37">
      <c r="A30" s="446" t="s">
        <v>1568</v>
      </c>
      <c r="B30" s="1320"/>
      <c r="C30" s="1320"/>
      <c r="D30" s="1320"/>
      <c r="E30" s="1320"/>
      <c r="F30" s="1320"/>
      <c r="G30" s="445" t="s">
        <v>1569</v>
      </c>
      <c r="H30" s="445"/>
      <c r="I30" s="445"/>
      <c r="J30" s="445"/>
      <c r="K30" s="445"/>
      <c r="L30" s="445"/>
      <c r="M30" s="445"/>
      <c r="N30" s="445"/>
      <c r="O30" s="445"/>
      <c r="P30" s="445"/>
      <c r="Q30" s="445"/>
      <c r="R30" s="445"/>
      <c r="S30" s="445"/>
      <c r="T30" s="445"/>
      <c r="U30" s="445"/>
      <c r="V30" s="445"/>
      <c r="W30" s="445"/>
      <c r="X30" s="445"/>
      <c r="Y30" s="445"/>
      <c r="Z30" s="445"/>
      <c r="AA30" s="445"/>
      <c r="AB30" s="445"/>
      <c r="AC30" s="445"/>
      <c r="AD30" s="445"/>
      <c r="AE30" s="399"/>
      <c r="AF30" s="399"/>
      <c r="AG30" s="399"/>
      <c r="AH30" s="399"/>
      <c r="AI30" s="399"/>
      <c r="AJ30" s="399"/>
      <c r="AK30" s="398"/>
    </row>
    <row r="31" spans="1:37" s="447" customFormat="1" ht="19.5" customHeight="1">
      <c r="A31" s="449" t="str">
        <f>+LEFT('Input data'!$C$32,1)</f>
        <v>8</v>
      </c>
      <c r="B31" s="441" t="str">
        <f>+MID('Input data'!$C$32,2,1)</f>
        <v>3</v>
      </c>
      <c r="C31" s="441" t="str">
        <f>+MID('Input data'!$C$32,3,1)</f>
        <v>1</v>
      </c>
      <c r="D31" s="441" t="str">
        <f>+MID('Input data'!$C$32,4,1)</f>
        <v xml:space="preserve"> </v>
      </c>
      <c r="E31" s="441" t="str">
        <f>+MID('Input data'!$C$32,5,1)</f>
        <v>0</v>
      </c>
      <c r="F31" s="441"/>
      <c r="G31" s="441" t="str">
        <f>+LEFT('Input data'!$C$34,1)</f>
        <v>B</v>
      </c>
      <c r="H31" s="441" t="str">
        <f>+MID('Input data'!$C$34,2,1)</f>
        <v>r</v>
      </c>
      <c r="I31" s="441" t="str">
        <f>+MID('Input data'!$C$34,3,1)</f>
        <v>a</v>
      </c>
      <c r="J31" s="441" t="str">
        <f>+MID('Input data'!$C$34,4,1)</f>
        <v>t</v>
      </c>
      <c r="K31" s="441" t="str">
        <f>+MID('Input data'!$C$34,5,1)</f>
        <v>i</v>
      </c>
      <c r="L31" s="441" t="str">
        <f>+MID('Input data'!$C$34,6,1)</f>
        <v>s</v>
      </c>
      <c r="M31" s="441" t="str">
        <f>+MID('Input data'!$C$34,7,1)</f>
        <v>l</v>
      </c>
      <c r="N31" s="441" t="str">
        <f>+MID('Input data'!$C$34,8,1)</f>
        <v>a</v>
      </c>
      <c r="O31" s="441" t="str">
        <f>+MID('Input data'!$C$34,9,1)</f>
        <v>v</v>
      </c>
      <c r="P31" s="441" t="str">
        <f>+MID('Input data'!$C$34,10,1)</f>
        <v>a</v>
      </c>
      <c r="Q31" s="441" t="str">
        <f>+MID('Input data'!$C$34,11,1)</f>
        <v xml:space="preserve"> </v>
      </c>
      <c r="R31" s="441" t="str">
        <f>+MID('Input data'!$C$34,12,1)</f>
        <v/>
      </c>
      <c r="S31" s="441" t="str">
        <f>+MID('Input data'!$C$34,13,1)</f>
        <v/>
      </c>
      <c r="T31" s="441" t="str">
        <f>+MID('Input data'!$C$34,14,1)</f>
        <v/>
      </c>
      <c r="U31" s="441" t="str">
        <f>+MID('Input data'!$C$34,15,1)</f>
        <v/>
      </c>
      <c r="V31" s="441" t="str">
        <f>+MID('Input data'!$C$34,16,1)</f>
        <v/>
      </c>
      <c r="W31" s="441" t="str">
        <f>+MID('Input data'!$C$34,17,1)</f>
        <v/>
      </c>
      <c r="X31" s="441" t="str">
        <f>+MID('Input data'!$C$34,18,1)</f>
        <v/>
      </c>
      <c r="Y31" s="441" t="str">
        <f>+MID('Input data'!$C$34,19,1)</f>
        <v/>
      </c>
      <c r="Z31" s="441" t="str">
        <f>+MID('Input data'!$C$34,20,1)</f>
        <v/>
      </c>
      <c r="AA31" s="441" t="str">
        <f>+MID('Input data'!$C$34,21,1)</f>
        <v/>
      </c>
      <c r="AB31" s="441" t="str">
        <f>+MID('Input data'!$C$34,22,1)</f>
        <v/>
      </c>
      <c r="AC31" s="441" t="str">
        <f>+MID('Input data'!$C$34,23,1)</f>
        <v/>
      </c>
      <c r="AD31" s="441" t="str">
        <f>+MID('Input data'!$C$34,24,1)</f>
        <v/>
      </c>
      <c r="AE31" s="441" t="str">
        <f>+MID('Input data'!$C$34,25,1)</f>
        <v/>
      </c>
      <c r="AF31" s="441" t="str">
        <f>+MID('Input data'!$C$34,26,1)</f>
        <v/>
      </c>
      <c r="AG31" s="441" t="str">
        <f>+MID('Input data'!$C$34,27,1)</f>
        <v/>
      </c>
      <c r="AH31" s="441" t="str">
        <f>+MID('Input data'!$C$34,28,1)</f>
        <v/>
      </c>
      <c r="AI31" s="441" t="str">
        <f>+MID('Input data'!$C$34,29,1)</f>
        <v/>
      </c>
      <c r="AJ31" s="441" t="str">
        <f>+MID('Input data'!$C$34,30,1)</f>
        <v/>
      </c>
      <c r="AK31" s="448" t="str">
        <f>+MID('Input data'!$C$34,31,1)</f>
        <v/>
      </c>
    </row>
    <row r="32" spans="1:37" s="447" customFormat="1" ht="12.75" customHeight="1">
      <c r="A32" s="1339" t="s">
        <v>2603</v>
      </c>
      <c r="B32" s="1340"/>
      <c r="C32" s="1340"/>
      <c r="D32" s="1340"/>
      <c r="E32" s="1340"/>
      <c r="F32" s="1340"/>
      <c r="G32" s="1340"/>
      <c r="H32" s="1340"/>
      <c r="I32" s="1340"/>
      <c r="J32" s="1340"/>
      <c r="K32" s="1340"/>
      <c r="L32" s="1340"/>
      <c r="M32" s="1340"/>
      <c r="N32" s="1340"/>
      <c r="O32" s="1340"/>
      <c r="P32" s="1340"/>
      <c r="Q32" s="1340"/>
      <c r="R32" s="1340"/>
      <c r="S32" s="1340"/>
      <c r="T32" s="441"/>
      <c r="U32" s="441"/>
      <c r="V32" s="441"/>
      <c r="W32" s="441"/>
      <c r="X32" s="441"/>
      <c r="Y32" s="441"/>
      <c r="Z32" s="441"/>
      <c r="AA32" s="441"/>
      <c r="AB32" s="441"/>
      <c r="AC32" s="441"/>
      <c r="AD32" s="441"/>
      <c r="AE32" s="441"/>
      <c r="AF32" s="441"/>
      <c r="AG32" s="441"/>
      <c r="AH32" s="441"/>
      <c r="AI32" s="441"/>
      <c r="AJ32" s="441"/>
      <c r="AK32" s="448"/>
    </row>
    <row r="33" spans="1:38" s="447" customFormat="1" ht="19.5" customHeight="1">
      <c r="A33" s="449" t="str">
        <f>+LEFT('Input data'!$F$22,1)</f>
        <v>O</v>
      </c>
      <c r="B33" s="441" t="str">
        <f>+MID('Input data'!$F$22,2,1)</f>
        <v>k</v>
      </c>
      <c r="C33" s="441" t="str">
        <f>+MID('Input data'!$F$22,3,1)</f>
        <v>r</v>
      </c>
      <c r="D33" s="441" t="str">
        <f>+MID('Input data'!$F$22,4,1)</f>
        <v>e</v>
      </c>
      <c r="E33" s="441" t="str">
        <f>+MID('Input data'!$F$22,5,1)</f>
        <v>s</v>
      </c>
      <c r="F33" s="441" t="str">
        <f>+MID('Input data'!$F$22,6,1)</f>
        <v>n</v>
      </c>
      <c r="G33" s="441" t="str">
        <f>+MID('Input data'!$F$22,7,1)</f>
        <v>ý</v>
      </c>
      <c r="H33" s="441" t="str">
        <f>+MID('Input data'!$F$22,8,1)</f>
        <v xml:space="preserve"> </v>
      </c>
      <c r="I33" s="441" t="str">
        <f>+MID('Input data'!$F$22,9,1)</f>
        <v>s</v>
      </c>
      <c r="J33" s="441" t="str">
        <f>+MID('Input data'!$F$22,10,1)</f>
        <v>ú</v>
      </c>
      <c r="K33" s="441" t="str">
        <f>+MID('Input data'!$F$22,11,1)</f>
        <v>d</v>
      </c>
      <c r="L33" s="441" t="str">
        <f>+MID('Input data'!$F$22,12,1)</f>
        <v xml:space="preserve"> </v>
      </c>
      <c r="M33" s="441" t="str">
        <f>+MID('Input data'!$F$22,13,1)</f>
        <v>B</v>
      </c>
      <c r="N33" s="441" t="str">
        <f>+MID('Input data'!$F$22,14,1)</f>
        <v>r</v>
      </c>
      <c r="O33" s="441" t="str">
        <f>+MID('Input data'!$F$22,15,1)</f>
        <v>a</v>
      </c>
      <c r="P33" s="441" t="str">
        <f>+MID('Input data'!$F$22,16,1)</f>
        <v>t</v>
      </c>
      <c r="Q33" s="441" t="str">
        <f>+MID('Input data'!$F$22,17,1)</f>
        <v>i</v>
      </c>
      <c r="R33" s="441" t="str">
        <f>+MID('Input data'!$F$22,18,1)</f>
        <v>s</v>
      </c>
      <c r="S33" s="441" t="str">
        <f>+MID('Input data'!$F$22,19,1)</f>
        <v>l</v>
      </c>
      <c r="T33" s="441" t="str">
        <f>+MID('Input data'!$F$22,20,1)</f>
        <v>a</v>
      </c>
      <c r="U33" s="441" t="str">
        <f>+MID('Input data'!$F$22,21,1)</f>
        <v>v</v>
      </c>
      <c r="V33" s="441" t="str">
        <f>+MID('Input data'!$F$22,22,1)</f>
        <v>a</v>
      </c>
      <c r="W33" s="441" t="str">
        <f>+MID('Input data'!$F$22,23,1)</f>
        <v xml:space="preserve"> </v>
      </c>
      <c r="X33" s="441" t="str">
        <f>+MID('Input data'!$F$22,24,1)</f>
        <v>I</v>
      </c>
      <c r="Y33" s="441" t="str">
        <f>+MID('Input data'!$F$22,25,1)</f>
        <v>.</v>
      </c>
      <c r="Z33" s="441" t="str">
        <f>+MID('Input data'!$F$22,26,1)</f>
        <v xml:space="preserve">
</v>
      </c>
      <c r="AA33" s="441" t="str">
        <f>+MID('Input data'!$F$22,27,1)</f>
        <v>O</v>
      </c>
      <c r="AB33" s="441" t="str">
        <f>+MID('Input data'!$F$22,28,1)</f>
        <v>d</v>
      </c>
      <c r="AC33" s="441" t="str">
        <f>+MID('Input data'!$F$22,29,1)</f>
        <v>d</v>
      </c>
      <c r="AD33" s="441" t="str">
        <f>+MID('Input data'!$F$22,30,1)</f>
        <v>i</v>
      </c>
      <c r="AE33" s="441" t="str">
        <f>+MID('Input data'!$F$22,31,1)</f>
        <v>e</v>
      </c>
      <c r="AF33" s="441" t="str">
        <f>+MID('Input data'!$F$22,32,1)</f>
        <v>l</v>
      </c>
      <c r="AG33" s="441" t="str">
        <f>+MID('Input data'!$F$22,33,1)</f>
        <v xml:space="preserve"> </v>
      </c>
      <c r="AH33" s="441" t="str">
        <f>+MID('Input data'!$F$22,34,1)</f>
        <v>S</v>
      </c>
      <c r="AI33" s="441" t="str">
        <f>+MID('Input data'!$F$22,35,1)</f>
        <v>r</v>
      </c>
      <c r="AJ33" s="441" t="str">
        <f>+MID('Input data'!$F$22,36,1)</f>
        <v>o</v>
      </c>
      <c r="AK33" s="448" t="str">
        <f>+MID('Input data'!$F$22,37,1)</f>
        <v>,</v>
      </c>
    </row>
    <row r="34" spans="1:38" s="447" customFormat="1" ht="19.5" customHeight="1">
      <c r="A34" s="449" t="str">
        <f>+MID('Input data'!$F$22,38,1)</f>
        <v xml:space="preserve"> </v>
      </c>
      <c r="B34" s="441" t="str">
        <f>+MID('Input data'!$F$22,39,1)</f>
        <v>v</v>
      </c>
      <c r="C34" s="441" t="str">
        <f>+MID('Input data'!$F$22,40,1)</f>
        <v>l</v>
      </c>
      <c r="D34" s="441" t="str">
        <f>+MID('Input data'!$F$22,41,1)</f>
        <v>o</v>
      </c>
      <c r="E34" s="441" t="str">
        <f>+MID('Input data'!$F$22,42,1)</f>
        <v>ž</v>
      </c>
      <c r="F34" s="441" t="str">
        <f>+MID('Input data'!$F$22,43,1)</f>
        <v>k</v>
      </c>
      <c r="G34" s="441" t="str">
        <f>+MID('Input data'!$F$22,44,1)</f>
        <v>a</v>
      </c>
      <c r="H34" s="441" t="str">
        <f>+MID('Input data'!$F$22,45,1)</f>
        <v xml:space="preserve"> </v>
      </c>
      <c r="I34" s="441" t="str">
        <f>+MID('Input data'!$F$22,46,1)</f>
        <v>č</v>
      </c>
      <c r="J34" s="441" t="str">
        <f>+MID('Input data'!$F$22,47,1)</f>
        <v>.</v>
      </c>
      <c r="K34" s="441" t="str">
        <f>+MID('Input data'!$F$22,48,1)</f>
        <v xml:space="preserve"> </v>
      </c>
      <c r="L34" s="441" t="str">
        <f>+MID('Input data'!$F$22,49,1)</f>
        <v>6</v>
      </c>
      <c r="M34" s="441" t="str">
        <f>+MID('Input data'!$F$22,50,1)</f>
        <v>3</v>
      </c>
      <c r="N34" s="441" t="str">
        <f>+MID('Input data'!$F$22,51,1)</f>
        <v>7</v>
      </c>
      <c r="O34" s="441" t="str">
        <f>+MID('Input data'!$F$22,52,1)</f>
        <v>4</v>
      </c>
      <c r="P34" s="441" t="str">
        <f>+MID('Input data'!$F$22,53,1)</f>
        <v>/</v>
      </c>
      <c r="Q34" s="441" t="str">
        <f>+MID('Input data'!$F$22,54,1)</f>
        <v>B</v>
      </c>
      <c r="R34" s="441" t="str">
        <f>+MID('Input data'!$F$22,55,1)</f>
        <v/>
      </c>
      <c r="S34" s="441" t="str">
        <f>+MID('Input data'!$F$22,56,1)</f>
        <v/>
      </c>
      <c r="T34" s="441" t="str">
        <f>+MID('Input data'!$F$22,57,1)</f>
        <v/>
      </c>
      <c r="U34" s="441" t="str">
        <f>+MID('Input data'!$F$22,58,1)</f>
        <v/>
      </c>
      <c r="V34" s="441" t="str">
        <f>+MID('Input data'!$F$22,59,1)</f>
        <v/>
      </c>
      <c r="W34" s="441" t="str">
        <f>+MID('Input data'!$F$22,60,1)</f>
        <v/>
      </c>
      <c r="X34" s="441" t="str">
        <f>+MID('Input data'!$F$22,61,1)</f>
        <v/>
      </c>
      <c r="Y34" s="441" t="str">
        <f>+MID('Input data'!$F$22,62,1)</f>
        <v/>
      </c>
      <c r="Z34" s="441" t="str">
        <f>+MID('Input data'!$F$22,63,1)</f>
        <v/>
      </c>
      <c r="AA34" s="441" t="str">
        <f>+MID('Input data'!$F$22,64,1)</f>
        <v/>
      </c>
      <c r="AB34" s="441" t="str">
        <f>+MID('Input data'!$F$22,65,1)</f>
        <v/>
      </c>
      <c r="AC34" s="441" t="str">
        <f>+MID('Input data'!$F$22,66,1)</f>
        <v/>
      </c>
      <c r="AD34" s="441" t="str">
        <f>+MID('Input data'!$F$22,67,1)</f>
        <v/>
      </c>
      <c r="AE34" s="441" t="str">
        <f>+MID('Input data'!$F$22,68,1)</f>
        <v/>
      </c>
      <c r="AF34" s="441" t="str">
        <f>+MID('Input data'!$F$22,69,1)</f>
        <v/>
      </c>
      <c r="AG34" s="441" t="str">
        <f>+MID('Input data'!$F$22,70,1)</f>
        <v/>
      </c>
      <c r="AH34" s="441" t="str">
        <f>+MID('Input data'!$F$22,71,1)</f>
        <v/>
      </c>
      <c r="AI34" s="441" t="str">
        <f>+MID('Input data'!$F$22,72,1)</f>
        <v/>
      </c>
      <c r="AJ34" s="441" t="str">
        <f>+MID('Input data'!$F$22,73,1)</f>
        <v/>
      </c>
      <c r="AK34" s="448" t="str">
        <f>+MID('Input data'!$F$22,74,1)</f>
        <v/>
      </c>
    </row>
    <row r="35" spans="1:38">
      <c r="A35" s="446" t="s">
        <v>1570</v>
      </c>
      <c r="B35" s="1320"/>
      <c r="C35" s="1320"/>
      <c r="D35" s="1320"/>
      <c r="E35" s="1320"/>
      <c r="F35" s="1320"/>
      <c r="G35" s="445"/>
      <c r="H35" s="445"/>
      <c r="I35" s="445"/>
      <c r="J35" s="445"/>
      <c r="K35" s="445"/>
      <c r="L35" s="445"/>
      <c r="M35" s="445"/>
      <c r="N35" s="1320"/>
      <c r="O35" s="445" t="s">
        <v>1571</v>
      </c>
      <c r="P35" s="445"/>
      <c r="Q35" s="445"/>
      <c r="R35" s="445"/>
      <c r="S35" s="445"/>
      <c r="T35" s="445"/>
      <c r="U35" s="445"/>
      <c r="V35" s="445"/>
      <c r="W35" s="445"/>
      <c r="X35" s="445"/>
      <c r="Y35" s="445"/>
      <c r="Z35" s="445"/>
      <c r="AA35" s="445"/>
      <c r="AB35" s="445"/>
      <c r="AC35" s="445"/>
      <c r="AD35" s="445"/>
      <c r="AE35" s="399"/>
      <c r="AF35" s="399"/>
      <c r="AG35" s="399"/>
      <c r="AH35" s="399"/>
      <c r="AI35" s="399"/>
      <c r="AJ35" s="399"/>
      <c r="AK35" s="398"/>
    </row>
    <row r="36" spans="1:38" ht="19.5" customHeight="1">
      <c r="A36" s="444">
        <v>0</v>
      </c>
      <c r="B36" s="441" t="str">
        <f>+LEFT('Input data'!$C$36,1)</f>
        <v>2</v>
      </c>
      <c r="C36" s="441" t="str">
        <f>+MID('Input data'!$C$36,2,1)</f>
        <v/>
      </c>
      <c r="D36" s="441" t="str">
        <f>+MID('Input data'!$C$36,3,1)</f>
        <v/>
      </c>
      <c r="E36" s="441" t="s">
        <v>1092</v>
      </c>
      <c r="F36" s="441" t="str">
        <f>+LEFT('Input data'!$C$38,1)</f>
        <v>4</v>
      </c>
      <c r="G36" s="441" t="str">
        <f>+MID('Input data'!$C$38,2,1)</f>
        <v>8</v>
      </c>
      <c r="H36" s="441" t="str">
        <f>+MID('Input data'!$C$38,3,1)</f>
        <v>2</v>
      </c>
      <c r="I36" s="441" t="str">
        <f>+MID('Input data'!$C$38,4,1)</f>
        <v>0</v>
      </c>
      <c r="J36" s="441" t="str">
        <f>+MID('Input data'!$C$38,5,1)</f>
        <v>5</v>
      </c>
      <c r="K36" s="441" t="str">
        <f>+MID('Input data'!$C$38,6,1)</f>
        <v>2</v>
      </c>
      <c r="L36" s="441" t="str">
        <f>+MID('Input data'!$C$38,7,1)</f>
        <v>1</v>
      </c>
      <c r="M36" s="441" t="str">
        <f>+MID('Input data'!$C$38,8,1)</f>
        <v>0</v>
      </c>
      <c r="N36" s="443"/>
      <c r="O36" s="442">
        <v>0</v>
      </c>
      <c r="P36" s="441" t="str">
        <f>+LEFT('Input data'!$C$36,1)</f>
        <v>2</v>
      </c>
      <c r="Q36" s="441" t="str">
        <f>+MID('Input data'!$C$36,2,1)</f>
        <v/>
      </c>
      <c r="R36" s="441" t="str">
        <f>+MID('Input data'!$C$36,3,1)</f>
        <v/>
      </c>
      <c r="S36" s="441" t="s">
        <v>1092</v>
      </c>
      <c r="T36" s="441" t="str">
        <f>+LEFT('Input data'!$C$40,1)</f>
        <v>4</v>
      </c>
      <c r="U36" s="441" t="str">
        <f>+MID('Input data'!$C$40,2,1)</f>
        <v>8</v>
      </c>
      <c r="V36" s="441" t="str">
        <f>+MID('Input data'!$C$40,3,1)</f>
        <v>2</v>
      </c>
      <c r="W36" s="441" t="str">
        <f>+MID('Input data'!$C$40,4,1)</f>
        <v>0</v>
      </c>
      <c r="X36" s="441" t="str">
        <f>+MID('Input data'!$C$40,5,1)</f>
        <v>5</v>
      </c>
      <c r="Y36" s="441" t="str">
        <f>+MID('Input data'!$C$40,6,1)</f>
        <v>2</v>
      </c>
      <c r="Z36" s="441" t="str">
        <f>+MID('Input data'!$C$40,7,1)</f>
        <v>3</v>
      </c>
      <c r="AA36" s="441" t="str">
        <f>+MID('Input data'!$C$40,8,1)</f>
        <v>1</v>
      </c>
      <c r="AB36" s="441"/>
      <c r="AC36" s="441"/>
      <c r="AD36" s="441"/>
      <c r="AE36" s="399"/>
      <c r="AF36" s="399"/>
      <c r="AG36" s="399" t="s">
        <v>1093</v>
      </c>
      <c r="AH36" s="399"/>
      <c r="AI36" s="399"/>
      <c r="AJ36" s="399"/>
      <c r="AK36" s="398"/>
    </row>
    <row r="37" spans="1:38" s="391" customFormat="1">
      <c r="A37" s="403" t="s">
        <v>1572</v>
      </c>
      <c r="B37" s="402"/>
      <c r="C37" s="402"/>
      <c r="D37" s="402"/>
      <c r="E37" s="402"/>
      <c r="F37" s="402"/>
      <c r="G37" s="402"/>
      <c r="H37" s="402"/>
      <c r="I37" s="402"/>
      <c r="J37" s="402"/>
      <c r="K37" s="402"/>
      <c r="L37" s="402"/>
      <c r="M37" s="402"/>
      <c r="N37" s="402"/>
      <c r="O37" s="402"/>
      <c r="P37" s="402"/>
      <c r="Q37" s="402"/>
      <c r="R37" s="402"/>
      <c r="S37" s="402"/>
      <c r="T37" s="402"/>
      <c r="U37" s="402"/>
      <c r="V37" s="402"/>
      <c r="W37" s="399"/>
      <c r="X37" s="399"/>
      <c r="Y37" s="399"/>
      <c r="Z37" s="399"/>
      <c r="AA37" s="399"/>
      <c r="AB37" s="399"/>
      <c r="AC37" s="399"/>
      <c r="AD37" s="399"/>
      <c r="AE37" s="399"/>
      <c r="AF37" s="399"/>
      <c r="AG37" s="399"/>
      <c r="AH37" s="399"/>
      <c r="AI37" s="399"/>
      <c r="AJ37" s="399"/>
      <c r="AK37" s="398"/>
    </row>
    <row r="38" spans="1:38" ht="19.5" customHeight="1" thickBot="1">
      <c r="A38" s="440" t="str">
        <f>+LEFT('Input data'!$B$42,1)</f>
        <v>a</v>
      </c>
      <c r="B38" s="439" t="str">
        <f>+MID('Input data'!$B$42,2,1)</f>
        <v>c</v>
      </c>
      <c r="C38" s="439" t="str">
        <f>+MID('Input data'!$B$42,3,1)</f>
        <v>c</v>
      </c>
      <c r="D38" s="439" t="str">
        <f>+MID('Input data'!$B$42,4,1)</f>
        <v>o</v>
      </c>
      <c r="E38" s="439" t="str">
        <f>+MID('Input data'!$B$42,5,1)</f>
        <v>u</v>
      </c>
      <c r="F38" s="439" t="str">
        <f>+MID('Input data'!$B$42,6,1)</f>
        <v>n</v>
      </c>
      <c r="G38" s="439" t="str">
        <f>+MID('Input data'!$B$42,7,1)</f>
        <v>t</v>
      </c>
      <c r="H38" s="439" t="str">
        <f>+MID('Input data'!$B$42,8,1)</f>
        <v>i</v>
      </c>
      <c r="I38" s="439" t="str">
        <f>+MID('Input data'!$B$42,9,1)</f>
        <v>n</v>
      </c>
      <c r="J38" s="439" t="str">
        <f>+MID('Input data'!$B$42,10,1)</f>
        <v>g</v>
      </c>
      <c r="K38" s="439" t="str">
        <f>+MID('Input data'!$B$42,11,1)</f>
        <v>@</v>
      </c>
      <c r="L38" s="439" t="str">
        <f>+MID('Input data'!$B$42,12,1)</f>
        <v>o</v>
      </c>
      <c r="M38" s="439" t="str">
        <f>+MID('Input data'!$B$42,13,1)</f>
        <v>p</v>
      </c>
      <c r="N38" s="439" t="str">
        <f>+MID('Input data'!$B$42,14,1)</f>
        <v>t</v>
      </c>
      <c r="O38" s="439" t="str">
        <f>+MID('Input data'!$B$42,15,1)</f>
        <v>o</v>
      </c>
      <c r="P38" s="439" t="str">
        <f>+MID('Input data'!$B$42,16,1)</f>
        <v>c</v>
      </c>
      <c r="Q38" s="439" t="str">
        <f>+MID('Input data'!$B$42,17,1)</f>
        <v>o</v>
      </c>
      <c r="R38" s="439" t="str">
        <f>+MID('Input data'!$B$42,18,1)</f>
        <v>n</v>
      </c>
      <c r="S38" s="439" t="str">
        <f>+MID('Input data'!$B$42,19,1)</f>
        <v>.</v>
      </c>
      <c r="T38" s="439" t="str">
        <f>+MID('Input data'!$B$42,20,1)</f>
        <v>s</v>
      </c>
      <c r="U38" s="439" t="str">
        <f>+MID('Input data'!$B$42,21,1)</f>
        <v>k</v>
      </c>
      <c r="V38" s="439" t="str">
        <f>+MID('Input data'!$B$42,22,1)</f>
        <v/>
      </c>
      <c r="W38" s="439" t="str">
        <f>+MID('Input data'!$B$42,23,1)</f>
        <v/>
      </c>
      <c r="X38" s="439" t="str">
        <f>+MID('Input data'!$B$42,24,1)</f>
        <v/>
      </c>
      <c r="Y38" s="439" t="str">
        <f>+MID('Input data'!$B$42,25,1)</f>
        <v/>
      </c>
      <c r="Z38" s="439" t="str">
        <f>+MID('Input data'!$B$42,26,1)</f>
        <v/>
      </c>
      <c r="AA38" s="439" t="str">
        <f>+MID('Input data'!$B$42,27,1)</f>
        <v/>
      </c>
      <c r="AB38" s="439" t="str">
        <f>+MID('Input data'!$B$42,28,1)</f>
        <v/>
      </c>
      <c r="AC38" s="439" t="str">
        <f>+MID('Input data'!$B$42,29,1)</f>
        <v/>
      </c>
      <c r="AD38" s="439" t="str">
        <f>+MID('Input data'!$B$42,30,1)</f>
        <v/>
      </c>
      <c r="AE38" s="439" t="str">
        <f>+MID('Input data'!$B$42,31,1)</f>
        <v/>
      </c>
      <c r="AF38" s="439" t="str">
        <f>+MID('Input data'!$B$42,32,1)</f>
        <v/>
      </c>
      <c r="AG38" s="439" t="str">
        <f>+MID('Input data'!$B$42,33,1)</f>
        <v/>
      </c>
      <c r="AH38" s="439" t="str">
        <f>+MID('Input data'!$B$42,34,1)</f>
        <v/>
      </c>
      <c r="AI38" s="439" t="str">
        <f>+MID('Input data'!$B$42,35,1)</f>
        <v/>
      </c>
      <c r="AJ38" s="439" t="str">
        <f>+MID('Input data'!$B$42,36,1)</f>
        <v/>
      </c>
      <c r="AK38" s="438" t="str">
        <f>+MID('Input data'!$B$42,37,1)</f>
        <v/>
      </c>
    </row>
    <row r="39" spans="1:38" s="391" customFormat="1" ht="3.75" customHeight="1" thickBot="1">
      <c r="A39" s="1347"/>
      <c r="B39" s="402"/>
      <c r="C39" s="402"/>
      <c r="D39" s="402"/>
      <c r="E39" s="402"/>
      <c r="F39" s="402"/>
      <c r="G39" s="402"/>
      <c r="H39" s="402"/>
      <c r="I39" s="402"/>
      <c r="J39" s="402"/>
      <c r="K39" s="402"/>
      <c r="L39" s="402"/>
      <c r="M39" s="402"/>
      <c r="N39" s="402"/>
      <c r="O39" s="402"/>
      <c r="P39" s="402"/>
      <c r="Q39" s="402"/>
      <c r="R39" s="402"/>
      <c r="S39" s="402"/>
      <c r="T39" s="402"/>
      <c r="U39" s="402"/>
      <c r="V39" s="402"/>
      <c r="W39" s="399"/>
      <c r="X39" s="399"/>
      <c r="Y39" s="399"/>
      <c r="Z39" s="399"/>
      <c r="AA39" s="399"/>
      <c r="AB39" s="399"/>
      <c r="AC39" s="399"/>
      <c r="AD39" s="399"/>
      <c r="AE39" s="399"/>
      <c r="AF39" s="399"/>
      <c r="AG39" s="399"/>
      <c r="AH39" s="399"/>
      <c r="AI39" s="399"/>
      <c r="AJ39" s="399"/>
      <c r="AK39" s="1348"/>
    </row>
    <row r="40" spans="1:38" s="434" customFormat="1" ht="12.75" customHeight="1">
      <c r="A40" s="437" t="s">
        <v>1573</v>
      </c>
      <c r="B40" s="436"/>
      <c r="C40" s="436"/>
      <c r="D40" s="436"/>
      <c r="E40" s="436"/>
      <c r="F40" s="436"/>
      <c r="G40" s="436"/>
      <c r="H40" s="436"/>
      <c r="I40" s="436"/>
      <c r="J40" s="436"/>
      <c r="K40" s="435"/>
      <c r="L40" s="480" t="s">
        <v>1577</v>
      </c>
      <c r="M40" s="436"/>
      <c r="N40" s="436"/>
      <c r="O40" s="436"/>
      <c r="P40" s="436"/>
      <c r="Q40" s="436"/>
      <c r="R40" s="436"/>
      <c r="S40" s="436"/>
      <c r="T40" s="436"/>
      <c r="U40" s="436"/>
      <c r="V40" s="435"/>
      <c r="W40" s="2655" t="s">
        <v>2604</v>
      </c>
      <c r="X40" s="2655"/>
      <c r="Y40" s="2655"/>
      <c r="Z40" s="2655"/>
      <c r="AA40" s="2655"/>
      <c r="AB40" s="2655"/>
      <c r="AC40" s="2655"/>
      <c r="AD40" s="2655"/>
      <c r="AE40" s="2655"/>
      <c r="AF40" s="2655"/>
      <c r="AG40" s="2655"/>
      <c r="AH40" s="2655"/>
      <c r="AI40" s="2655"/>
      <c r="AJ40" s="2655"/>
      <c r="AK40" s="2656"/>
    </row>
    <row r="41" spans="1:38" s="391" customFormat="1" ht="31.5" customHeight="1">
      <c r="A41" s="420" t="str">
        <f>MID(TEXT('Input data'!$F$34,"dd.mm.yyyy"),1,1)</f>
        <v>1</v>
      </c>
      <c r="B41" s="419" t="str">
        <f>MID(TEXT('Input data'!$F$34,"dd.mm.yyyy"),2,1)</f>
        <v>5</v>
      </c>
      <c r="C41" s="418" t="s">
        <v>1063</v>
      </c>
      <c r="D41" s="419" t="str">
        <f>MID(TEXT('Input data'!$F$34,"dd.mm.yyyy"),4,1)</f>
        <v>0</v>
      </c>
      <c r="E41" s="419" t="str">
        <f>MID(TEXT('Input data'!$F$34,"dd.mm.yyyy"),5,1)</f>
        <v>5</v>
      </c>
      <c r="F41" s="418" t="s">
        <v>1063</v>
      </c>
      <c r="G41" s="417" t="str">
        <f>MID(TEXT('Input data'!$F$34,"dd.mm.yyyy"),7,1)</f>
        <v>2</v>
      </c>
      <c r="H41" s="417" t="str">
        <f>MID(TEXT('Input data'!$F$34,"dd.mm.yyyy"),8,1)</f>
        <v>0</v>
      </c>
      <c r="I41" s="417" t="str">
        <f>MID(TEXT('Input data'!$F$34,"dd.mm.yyyy"),9,1)</f>
        <v>1</v>
      </c>
      <c r="J41" s="417" t="str">
        <f>MID(TEXT('Input data'!$F$34,"dd.mm.yyyy"),10,1)</f>
        <v>8</v>
      </c>
      <c r="K41" s="433"/>
      <c r="L41" s="419" t="str">
        <f>IF('Input data'!$F$36="","",LEFT(TEXT('Input data'!$F$36,"dd.mm.yyyy"),1))</f>
        <v/>
      </c>
      <c r="M41" s="419" t="str">
        <f>IF('Input data'!$F$36="","",MID(TEXT('Input data'!$F$36,"dd.mm.yyyy"),2,1))</f>
        <v/>
      </c>
      <c r="N41" s="418" t="s">
        <v>1063</v>
      </c>
      <c r="O41" s="419" t="str">
        <f>IF('Input data'!$F$36="","",MID(TEXT('Input data'!$F$36,"dd.mm.yyyy"),4,1))</f>
        <v/>
      </c>
      <c r="P41" s="419" t="str">
        <f>IF('Input data'!$F$36="","",MID(TEXT('Input data'!$F$36,"dd.mm.yyyy"),5,1))</f>
        <v/>
      </c>
      <c r="Q41" s="418" t="s">
        <v>1063</v>
      </c>
      <c r="R41" s="417" t="str">
        <f>IF('Input data'!$F$36="","",MID(TEXT('Input data'!$F$36,"dd.mm.yyyy"),7,1))</f>
        <v/>
      </c>
      <c r="S41" s="417" t="str">
        <f>IF('Input data'!$F$36="","",MID(TEXT('Input data'!$F$36,"dd.mm.yyyy"),8,1))</f>
        <v/>
      </c>
      <c r="T41" s="417" t="str">
        <f>IF('Input data'!$F$36="","",MID(TEXT('Input data'!$F$36,"dd.mm.yyyy"),9,1))</f>
        <v/>
      </c>
      <c r="U41" s="417" t="str">
        <f>IF('Input data'!$F$36="","",MID(TEXT('Input data'!$F$36,"dd.mm.yyyy"),10,1))</f>
        <v/>
      </c>
      <c r="V41" s="433"/>
      <c r="W41" s="2657"/>
      <c r="X41" s="2657"/>
      <c r="Y41" s="2657"/>
      <c r="Z41" s="2657"/>
      <c r="AA41" s="2657"/>
      <c r="AB41" s="2657"/>
      <c r="AC41" s="2657"/>
      <c r="AD41" s="2657"/>
      <c r="AE41" s="2657"/>
      <c r="AF41" s="2657"/>
      <c r="AG41" s="2657"/>
      <c r="AH41" s="2657"/>
      <c r="AI41" s="2657"/>
      <c r="AJ41" s="2657"/>
      <c r="AK41" s="2658"/>
    </row>
    <row r="42" spans="1:38" s="391" customFormat="1" ht="13.5" customHeight="1">
      <c r="A42" s="403"/>
      <c r="B42" s="402"/>
      <c r="C42" s="402"/>
      <c r="D42" s="402"/>
      <c r="E42" s="402"/>
      <c r="F42" s="402"/>
      <c r="G42" s="428"/>
      <c r="H42" s="428"/>
      <c r="I42" s="428"/>
      <c r="J42" s="428"/>
      <c r="K42" s="427"/>
      <c r="L42" s="402"/>
      <c r="M42" s="402"/>
      <c r="N42" s="402"/>
      <c r="O42" s="402"/>
      <c r="P42" s="402"/>
      <c r="Q42" s="402"/>
      <c r="R42" s="428"/>
      <c r="S42" s="428"/>
      <c r="T42" s="428"/>
      <c r="U42" s="428"/>
      <c r="V42" s="427"/>
      <c r="W42" s="1614">
        <f>'Input data'!F40</f>
        <v>0</v>
      </c>
      <c r="X42" s="1615"/>
      <c r="Y42" s="1615"/>
      <c r="Z42" s="1615"/>
      <c r="AA42" s="1615"/>
      <c r="AB42" s="1615"/>
      <c r="AC42" s="1615"/>
      <c r="AD42" s="1615"/>
      <c r="AE42" s="1615"/>
      <c r="AF42" s="1615"/>
      <c r="AG42" s="1615"/>
      <c r="AH42" s="1615"/>
      <c r="AI42" s="1615"/>
      <c r="AJ42" s="1615"/>
      <c r="AK42" s="1616"/>
    </row>
    <row r="43" spans="1:38" s="391" customFormat="1" ht="15.75" customHeight="1" thickBot="1">
      <c r="A43" s="396"/>
      <c r="B43" s="395"/>
      <c r="C43" s="395"/>
      <c r="D43" s="395"/>
      <c r="E43" s="395"/>
      <c r="F43" s="395"/>
      <c r="G43" s="1052"/>
      <c r="H43" s="1052"/>
      <c r="I43" s="1052"/>
      <c r="J43" s="1052"/>
      <c r="K43" s="1053"/>
      <c r="L43" s="1054"/>
      <c r="M43" s="1054"/>
      <c r="N43" s="1054"/>
      <c r="O43" s="1054"/>
      <c r="P43" s="1054"/>
      <c r="Q43" s="1054"/>
      <c r="R43" s="1054"/>
      <c r="S43" s="395"/>
      <c r="T43" s="1055"/>
      <c r="U43" s="1055"/>
      <c r="V43" s="1056"/>
      <c r="W43" s="1617"/>
      <c r="X43" s="1618"/>
      <c r="Y43" s="1618"/>
      <c r="Z43" s="1618"/>
      <c r="AA43" s="1618"/>
      <c r="AB43" s="1618"/>
      <c r="AC43" s="1618"/>
      <c r="AD43" s="1618"/>
      <c r="AE43" s="1618"/>
      <c r="AF43" s="1618"/>
      <c r="AG43" s="1618"/>
      <c r="AH43" s="1618"/>
      <c r="AI43" s="1618"/>
      <c r="AJ43" s="1618"/>
      <c r="AK43" s="1619"/>
    </row>
    <row r="44" spans="1:38" s="397" customFormat="1" ht="5.25" customHeight="1" thickBot="1">
      <c r="A44" s="408"/>
      <c r="B44" s="411"/>
      <c r="C44" s="411"/>
      <c r="D44" s="411"/>
      <c r="E44" s="411"/>
      <c r="F44" s="411"/>
      <c r="G44" s="411"/>
      <c r="H44" s="411"/>
      <c r="I44" s="411"/>
      <c r="J44" s="411"/>
      <c r="K44" s="411"/>
      <c r="L44" s="1288"/>
      <c r="M44" s="1288"/>
      <c r="N44" s="1288"/>
      <c r="O44" s="1288"/>
      <c r="P44" s="1288"/>
      <c r="Q44" s="1288"/>
      <c r="R44" s="1288"/>
      <c r="S44" s="1288"/>
      <c r="T44" s="1288"/>
      <c r="U44" s="1288"/>
      <c r="V44" s="1288"/>
      <c r="W44" s="1288"/>
      <c r="X44" s="1288"/>
      <c r="Y44" s="1288"/>
      <c r="Z44" s="1288"/>
      <c r="AA44" s="1288"/>
      <c r="AB44" s="1288"/>
      <c r="AC44" s="1342"/>
      <c r="AD44" s="1342"/>
      <c r="AE44" s="1342"/>
      <c r="AF44" s="1342"/>
      <c r="AG44" s="1342"/>
      <c r="AH44" s="1342"/>
      <c r="AI44" s="1342"/>
      <c r="AJ44" s="1342"/>
      <c r="AK44" s="1039"/>
      <c r="AL44" s="400"/>
    </row>
    <row r="45" spans="1:38" s="397" customFormat="1">
      <c r="A45" s="1345"/>
      <c r="B45" s="1341" t="s">
        <v>1578</v>
      </c>
      <c r="C45" s="400"/>
      <c r="D45" s="400"/>
      <c r="E45" s="400"/>
      <c r="F45" s="400"/>
      <c r="G45" s="400"/>
      <c r="H45" s="400"/>
      <c r="I45" s="400"/>
      <c r="J45" s="400"/>
      <c r="K45" s="400"/>
      <c r="L45" s="400"/>
      <c r="M45" s="400"/>
      <c r="N45" s="400"/>
      <c r="O45" s="400"/>
      <c r="P45" s="400"/>
      <c r="Q45" s="400"/>
      <c r="R45" s="400"/>
      <c r="S45" s="400"/>
      <c r="T45" s="400"/>
      <c r="U45" s="400"/>
      <c r="V45" s="400"/>
      <c r="W45" s="399"/>
      <c r="X45" s="399"/>
      <c r="Y45" s="399"/>
      <c r="Z45" s="399"/>
      <c r="AA45" s="399"/>
      <c r="AB45" s="399"/>
      <c r="AC45" s="399"/>
      <c r="AD45" s="399"/>
      <c r="AE45" s="399"/>
      <c r="AF45" s="399"/>
      <c r="AG45" s="399"/>
      <c r="AH45" s="399"/>
      <c r="AI45" s="399"/>
      <c r="AJ45" s="398"/>
      <c r="AK45" s="1346"/>
      <c r="AL45" s="400"/>
    </row>
    <row r="46" spans="1:38" s="397" customFormat="1">
      <c r="B46" s="401"/>
      <c r="C46" s="400"/>
      <c r="D46" s="400"/>
      <c r="E46" s="400"/>
      <c r="F46" s="400"/>
      <c r="G46" s="400"/>
      <c r="H46" s="400"/>
      <c r="I46" s="400"/>
      <c r="J46" s="400"/>
      <c r="K46" s="400"/>
      <c r="L46" s="400"/>
      <c r="M46" s="400"/>
      <c r="N46" s="400"/>
      <c r="O46" s="400"/>
      <c r="P46" s="400"/>
      <c r="Q46" s="400"/>
      <c r="R46" s="400"/>
      <c r="S46" s="400"/>
      <c r="T46" s="400"/>
      <c r="U46" s="400"/>
      <c r="V46" s="400"/>
      <c r="W46" s="399"/>
      <c r="X46" s="399"/>
      <c r="Y46" s="399"/>
      <c r="Z46" s="399"/>
      <c r="AA46" s="399"/>
      <c r="AB46" s="399"/>
      <c r="AC46" s="399"/>
      <c r="AD46" s="399"/>
      <c r="AE46" s="399"/>
      <c r="AF46" s="399"/>
      <c r="AG46" s="399"/>
      <c r="AH46" s="399"/>
      <c r="AI46" s="399"/>
      <c r="AJ46" s="398"/>
      <c r="AK46" s="392"/>
    </row>
    <row r="47" spans="1:38" ht="12.75" customHeight="1">
      <c r="B47" s="405"/>
      <c r="C47" s="1290"/>
      <c r="D47" s="1290"/>
      <c r="E47" s="1290"/>
      <c r="F47" s="1290"/>
      <c r="G47" s="1290"/>
      <c r="H47" s="1290"/>
      <c r="I47" s="1290"/>
      <c r="J47" s="1290"/>
      <c r="K47" s="1290"/>
      <c r="L47" s="1290"/>
      <c r="M47" s="1290"/>
      <c r="N47" s="1290"/>
      <c r="O47" s="1290"/>
      <c r="P47" s="1290"/>
      <c r="Q47" s="1290"/>
      <c r="R47" s="1290"/>
      <c r="S47" s="1290"/>
      <c r="T47" s="1290"/>
      <c r="U47" s="1290"/>
      <c r="V47" s="1290"/>
      <c r="W47" s="399"/>
      <c r="X47" s="399"/>
      <c r="Y47" s="399"/>
      <c r="Z47" s="399"/>
      <c r="AA47" s="399"/>
      <c r="AB47" s="399"/>
      <c r="AC47" s="399"/>
      <c r="AD47" s="399"/>
      <c r="AE47" s="399"/>
      <c r="AF47" s="399"/>
      <c r="AG47" s="399"/>
      <c r="AH47" s="399"/>
      <c r="AI47" s="399"/>
      <c r="AJ47" s="398"/>
      <c r="AK47" s="392"/>
    </row>
    <row r="48" spans="1:38" s="391" customFormat="1">
      <c r="B48" s="403"/>
      <c r="C48" s="402"/>
      <c r="D48" s="402"/>
      <c r="E48" s="402"/>
      <c r="F48" s="402"/>
      <c r="G48" s="402"/>
      <c r="H48" s="402"/>
      <c r="I48" s="402"/>
      <c r="J48" s="402"/>
      <c r="K48" s="402"/>
      <c r="L48" s="402"/>
      <c r="M48" s="402"/>
      <c r="N48" s="402"/>
      <c r="O48" s="402"/>
      <c r="P48" s="402"/>
      <c r="Q48" s="402"/>
      <c r="R48" s="402"/>
      <c r="S48" s="402"/>
      <c r="T48" s="402"/>
      <c r="U48" s="402"/>
      <c r="V48" s="402"/>
      <c r="W48" s="399"/>
      <c r="X48" s="399"/>
      <c r="Y48" s="399"/>
      <c r="Z48" s="399"/>
      <c r="AA48" s="399"/>
      <c r="AB48" s="399"/>
      <c r="AC48" s="399"/>
      <c r="AD48" s="399"/>
      <c r="AE48" s="399"/>
      <c r="AF48" s="399"/>
      <c r="AG48" s="399"/>
      <c r="AH48" s="399"/>
      <c r="AI48" s="399"/>
      <c r="AJ48" s="398"/>
      <c r="AK48" s="392"/>
    </row>
    <row r="49" spans="2:37" s="391" customFormat="1">
      <c r="B49" s="403"/>
      <c r="C49" s="402"/>
      <c r="D49" s="402"/>
      <c r="E49" s="402"/>
      <c r="F49" s="402"/>
      <c r="G49" s="402"/>
      <c r="H49" s="402"/>
      <c r="I49" s="402"/>
      <c r="J49" s="402"/>
      <c r="K49" s="402"/>
      <c r="L49" s="402"/>
      <c r="M49" s="402"/>
      <c r="N49" s="402"/>
      <c r="O49" s="402"/>
      <c r="P49" s="402"/>
      <c r="Q49" s="402"/>
      <c r="R49" s="402"/>
      <c r="S49" s="402"/>
      <c r="T49" s="402"/>
      <c r="U49" s="402"/>
      <c r="V49" s="402"/>
      <c r="W49" s="399"/>
      <c r="X49" s="399"/>
      <c r="Y49" s="399"/>
      <c r="Z49" s="399"/>
      <c r="AA49" s="399"/>
      <c r="AB49" s="399"/>
      <c r="AC49" s="399"/>
      <c r="AD49" s="399"/>
      <c r="AE49" s="399"/>
      <c r="AF49" s="399"/>
      <c r="AG49" s="399"/>
      <c r="AH49" s="399"/>
      <c r="AI49" s="399"/>
      <c r="AJ49" s="398"/>
      <c r="AK49" s="392"/>
    </row>
    <row r="50" spans="2:37" s="397" customFormat="1">
      <c r="B50" s="401"/>
      <c r="C50" s="400"/>
      <c r="D50" s="400"/>
      <c r="E50" s="400"/>
      <c r="F50" s="400"/>
      <c r="G50" s="400"/>
      <c r="H50" s="400"/>
      <c r="I50" s="400"/>
      <c r="J50" s="400"/>
      <c r="K50" s="400"/>
      <c r="L50" s="400"/>
      <c r="M50" s="400"/>
      <c r="N50" s="400"/>
      <c r="O50" s="400"/>
      <c r="P50" s="400"/>
      <c r="Q50" s="400"/>
      <c r="R50" s="400"/>
      <c r="S50" s="400"/>
      <c r="T50" s="400"/>
      <c r="U50" s="400"/>
      <c r="V50" s="400"/>
      <c r="W50" s="399"/>
      <c r="X50" s="399"/>
      <c r="Y50" s="399"/>
      <c r="Z50" s="399"/>
      <c r="AA50" s="399"/>
      <c r="AB50" s="399"/>
      <c r="AC50" s="399"/>
      <c r="AD50" s="399"/>
      <c r="AE50" s="399"/>
      <c r="AF50" s="399"/>
      <c r="AG50" s="399"/>
      <c r="AH50" s="399"/>
      <c r="AI50" s="399"/>
      <c r="AJ50" s="398"/>
      <c r="AK50" s="392"/>
    </row>
    <row r="51" spans="2:37" s="397" customFormat="1">
      <c r="B51" s="401"/>
      <c r="C51" s="400"/>
      <c r="D51" s="400"/>
      <c r="E51" s="400"/>
      <c r="F51" s="400"/>
      <c r="G51" s="400"/>
      <c r="H51" s="400"/>
      <c r="I51" s="400"/>
      <c r="J51" s="400"/>
      <c r="K51" s="400"/>
      <c r="L51" s="400"/>
      <c r="M51" s="400"/>
      <c r="N51" s="400"/>
      <c r="O51" s="400"/>
      <c r="P51" s="400"/>
      <c r="Q51" s="400"/>
      <c r="R51" s="400"/>
      <c r="S51" s="400"/>
      <c r="T51" s="400"/>
      <c r="U51" s="400"/>
      <c r="V51" s="400"/>
      <c r="W51" s="399"/>
      <c r="X51" s="399"/>
      <c r="Y51" s="399"/>
      <c r="Z51" s="399"/>
      <c r="AA51" s="399"/>
      <c r="AB51" s="399"/>
      <c r="AC51" s="399"/>
      <c r="AD51" s="399"/>
      <c r="AE51" s="399"/>
      <c r="AF51" s="399"/>
      <c r="AG51" s="399"/>
      <c r="AH51" s="399"/>
      <c r="AI51" s="399"/>
      <c r="AJ51" s="398"/>
      <c r="AK51" s="392"/>
    </row>
    <row r="52" spans="2:37" s="397" customFormat="1">
      <c r="B52" s="401"/>
      <c r="C52" s="400"/>
      <c r="D52" s="400"/>
      <c r="E52" s="400"/>
      <c r="F52" s="400"/>
      <c r="G52" s="400"/>
      <c r="H52" s="400"/>
      <c r="I52" s="400"/>
      <c r="J52" s="400"/>
      <c r="K52" s="400"/>
      <c r="L52" s="400"/>
      <c r="M52" s="400"/>
      <c r="N52" s="400"/>
      <c r="O52" s="400"/>
      <c r="P52" s="400"/>
      <c r="Q52" s="400"/>
      <c r="R52" s="400"/>
      <c r="S52" s="400"/>
      <c r="T52" s="400"/>
      <c r="U52" s="400"/>
      <c r="V52" s="400"/>
      <c r="W52" s="399"/>
      <c r="X52" s="399"/>
      <c r="Y52" s="399"/>
      <c r="Z52" s="399"/>
      <c r="AA52" s="399"/>
      <c r="AB52" s="399"/>
      <c r="AC52" s="399"/>
      <c r="AD52" s="399"/>
      <c r="AE52" s="399"/>
      <c r="AF52" s="399"/>
      <c r="AG52" s="399"/>
      <c r="AH52" s="399"/>
      <c r="AI52" s="399"/>
      <c r="AJ52" s="398"/>
      <c r="AK52" s="392"/>
    </row>
    <row r="53" spans="2:37" s="397" customFormat="1">
      <c r="B53" s="401"/>
      <c r="C53" s="400"/>
      <c r="D53" s="400"/>
      <c r="E53" s="400"/>
      <c r="F53" s="400"/>
      <c r="G53" s="400"/>
      <c r="H53" s="400"/>
      <c r="I53" s="400"/>
      <c r="J53" s="400"/>
      <c r="K53" s="400"/>
      <c r="L53" s="400"/>
      <c r="M53" s="400"/>
      <c r="N53" s="400"/>
      <c r="O53" s="400"/>
      <c r="P53" s="400"/>
      <c r="Q53" s="400"/>
      <c r="R53" s="400"/>
      <c r="S53" s="400"/>
      <c r="T53" s="400"/>
      <c r="U53" s="400"/>
      <c r="V53" s="400"/>
      <c r="W53" s="399"/>
      <c r="X53" s="399"/>
      <c r="Y53" s="399"/>
      <c r="Z53" s="399"/>
      <c r="AA53" s="399"/>
      <c r="AB53" s="399"/>
      <c r="AC53" s="399"/>
      <c r="AD53" s="399"/>
      <c r="AE53" s="399"/>
      <c r="AF53" s="399"/>
      <c r="AG53" s="399"/>
      <c r="AH53" s="399"/>
      <c r="AI53" s="399"/>
      <c r="AJ53" s="398"/>
      <c r="AK53" s="392"/>
    </row>
    <row r="54" spans="2:37" s="397" customFormat="1" ht="13.5" thickBot="1">
      <c r="B54" s="412"/>
      <c r="C54" s="411"/>
      <c r="D54" s="411"/>
      <c r="E54" s="411"/>
      <c r="F54" s="411"/>
      <c r="G54" s="395" t="s">
        <v>1579</v>
      </c>
      <c r="H54" s="411"/>
      <c r="I54" s="411"/>
      <c r="J54" s="411"/>
      <c r="K54" s="411"/>
      <c r="L54" s="411"/>
      <c r="M54" s="411"/>
      <c r="N54" s="411"/>
      <c r="O54" s="411"/>
      <c r="P54" s="411"/>
      <c r="Q54" s="411"/>
      <c r="R54" s="411"/>
      <c r="S54" s="411"/>
      <c r="T54" s="411"/>
      <c r="U54" s="395" t="s">
        <v>1580</v>
      </c>
      <c r="V54" s="411"/>
      <c r="W54" s="394"/>
      <c r="X54" s="394"/>
      <c r="Y54" s="394"/>
      <c r="Z54" s="394"/>
      <c r="AA54" s="394"/>
      <c r="AB54" s="394"/>
      <c r="AC54" s="394"/>
      <c r="AD54" s="394"/>
      <c r="AE54" s="394"/>
      <c r="AF54" s="394"/>
      <c r="AG54" s="394"/>
      <c r="AH54" s="394"/>
      <c r="AI54" s="394"/>
      <c r="AJ54" s="393"/>
      <c r="AK54" s="392"/>
    </row>
    <row r="55" spans="2:37" s="391" customFormat="1" ht="4.5" customHeight="1">
      <c r="B55" s="402"/>
      <c r="C55" s="402"/>
      <c r="D55" s="402"/>
      <c r="E55" s="402"/>
      <c r="F55" s="402"/>
      <c r="G55" s="402"/>
      <c r="H55" s="402"/>
      <c r="I55" s="402"/>
      <c r="J55" s="402"/>
      <c r="K55" s="402"/>
      <c r="L55" s="402"/>
      <c r="M55" s="402"/>
      <c r="N55" s="402"/>
      <c r="O55" s="402"/>
      <c r="P55" s="402"/>
      <c r="Q55" s="402"/>
      <c r="R55" s="402"/>
      <c r="S55" s="402"/>
      <c r="T55" s="402"/>
      <c r="U55" s="402"/>
      <c r="V55" s="402"/>
      <c r="W55" s="399"/>
      <c r="X55" s="399"/>
      <c r="Y55" s="399"/>
      <c r="Z55" s="399"/>
      <c r="AA55" s="399"/>
      <c r="AB55" s="399"/>
      <c r="AC55" s="399"/>
      <c r="AD55" s="399"/>
      <c r="AE55" s="399"/>
      <c r="AF55" s="399"/>
      <c r="AG55" s="399"/>
      <c r="AH55" s="399"/>
      <c r="AI55" s="399"/>
      <c r="AJ55" s="399"/>
      <c r="AK55" s="392"/>
    </row>
  </sheetData>
  <mergeCells count="2">
    <mergeCell ref="W40:AK41"/>
    <mergeCell ref="W42:AK43"/>
  </mergeCells>
  <pageMargins left="0" right="0.39370078740157483" top="0.35433070866141736" bottom="0.35433070866141736" header="0.23622047244094491" footer="0.23622047244094491"/>
  <pageSetup scale="96" orientation="portrait" r:id="rId1"/>
  <headerFooter alignWithMargins="0">
    <oddFooter>&amp;LMF SR č. 18009/2014&amp;RStrana 1</oddFooter>
  </headerFooter>
  <rowBreaks count="1" manualBreakCount="1">
    <brk id="55" max="38"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AN48"/>
  <sheetViews>
    <sheetView showGridLines="0" zoomScale="85" zoomScaleNormal="85" workbookViewId="0">
      <pane xSplit="1" ySplit="4" topLeftCell="V38" activePane="bottomRight" state="frozen"/>
      <selection pane="topRight" activeCell="B1" sqref="B1"/>
      <selection pane="bottomLeft" activeCell="A5" sqref="A5"/>
      <selection pane="bottomRight" activeCell="AF47" sqref="AF47:AN47"/>
    </sheetView>
  </sheetViews>
  <sheetFormatPr defaultRowHeight="15" outlineLevelCol="1"/>
  <cols>
    <col min="1" max="1" width="29.28515625" customWidth="1"/>
    <col min="2" max="10" width="11.28515625" customWidth="1"/>
    <col min="11" max="11" width="9.140625" style="340"/>
    <col min="12" max="19" width="9.140625" style="607" customWidth="1" outlineLevel="1"/>
    <col min="20" max="20" width="18.28515625" style="619" customWidth="1"/>
    <col min="21" max="21" width="9.140625" style="635"/>
    <col min="22" max="22" width="9.140625" style="607" customWidth="1" outlineLevel="1"/>
    <col min="23" max="29" width="9.140625" style="18" customWidth="1" outlineLevel="1"/>
    <col min="30" max="30" width="26.85546875" style="619" customWidth="1"/>
    <col min="31" max="31" width="9.140625" style="619"/>
    <col min="32" max="32" width="9.140625" style="606" customWidth="1" outlineLevel="1"/>
    <col min="33" max="39" width="9.140625" style="18" customWidth="1" outlineLevel="1"/>
    <col min="40" max="40" width="26.7109375" style="619" customWidth="1"/>
  </cols>
  <sheetData>
    <row r="1" spans="1:40" ht="16.5">
      <c r="A1" s="1" t="s">
        <v>39</v>
      </c>
      <c r="L1" s="1560" t="s">
        <v>1056</v>
      </c>
      <c r="M1" s="1561"/>
      <c r="N1" s="1561"/>
      <c r="O1" s="1561"/>
      <c r="P1" s="1561"/>
      <c r="Q1" s="1561"/>
      <c r="R1" s="1561"/>
      <c r="S1" s="1561"/>
      <c r="T1" s="1562"/>
      <c r="V1" s="1560" t="s">
        <v>1057</v>
      </c>
      <c r="W1" s="1561"/>
      <c r="X1" s="1561"/>
      <c r="Y1" s="1561"/>
      <c r="Z1" s="1561"/>
      <c r="AA1" s="1561"/>
      <c r="AB1" s="1561"/>
      <c r="AC1" s="1561"/>
      <c r="AD1" s="1562"/>
      <c r="AF1" s="1560" t="s">
        <v>1058</v>
      </c>
      <c r="AG1" s="1561"/>
      <c r="AH1" s="1561"/>
      <c r="AI1" s="1561"/>
      <c r="AJ1" s="1561"/>
      <c r="AK1" s="1561"/>
      <c r="AL1" s="1561"/>
      <c r="AM1" s="1561"/>
      <c r="AN1" s="1562"/>
    </row>
    <row r="2" spans="1:40" ht="17.25" thickBot="1">
      <c r="A2" s="2" t="s">
        <v>8</v>
      </c>
    </row>
    <row r="3" spans="1:40" ht="16.5" thickTop="1" thickBot="1">
      <c r="A3" s="1556" t="s">
        <v>40</v>
      </c>
      <c r="B3" s="1558" t="s">
        <v>2</v>
      </c>
      <c r="C3" s="1564"/>
      <c r="D3" s="1564"/>
      <c r="E3" s="1564"/>
      <c r="F3" s="1564"/>
      <c r="G3" s="1564"/>
      <c r="H3" s="1564"/>
      <c r="I3" s="1564"/>
      <c r="J3" s="1559"/>
      <c r="K3" s="344"/>
    </row>
    <row r="4" spans="1:40" ht="62.25" customHeight="1" thickTop="1" thickBot="1">
      <c r="A4" s="1563"/>
      <c r="B4" s="10" t="s">
        <v>41</v>
      </c>
      <c r="C4" s="10" t="s">
        <v>42</v>
      </c>
      <c r="D4" s="10" t="s">
        <v>43</v>
      </c>
      <c r="E4" s="10" t="s">
        <v>444</v>
      </c>
      <c r="F4" s="10" t="s">
        <v>44</v>
      </c>
      <c r="G4" s="10" t="s">
        <v>45</v>
      </c>
      <c r="H4" s="10" t="s">
        <v>445</v>
      </c>
      <c r="I4" s="10" t="s">
        <v>46</v>
      </c>
      <c r="J4" s="10" t="s">
        <v>14</v>
      </c>
      <c r="K4" s="336"/>
      <c r="L4" s="59" t="s">
        <v>41</v>
      </c>
      <c r="M4" s="59" t="s">
        <v>42</v>
      </c>
      <c r="N4" s="59" t="s">
        <v>43</v>
      </c>
      <c r="O4" s="59" t="s">
        <v>444</v>
      </c>
      <c r="P4" s="59" t="s">
        <v>44</v>
      </c>
      <c r="Q4" s="59" t="s">
        <v>45</v>
      </c>
      <c r="R4" s="59" t="s">
        <v>445</v>
      </c>
      <c r="S4" s="59" t="s">
        <v>46</v>
      </c>
      <c r="T4" s="59" t="s">
        <v>14</v>
      </c>
      <c r="U4" s="607"/>
      <c r="V4" s="59" t="s">
        <v>41</v>
      </c>
      <c r="W4" s="59" t="s">
        <v>42</v>
      </c>
      <c r="X4" s="59" t="s">
        <v>43</v>
      </c>
      <c r="Y4" s="59" t="s">
        <v>444</v>
      </c>
      <c r="Z4" s="59" t="s">
        <v>44</v>
      </c>
      <c r="AA4" s="59" t="s">
        <v>45</v>
      </c>
      <c r="AB4" s="59" t="s">
        <v>445</v>
      </c>
      <c r="AC4" s="59" t="s">
        <v>46</v>
      </c>
      <c r="AD4" s="59" t="s">
        <v>14</v>
      </c>
      <c r="AF4" s="59" t="s">
        <v>41</v>
      </c>
      <c r="AG4" s="59" t="s">
        <v>42</v>
      </c>
      <c r="AH4" s="59" t="s">
        <v>43</v>
      </c>
      <c r="AI4" s="59" t="s">
        <v>444</v>
      </c>
      <c r="AJ4" s="59" t="s">
        <v>44</v>
      </c>
      <c r="AK4" s="59" t="s">
        <v>45</v>
      </c>
      <c r="AL4" s="59" t="s">
        <v>445</v>
      </c>
      <c r="AM4" s="59" t="s">
        <v>46</v>
      </c>
      <c r="AN4" s="59" t="s">
        <v>14</v>
      </c>
    </row>
    <row r="5" spans="1:40" ht="15" customHeight="1" thickTop="1" thickBot="1">
      <c r="A5" s="41" t="s">
        <v>25</v>
      </c>
      <c r="B5" s="42"/>
      <c r="C5" s="42"/>
      <c r="D5" s="42"/>
      <c r="E5" s="42"/>
      <c r="F5" s="42"/>
      <c r="G5" s="42"/>
      <c r="H5" s="42"/>
      <c r="I5" s="42"/>
      <c r="J5" s="43"/>
      <c r="K5" s="344"/>
    </row>
    <row r="6" spans="1:40" ht="15" customHeight="1" thickTop="1" thickBot="1">
      <c r="A6" s="44" t="s">
        <v>26</v>
      </c>
      <c r="B6" s="22"/>
      <c r="C6" s="22"/>
      <c r="D6" s="22"/>
      <c r="E6" s="22"/>
      <c r="F6" s="45"/>
      <c r="G6" s="22"/>
      <c r="H6" s="22"/>
      <c r="I6" s="22"/>
      <c r="J6" s="15">
        <f>SUM(B6:H6)</f>
        <v>0</v>
      </c>
      <c r="T6" s="608">
        <f>SUM(B6:I6)-J6</f>
        <v>0</v>
      </c>
      <c r="V6" s="661">
        <f>B6-B34</f>
        <v>0</v>
      </c>
      <c r="W6" s="661">
        <f t="shared" ref="W6:AB6" si="0">C6-C34</f>
        <v>0</v>
      </c>
      <c r="X6" s="661">
        <f t="shared" si="0"/>
        <v>0</v>
      </c>
      <c r="Y6" s="661">
        <f t="shared" si="0"/>
        <v>0</v>
      </c>
      <c r="Z6" s="661">
        <f t="shared" si="0"/>
        <v>0</v>
      </c>
      <c r="AA6" s="661">
        <f t="shared" si="0"/>
        <v>0</v>
      </c>
      <c r="AB6" s="661">
        <f t="shared" si="0"/>
        <v>0</v>
      </c>
      <c r="AC6" s="661">
        <f>I6-I34</f>
        <v>0</v>
      </c>
      <c r="AD6" s="608">
        <f>J6-J34</f>
        <v>0</v>
      </c>
    </row>
    <row r="7" spans="1:40" ht="15" customHeight="1" thickBot="1">
      <c r="A7" s="14" t="s">
        <v>27</v>
      </c>
      <c r="B7" s="22"/>
      <c r="C7" s="22"/>
      <c r="D7" s="22"/>
      <c r="E7" s="22"/>
      <c r="F7" s="46"/>
      <c r="G7" s="22"/>
      <c r="H7" s="22"/>
      <c r="I7" s="22"/>
      <c r="J7" s="15">
        <f t="shared" ref="J7:J9" si="1">SUM(B7:H7)</f>
        <v>0</v>
      </c>
      <c r="T7" s="608">
        <f t="shared" ref="T7:T9" si="2">SUM(B7:I7)-J7</f>
        <v>0</v>
      </c>
      <c r="W7" s="607"/>
      <c r="X7" s="607"/>
      <c r="Y7" s="607"/>
      <c r="Z7" s="607"/>
      <c r="AA7" s="607"/>
      <c r="AB7" s="607"/>
      <c r="AC7" s="607"/>
    </row>
    <row r="8" spans="1:40" ht="15" customHeight="1" thickBot="1">
      <c r="A8" s="14" t="s">
        <v>28</v>
      </c>
      <c r="B8" s="22"/>
      <c r="C8" s="22"/>
      <c r="D8" s="22"/>
      <c r="E8" s="22"/>
      <c r="F8" s="46"/>
      <c r="G8" s="22"/>
      <c r="H8" s="22"/>
      <c r="I8" s="22"/>
      <c r="J8" s="15">
        <f t="shared" si="1"/>
        <v>0</v>
      </c>
      <c r="T8" s="608">
        <f t="shared" si="2"/>
        <v>0</v>
      </c>
      <c r="W8" s="607"/>
      <c r="X8" s="607"/>
      <c r="Y8" s="607"/>
      <c r="Z8" s="607"/>
      <c r="AA8" s="607"/>
      <c r="AB8" s="607"/>
      <c r="AC8" s="607"/>
    </row>
    <row r="9" spans="1:40" ht="15" customHeight="1" thickBot="1">
      <c r="A9" s="14" t="s">
        <v>29</v>
      </c>
      <c r="B9" s="22"/>
      <c r="C9" s="22"/>
      <c r="D9" s="22"/>
      <c r="E9" s="22"/>
      <c r="F9" s="46"/>
      <c r="G9" s="22"/>
      <c r="H9" s="22"/>
      <c r="I9" s="22"/>
      <c r="J9" s="15">
        <f t="shared" si="1"/>
        <v>0</v>
      </c>
      <c r="T9" s="608">
        <f t="shared" si="2"/>
        <v>0</v>
      </c>
      <c r="W9" s="607"/>
      <c r="X9" s="607"/>
      <c r="Y9" s="607"/>
      <c r="Z9" s="607"/>
      <c r="AA9" s="607"/>
      <c r="AB9" s="607"/>
      <c r="AC9" s="607"/>
    </row>
    <row r="10" spans="1:40" ht="15" customHeight="1" thickBot="1">
      <c r="A10" s="25" t="s">
        <v>30</v>
      </c>
      <c r="B10" s="26">
        <f>B6+B7-B8+B9</f>
        <v>0</v>
      </c>
      <c r="C10" s="26">
        <f>C6+C7-C8+C9</f>
        <v>0</v>
      </c>
      <c r="D10" s="26">
        <f>D6+D7-D8+D9</f>
        <v>0</v>
      </c>
      <c r="E10" s="26">
        <f t="shared" ref="E10:H10" si="3">E6+E7-E8+E9</f>
        <v>0</v>
      </c>
      <c r="F10" s="26">
        <f t="shared" si="3"/>
        <v>0</v>
      </c>
      <c r="G10" s="26">
        <f t="shared" si="3"/>
        <v>0</v>
      </c>
      <c r="H10" s="26">
        <f t="shared" si="3"/>
        <v>0</v>
      </c>
      <c r="I10" s="26">
        <f>I6+I7-I8+I9</f>
        <v>0</v>
      </c>
      <c r="J10" s="17">
        <f>J6+J7-J8+J9</f>
        <v>0</v>
      </c>
      <c r="L10" s="621">
        <f>B6+B7-B8+B9-B10</f>
        <v>0</v>
      </c>
      <c r="M10" s="661">
        <f t="shared" ref="M10:T10" si="4">C6+C7-C8+C9-C10</f>
        <v>0</v>
      </c>
      <c r="N10" s="661">
        <f t="shared" si="4"/>
        <v>0</v>
      </c>
      <c r="O10" s="661">
        <f t="shared" si="4"/>
        <v>0</v>
      </c>
      <c r="P10" s="661">
        <f t="shared" si="4"/>
        <v>0</v>
      </c>
      <c r="Q10" s="661">
        <f t="shared" si="4"/>
        <v>0</v>
      </c>
      <c r="R10" s="661">
        <f t="shared" si="4"/>
        <v>0</v>
      </c>
      <c r="S10" s="661">
        <f t="shared" si="4"/>
        <v>0</v>
      </c>
      <c r="T10" s="661">
        <f t="shared" si="4"/>
        <v>0</v>
      </c>
      <c r="W10" s="607"/>
      <c r="X10" s="607"/>
      <c r="Y10" s="607"/>
      <c r="Z10" s="607"/>
      <c r="AA10" s="607"/>
      <c r="AB10" s="607"/>
      <c r="AC10" s="607"/>
      <c r="AF10" s="621">
        <f>B10-'BS old'!$D$21</f>
        <v>0</v>
      </c>
      <c r="AG10" s="661">
        <f>C10-'BS old'!$D$22</f>
        <v>0</v>
      </c>
      <c r="AH10" s="661">
        <f>D10-'BS old'!$D$23</f>
        <v>0</v>
      </c>
      <c r="AI10" s="661">
        <f>E10-'BS old'!$D$24</f>
        <v>0</v>
      </c>
      <c r="AJ10" s="661">
        <f>F10-'BS old'!$D$25</f>
        <v>0</v>
      </c>
      <c r="AK10" s="661">
        <f>G10-'BS old'!$D$26</f>
        <v>0</v>
      </c>
      <c r="AL10" s="661">
        <f>H10-'BS old'!$D$27</f>
        <v>0</v>
      </c>
      <c r="AM10" s="661">
        <f>I10-'BS old'!$D$28</f>
        <v>0</v>
      </c>
      <c r="AN10" s="608">
        <f>J10-'BS old'!$D$20</f>
        <v>0</v>
      </c>
    </row>
    <row r="11" spans="1:40" ht="15" customHeight="1" thickTop="1" thickBot="1">
      <c r="A11" s="41" t="s">
        <v>31</v>
      </c>
      <c r="B11" s="42"/>
      <c r="C11" s="42"/>
      <c r="D11" s="42"/>
      <c r="E11" s="42"/>
      <c r="F11" s="42"/>
      <c r="G11" s="42"/>
      <c r="H11" s="42"/>
      <c r="I11" s="42"/>
      <c r="J11" s="43"/>
      <c r="L11" s="606"/>
      <c r="T11" s="608"/>
      <c r="W11" s="607"/>
      <c r="X11" s="607"/>
      <c r="Y11" s="607"/>
      <c r="Z11" s="607"/>
      <c r="AA11" s="607"/>
      <c r="AB11" s="607"/>
      <c r="AC11" s="607"/>
    </row>
    <row r="12" spans="1:40" ht="15" customHeight="1" thickTop="1" thickBot="1">
      <c r="A12" s="44" t="s">
        <v>32</v>
      </c>
      <c r="B12" s="22"/>
      <c r="C12" s="22"/>
      <c r="D12" s="22"/>
      <c r="E12" s="22"/>
      <c r="F12" s="22"/>
      <c r="G12" s="22"/>
      <c r="H12" s="22"/>
      <c r="I12" s="22"/>
      <c r="J12" s="15">
        <f>SUM(B12:H12)</f>
        <v>0</v>
      </c>
      <c r="L12" s="606"/>
      <c r="T12" s="608">
        <f t="shared" ref="T12:T14" si="5">SUM(B12:I12)-J12</f>
        <v>0</v>
      </c>
      <c r="V12" s="661">
        <f>B12-B39</f>
        <v>0</v>
      </c>
      <c r="W12" s="661">
        <f t="shared" ref="W12:AB12" si="6">C12-C39</f>
        <v>0</v>
      </c>
      <c r="X12" s="661">
        <f t="shared" si="6"/>
        <v>0</v>
      </c>
      <c r="Y12" s="661">
        <f t="shared" si="6"/>
        <v>0</v>
      </c>
      <c r="Z12" s="661">
        <f t="shared" si="6"/>
        <v>0</v>
      </c>
      <c r="AA12" s="661">
        <f t="shared" si="6"/>
        <v>0</v>
      </c>
      <c r="AB12" s="661">
        <f t="shared" si="6"/>
        <v>0</v>
      </c>
      <c r="AC12" s="661">
        <f>I12-I39</f>
        <v>0</v>
      </c>
      <c r="AD12" s="608">
        <f>J12-J39</f>
        <v>0</v>
      </c>
    </row>
    <row r="13" spans="1:40" ht="15" customHeight="1" thickBot="1">
      <c r="A13" s="14" t="s">
        <v>27</v>
      </c>
      <c r="B13" s="22"/>
      <c r="C13" s="22"/>
      <c r="D13" s="22"/>
      <c r="E13" s="22"/>
      <c r="F13" s="22"/>
      <c r="G13" s="22"/>
      <c r="H13" s="22"/>
      <c r="I13" s="22"/>
      <c r="J13" s="15">
        <f t="shared" ref="J13:J14" si="7">SUM(B13:H13)</f>
        <v>0</v>
      </c>
      <c r="L13" s="606"/>
      <c r="T13" s="608">
        <f t="shared" si="5"/>
        <v>0</v>
      </c>
      <c r="W13" s="607"/>
      <c r="X13" s="607"/>
      <c r="Y13" s="607"/>
      <c r="Z13" s="607"/>
      <c r="AA13" s="607"/>
      <c r="AB13" s="607"/>
      <c r="AC13" s="607"/>
    </row>
    <row r="14" spans="1:40" ht="15" customHeight="1" thickBot="1">
      <c r="A14" s="14" t="s">
        <v>28</v>
      </c>
      <c r="B14" s="22"/>
      <c r="C14" s="22"/>
      <c r="D14" s="22"/>
      <c r="E14" s="22"/>
      <c r="F14" s="22"/>
      <c r="G14" s="22"/>
      <c r="H14" s="22"/>
      <c r="I14" s="22"/>
      <c r="J14" s="15">
        <f t="shared" si="7"/>
        <v>0</v>
      </c>
      <c r="L14" s="606"/>
      <c r="T14" s="608">
        <f t="shared" si="5"/>
        <v>0</v>
      </c>
      <c r="W14" s="607"/>
      <c r="X14" s="607"/>
      <c r="Y14" s="607"/>
      <c r="Z14" s="607"/>
      <c r="AA14" s="607"/>
      <c r="AB14" s="607"/>
      <c r="AC14" s="607"/>
      <c r="AF14" s="674" t="s">
        <v>1059</v>
      </c>
    </row>
    <row r="15" spans="1:40" ht="15" customHeight="1" thickBot="1">
      <c r="A15" s="25" t="s">
        <v>30</v>
      </c>
      <c r="B15" s="26">
        <f>B12+B13-B14</f>
        <v>0</v>
      </c>
      <c r="C15" s="26">
        <f>C12+C13-C14</f>
        <v>0</v>
      </c>
      <c r="D15" s="26">
        <f t="shared" ref="D15:I15" si="8">D12+D13-D14</f>
        <v>0</v>
      </c>
      <c r="E15" s="26">
        <f t="shared" si="8"/>
        <v>0</v>
      </c>
      <c r="F15" s="26">
        <f t="shared" si="8"/>
        <v>0</v>
      </c>
      <c r="G15" s="26">
        <f t="shared" si="8"/>
        <v>0</v>
      </c>
      <c r="H15" s="26">
        <f t="shared" si="8"/>
        <v>0</v>
      </c>
      <c r="I15" s="26">
        <f t="shared" si="8"/>
        <v>0</v>
      </c>
      <c r="J15" s="17">
        <f>J12+J13-J14</f>
        <v>0</v>
      </c>
      <c r="L15" s="621">
        <f>B12+B13-B14-B15</f>
        <v>0</v>
      </c>
      <c r="M15" s="661">
        <f t="shared" ref="M15:T15" si="9">C12+C13-C14-C15</f>
        <v>0</v>
      </c>
      <c r="N15" s="661">
        <f t="shared" si="9"/>
        <v>0</v>
      </c>
      <c r="O15" s="661">
        <f t="shared" si="9"/>
        <v>0</v>
      </c>
      <c r="P15" s="661">
        <f t="shared" si="9"/>
        <v>0</v>
      </c>
      <c r="Q15" s="661">
        <f t="shared" si="9"/>
        <v>0</v>
      </c>
      <c r="R15" s="661">
        <f t="shared" si="9"/>
        <v>0</v>
      </c>
      <c r="S15" s="661">
        <f t="shared" si="9"/>
        <v>0</v>
      </c>
      <c r="T15" s="661">
        <f t="shared" si="9"/>
        <v>0</v>
      </c>
      <c r="W15" s="607"/>
      <c r="X15" s="607"/>
      <c r="Y15" s="607"/>
      <c r="Z15" s="607"/>
      <c r="AA15" s="607"/>
      <c r="AB15" s="607"/>
      <c r="AC15" s="607"/>
      <c r="AF15" s="621">
        <f>B15+B20-'BS old'!$E$21</f>
        <v>0</v>
      </c>
      <c r="AG15" s="661">
        <f>C15+C20-'BS old'!$E$22</f>
        <v>0</v>
      </c>
      <c r="AH15" s="661">
        <f>D15+D20-'BS old'!$E$23</f>
        <v>0</v>
      </c>
      <c r="AI15" s="661">
        <f>E15+E20-'BS old'!$E$24</f>
        <v>0</v>
      </c>
      <c r="AJ15" s="661">
        <f>F15+F20-'BS old'!$E$25</f>
        <v>0</v>
      </c>
      <c r="AK15" s="661">
        <f>G15+G20-'BS old'!$E$26</f>
        <v>0</v>
      </c>
      <c r="AL15" s="661">
        <f>H15+H20-'BS old'!$E$27</f>
        <v>0</v>
      </c>
      <c r="AM15" s="661">
        <f>I15+I20-'BS old'!$E$28</f>
        <v>0</v>
      </c>
      <c r="AN15" s="608">
        <f>J15+J20-'BS old'!$E$20</f>
        <v>0</v>
      </c>
    </row>
    <row r="16" spans="1:40" ht="15" customHeight="1" thickTop="1" thickBot="1">
      <c r="A16" s="41" t="s">
        <v>33</v>
      </c>
      <c r="B16" s="42"/>
      <c r="C16" s="42"/>
      <c r="D16" s="42"/>
      <c r="E16" s="42"/>
      <c r="F16" s="42"/>
      <c r="G16" s="42"/>
      <c r="H16" s="42"/>
      <c r="I16" s="42"/>
      <c r="J16" s="43"/>
      <c r="L16" s="606"/>
      <c r="T16" s="608"/>
      <c r="W16" s="607"/>
      <c r="X16" s="607"/>
      <c r="Y16" s="607"/>
      <c r="Z16" s="607"/>
      <c r="AA16" s="607"/>
      <c r="AB16" s="607"/>
      <c r="AC16" s="607"/>
      <c r="AG16" s="607"/>
      <c r="AH16" s="607"/>
      <c r="AI16" s="607"/>
      <c r="AJ16" s="607"/>
      <c r="AK16" s="607"/>
      <c r="AL16" s="607"/>
    </row>
    <row r="17" spans="1:40" ht="15" customHeight="1" thickTop="1" thickBot="1">
      <c r="A17" s="44" t="s">
        <v>32</v>
      </c>
      <c r="B17" s="22"/>
      <c r="C17" s="22"/>
      <c r="D17" s="22"/>
      <c r="E17" s="22"/>
      <c r="F17" s="22"/>
      <c r="G17" s="22"/>
      <c r="H17" s="22"/>
      <c r="I17" s="22"/>
      <c r="J17" s="15">
        <f>SUM(B17:H17)</f>
        <v>0</v>
      </c>
      <c r="L17" s="606"/>
      <c r="T17" s="608">
        <f t="shared" ref="T17:T19" si="10">SUM(B17:I17)-J17</f>
        <v>0</v>
      </c>
      <c r="V17" s="661">
        <f>B17-B44</f>
        <v>0</v>
      </c>
      <c r="W17" s="661">
        <f t="shared" ref="W17:AB17" si="11">C17-C44</f>
        <v>0</v>
      </c>
      <c r="X17" s="661">
        <f t="shared" si="11"/>
        <v>0</v>
      </c>
      <c r="Y17" s="661">
        <f t="shared" si="11"/>
        <v>0</v>
      </c>
      <c r="Z17" s="661">
        <f t="shared" si="11"/>
        <v>0</v>
      </c>
      <c r="AA17" s="661">
        <f t="shared" si="11"/>
        <v>0</v>
      </c>
      <c r="AB17" s="661">
        <f t="shared" si="11"/>
        <v>0</v>
      </c>
      <c r="AC17" s="661">
        <f>I17-I44</f>
        <v>0</v>
      </c>
      <c r="AD17" s="608">
        <f>J17-J44</f>
        <v>0</v>
      </c>
      <c r="AG17" s="607"/>
      <c r="AH17" s="607"/>
      <c r="AI17" s="607"/>
      <c r="AJ17" s="607"/>
      <c r="AK17" s="607"/>
      <c r="AL17" s="607"/>
    </row>
    <row r="18" spans="1:40" ht="15" customHeight="1" thickBot="1">
      <c r="A18" s="14" t="s">
        <v>27</v>
      </c>
      <c r="B18" s="22"/>
      <c r="C18" s="22"/>
      <c r="D18" s="22"/>
      <c r="E18" s="22"/>
      <c r="F18" s="22"/>
      <c r="G18" s="22"/>
      <c r="H18" s="22"/>
      <c r="I18" s="22"/>
      <c r="J18" s="15">
        <f t="shared" ref="J18:J19" si="12">SUM(B18:H18)</f>
        <v>0</v>
      </c>
      <c r="L18" s="606"/>
      <c r="T18" s="608">
        <f t="shared" si="10"/>
        <v>0</v>
      </c>
      <c r="W18" s="607"/>
      <c r="X18" s="607"/>
      <c r="Y18" s="607"/>
      <c r="Z18" s="607"/>
      <c r="AA18" s="607"/>
      <c r="AB18" s="607"/>
      <c r="AC18" s="607"/>
      <c r="AG18" s="607"/>
      <c r="AH18" s="607"/>
      <c r="AI18" s="607"/>
      <c r="AJ18" s="607"/>
      <c r="AK18" s="607"/>
      <c r="AL18" s="607"/>
    </row>
    <row r="19" spans="1:40" ht="15" customHeight="1" thickBot="1">
      <c r="A19" s="14" t="s">
        <v>28</v>
      </c>
      <c r="B19" s="22"/>
      <c r="C19" s="22"/>
      <c r="D19" s="22"/>
      <c r="E19" s="22"/>
      <c r="F19" s="22"/>
      <c r="G19" s="22"/>
      <c r="H19" s="22"/>
      <c r="I19" s="22"/>
      <c r="J19" s="15">
        <f t="shared" si="12"/>
        <v>0</v>
      </c>
      <c r="L19" s="606"/>
      <c r="T19" s="608">
        <f t="shared" si="10"/>
        <v>0</v>
      </c>
      <c r="W19" s="607"/>
      <c r="X19" s="607"/>
      <c r="Y19" s="607"/>
      <c r="Z19" s="607"/>
      <c r="AA19" s="607"/>
      <c r="AB19" s="607"/>
      <c r="AC19" s="607"/>
      <c r="AG19" s="607"/>
      <c r="AH19" s="607"/>
      <c r="AI19" s="607"/>
      <c r="AJ19" s="607"/>
      <c r="AK19" s="607"/>
      <c r="AL19" s="607"/>
    </row>
    <row r="20" spans="1:40" ht="15" customHeight="1" thickBot="1">
      <c r="A20" s="25" t="s">
        <v>30</v>
      </c>
      <c r="B20" s="26">
        <f>B17+B18-B19</f>
        <v>0</v>
      </c>
      <c r="C20" s="26">
        <f>C17+C18-C19</f>
        <v>0</v>
      </c>
      <c r="D20" s="26">
        <f t="shared" ref="D20:I20" si="13">D17+D18-D19</f>
        <v>0</v>
      </c>
      <c r="E20" s="26">
        <f t="shared" si="13"/>
        <v>0</v>
      </c>
      <c r="F20" s="26">
        <f t="shared" si="13"/>
        <v>0</v>
      </c>
      <c r="G20" s="26">
        <f t="shared" si="13"/>
        <v>0</v>
      </c>
      <c r="H20" s="26">
        <f t="shared" si="13"/>
        <v>0</v>
      </c>
      <c r="I20" s="26">
        <f t="shared" si="13"/>
        <v>0</v>
      </c>
      <c r="J20" s="17">
        <f>J17+J18-J19</f>
        <v>0</v>
      </c>
      <c r="L20" s="621">
        <f>B17+B18-B19-B20</f>
        <v>0</v>
      </c>
      <c r="M20" s="661">
        <f t="shared" ref="M20:T20" si="14">C17+C18-C19-C20</f>
        <v>0</v>
      </c>
      <c r="N20" s="661">
        <f t="shared" si="14"/>
        <v>0</v>
      </c>
      <c r="O20" s="661">
        <f t="shared" si="14"/>
        <v>0</v>
      </c>
      <c r="P20" s="661">
        <f t="shared" si="14"/>
        <v>0</v>
      </c>
      <c r="Q20" s="661">
        <f t="shared" si="14"/>
        <v>0</v>
      </c>
      <c r="R20" s="661">
        <f t="shared" si="14"/>
        <v>0</v>
      </c>
      <c r="S20" s="661">
        <f t="shared" si="14"/>
        <v>0</v>
      </c>
      <c r="T20" s="661">
        <f t="shared" si="14"/>
        <v>0</v>
      </c>
      <c r="W20" s="607"/>
      <c r="X20" s="607"/>
      <c r="Y20" s="607"/>
      <c r="Z20" s="607"/>
      <c r="AA20" s="607"/>
      <c r="AB20" s="607"/>
      <c r="AC20" s="607"/>
      <c r="AG20" s="607"/>
      <c r="AH20" s="607"/>
      <c r="AI20" s="607"/>
      <c r="AJ20" s="607"/>
      <c r="AK20" s="607"/>
      <c r="AL20" s="607"/>
    </row>
    <row r="21" spans="1:40" ht="15" customHeight="1" thickTop="1" thickBot="1">
      <c r="A21" s="41" t="s">
        <v>34</v>
      </c>
      <c r="B21" s="42"/>
      <c r="C21" s="42"/>
      <c r="D21" s="42"/>
      <c r="E21" s="42"/>
      <c r="F21" s="42"/>
      <c r="G21" s="42"/>
      <c r="H21" s="42"/>
      <c r="I21" s="42"/>
      <c r="J21" s="43"/>
      <c r="L21" s="606"/>
      <c r="T21" s="608"/>
      <c r="W21" s="607"/>
      <c r="X21" s="607"/>
      <c r="Y21" s="607"/>
      <c r="Z21" s="607"/>
      <c r="AA21" s="607"/>
      <c r="AB21" s="607"/>
      <c r="AC21" s="607"/>
      <c r="AG21" s="607"/>
      <c r="AH21" s="607"/>
      <c r="AI21" s="607"/>
      <c r="AJ21" s="607"/>
      <c r="AK21" s="607"/>
      <c r="AL21" s="607"/>
    </row>
    <row r="22" spans="1:40" ht="15" customHeight="1" thickTop="1" thickBot="1">
      <c r="A22" s="44" t="s">
        <v>32</v>
      </c>
      <c r="B22" s="22">
        <f>B6-B12-B17</f>
        <v>0</v>
      </c>
      <c r="C22" s="22">
        <f>C6-C12-C17</f>
        <v>0</v>
      </c>
      <c r="D22" s="22">
        <f t="shared" ref="D22:J22" si="15">D6-D12-D17</f>
        <v>0</v>
      </c>
      <c r="E22" s="22">
        <f t="shared" si="15"/>
        <v>0</v>
      </c>
      <c r="F22" s="22">
        <f t="shared" si="15"/>
        <v>0</v>
      </c>
      <c r="G22" s="22">
        <f t="shared" si="15"/>
        <v>0</v>
      </c>
      <c r="H22" s="22">
        <f t="shared" si="15"/>
        <v>0</v>
      </c>
      <c r="I22" s="22">
        <f t="shared" ref="I22" si="16">I6-I12-I17</f>
        <v>0</v>
      </c>
      <c r="J22" s="15">
        <f t="shared" si="15"/>
        <v>0</v>
      </c>
      <c r="L22" s="621">
        <f>B6-B12-B17-B22</f>
        <v>0</v>
      </c>
      <c r="M22" s="661">
        <f t="shared" ref="M22:S22" si="17">C6-C12-C17-C22</f>
        <v>0</v>
      </c>
      <c r="N22" s="661">
        <f t="shared" si="17"/>
        <v>0</v>
      </c>
      <c r="O22" s="661">
        <f t="shared" si="17"/>
        <v>0</v>
      </c>
      <c r="P22" s="661">
        <f t="shared" si="17"/>
        <v>0</v>
      </c>
      <c r="Q22" s="661">
        <f t="shared" si="17"/>
        <v>0</v>
      </c>
      <c r="R22" s="661">
        <f t="shared" si="17"/>
        <v>0</v>
      </c>
      <c r="S22" s="661">
        <f t="shared" si="17"/>
        <v>0</v>
      </c>
      <c r="T22" s="608">
        <f t="shared" ref="T22:T23" si="18">SUM(B22:I22)-J22</f>
        <v>0</v>
      </c>
      <c r="V22" s="661">
        <f>B22-B47</f>
        <v>0</v>
      </c>
      <c r="W22" s="661">
        <f t="shared" ref="W22:AB22" si="19">C22-C47</f>
        <v>0</v>
      </c>
      <c r="X22" s="661">
        <f t="shared" si="19"/>
        <v>0</v>
      </c>
      <c r="Y22" s="661">
        <f t="shared" si="19"/>
        <v>0</v>
      </c>
      <c r="Z22" s="661">
        <f t="shared" si="19"/>
        <v>0</v>
      </c>
      <c r="AA22" s="661">
        <f t="shared" si="19"/>
        <v>0</v>
      </c>
      <c r="AB22" s="661">
        <f t="shared" si="19"/>
        <v>0</v>
      </c>
      <c r="AC22" s="661">
        <f>I22-I47</f>
        <v>0</v>
      </c>
      <c r="AD22" s="608">
        <f>J22-J47</f>
        <v>0</v>
      </c>
      <c r="AG22" s="607"/>
      <c r="AH22" s="607"/>
      <c r="AI22" s="607"/>
      <c r="AJ22" s="607"/>
      <c r="AK22" s="607"/>
      <c r="AL22" s="607"/>
    </row>
    <row r="23" spans="1:40" ht="15" customHeight="1" thickBot="1">
      <c r="A23" s="25" t="s">
        <v>30</v>
      </c>
      <c r="B23" s="26">
        <f>B10-B15-B20</f>
        <v>0</v>
      </c>
      <c r="C23" s="26">
        <f>C10-C15-C20</f>
        <v>0</v>
      </c>
      <c r="D23" s="26">
        <f t="shared" ref="D23:J23" si="20">D10-D15-D20</f>
        <v>0</v>
      </c>
      <c r="E23" s="26">
        <f t="shared" si="20"/>
        <v>0</v>
      </c>
      <c r="F23" s="26">
        <f t="shared" si="20"/>
        <v>0</v>
      </c>
      <c r="G23" s="26">
        <f t="shared" si="20"/>
        <v>0</v>
      </c>
      <c r="H23" s="26">
        <f t="shared" si="20"/>
        <v>0</v>
      </c>
      <c r="I23" s="26">
        <f t="shared" ref="I23" si="21">I10-I15-I20</f>
        <v>0</v>
      </c>
      <c r="J23" s="17">
        <f t="shared" si="20"/>
        <v>0</v>
      </c>
      <c r="L23" s="621">
        <f>B10-B15-B20-B23</f>
        <v>0</v>
      </c>
      <c r="M23" s="661">
        <f t="shared" ref="M23:S23" si="22">C10-C15-C20-C23</f>
        <v>0</v>
      </c>
      <c r="N23" s="661">
        <f t="shared" si="22"/>
        <v>0</v>
      </c>
      <c r="O23" s="661">
        <f t="shared" si="22"/>
        <v>0</v>
      </c>
      <c r="P23" s="661">
        <f t="shared" si="22"/>
        <v>0</v>
      </c>
      <c r="Q23" s="661">
        <f t="shared" si="22"/>
        <v>0</v>
      </c>
      <c r="R23" s="661">
        <f t="shared" si="22"/>
        <v>0</v>
      </c>
      <c r="S23" s="661">
        <f t="shared" si="22"/>
        <v>0</v>
      </c>
      <c r="T23" s="608">
        <f t="shared" si="18"/>
        <v>0</v>
      </c>
      <c r="AF23" s="621">
        <f>B23-'BS old'!$F$21</f>
        <v>0</v>
      </c>
      <c r="AG23" s="661">
        <f>C23-'BS old'!$F$22</f>
        <v>0</v>
      </c>
      <c r="AH23" s="661">
        <f>D23-'BS old'!$F$23</f>
        <v>0</v>
      </c>
      <c r="AI23" s="661">
        <f>E23-'BS old'!$F$24</f>
        <v>0</v>
      </c>
      <c r="AJ23" s="661">
        <f>F23-'BS old'!$F$25</f>
        <v>0</v>
      </c>
      <c r="AK23" s="661">
        <f>G23-'BS old'!$F$26</f>
        <v>0</v>
      </c>
      <c r="AL23" s="661">
        <f>H23-'BS old'!$F$27</f>
        <v>0</v>
      </c>
      <c r="AM23" s="661">
        <f>I23-'BS old'!$F$28</f>
        <v>0</v>
      </c>
      <c r="AN23" s="608">
        <f>J23-'BS old'!$F$20</f>
        <v>0</v>
      </c>
    </row>
    <row r="24" spans="1:40" ht="15.75" thickTop="1">
      <c r="A24" s="20"/>
      <c r="B24" s="20"/>
      <c r="C24" s="20"/>
      <c r="D24" s="20"/>
      <c r="E24" s="20"/>
      <c r="F24" s="20"/>
      <c r="G24" s="20"/>
      <c r="H24" s="20"/>
      <c r="I24" s="20"/>
      <c r="J24" s="20"/>
    </row>
    <row r="25" spans="1:40">
      <c r="A25" s="20"/>
      <c r="B25" s="20"/>
      <c r="C25" s="20"/>
      <c r="D25" s="20"/>
      <c r="E25" s="20"/>
      <c r="F25" s="20"/>
      <c r="G25" s="20"/>
      <c r="H25" s="20"/>
      <c r="I25" s="20"/>
      <c r="J25" s="20"/>
    </row>
    <row r="26" spans="1:40" ht="15.75" thickBot="1">
      <c r="A26" s="20" t="s">
        <v>15</v>
      </c>
      <c r="B26" s="20"/>
      <c r="C26" s="20"/>
      <c r="D26" s="20"/>
      <c r="E26" s="20"/>
      <c r="F26" s="20"/>
      <c r="G26" s="20"/>
      <c r="H26" s="20"/>
      <c r="I26" s="20"/>
      <c r="J26" s="20"/>
    </row>
    <row r="27" spans="1:40" ht="16.5" customHeight="1" thickTop="1" thickBot="1">
      <c r="A27" s="1556" t="s">
        <v>40</v>
      </c>
      <c r="B27" s="1565" t="s">
        <v>3</v>
      </c>
      <c r="C27" s="1566"/>
      <c r="D27" s="1566"/>
      <c r="E27" s="1566"/>
      <c r="F27" s="1566"/>
      <c r="G27" s="1566"/>
      <c r="H27" s="1566"/>
      <c r="I27" s="1566"/>
      <c r="J27" s="1567"/>
      <c r="K27" s="344"/>
    </row>
    <row r="28" spans="1:40" ht="62.25" customHeight="1" thickTop="1" thickBot="1">
      <c r="A28" s="1557"/>
      <c r="B28" s="10" t="s">
        <v>41</v>
      </c>
      <c r="C28" s="10" t="s">
        <v>42</v>
      </c>
      <c r="D28" s="10" t="s">
        <v>43</v>
      </c>
      <c r="E28" s="10" t="s">
        <v>444</v>
      </c>
      <c r="F28" s="10" t="s">
        <v>44</v>
      </c>
      <c r="G28" s="10" t="s">
        <v>45</v>
      </c>
      <c r="H28" s="10" t="s">
        <v>445</v>
      </c>
      <c r="I28" s="10" t="s">
        <v>46</v>
      </c>
      <c r="J28" s="10" t="s">
        <v>14</v>
      </c>
    </row>
    <row r="29" spans="1:40" ht="15" customHeight="1" thickTop="1" thickBot="1">
      <c r="A29" s="41" t="s">
        <v>25</v>
      </c>
      <c r="B29" s="42"/>
      <c r="C29" s="42"/>
      <c r="D29" s="42"/>
      <c r="E29" s="42"/>
      <c r="F29" s="42"/>
      <c r="G29" s="42"/>
      <c r="H29" s="42"/>
      <c r="I29" s="42"/>
      <c r="J29" s="43"/>
      <c r="K29" s="344"/>
    </row>
    <row r="30" spans="1:40" ht="15" customHeight="1" thickTop="1" thickBot="1">
      <c r="A30" s="44" t="s">
        <v>26</v>
      </c>
      <c r="B30" s="22"/>
      <c r="C30" s="22"/>
      <c r="D30" s="22"/>
      <c r="E30" s="22"/>
      <c r="F30" s="45"/>
      <c r="G30" s="22"/>
      <c r="H30" s="22"/>
      <c r="I30" s="22"/>
      <c r="J30" s="15">
        <f>SUM(B30:H30)</f>
        <v>0</v>
      </c>
      <c r="T30" s="608">
        <f>SUM(B30:I30)-J30</f>
        <v>0</v>
      </c>
    </row>
    <row r="31" spans="1:40" ht="15" customHeight="1" thickBot="1">
      <c r="A31" s="14" t="s">
        <v>27</v>
      </c>
      <c r="B31" s="22"/>
      <c r="C31" s="22"/>
      <c r="D31" s="22"/>
      <c r="E31" s="22"/>
      <c r="F31" s="46"/>
      <c r="G31" s="22"/>
      <c r="H31" s="22"/>
      <c r="I31" s="22"/>
      <c r="J31" s="15">
        <f t="shared" ref="J31:J33" si="23">SUM(B31:H31)</f>
        <v>0</v>
      </c>
      <c r="T31" s="608">
        <f t="shared" ref="T31:T33" si="24">SUM(B31:I31)-J31</f>
        <v>0</v>
      </c>
    </row>
    <row r="32" spans="1:40" ht="15" customHeight="1" thickBot="1">
      <c r="A32" s="14" t="s">
        <v>28</v>
      </c>
      <c r="B32" s="22"/>
      <c r="C32" s="22"/>
      <c r="D32" s="22"/>
      <c r="E32" s="22"/>
      <c r="F32" s="46"/>
      <c r="G32" s="22"/>
      <c r="H32" s="22"/>
      <c r="I32" s="22"/>
      <c r="J32" s="15">
        <f t="shared" si="23"/>
        <v>0</v>
      </c>
      <c r="T32" s="608">
        <f t="shared" si="24"/>
        <v>0</v>
      </c>
    </row>
    <row r="33" spans="1:40" ht="15" customHeight="1" thickBot="1">
      <c r="A33" s="14" t="s">
        <v>29</v>
      </c>
      <c r="B33" s="22"/>
      <c r="C33" s="22"/>
      <c r="D33" s="22"/>
      <c r="E33" s="22"/>
      <c r="F33" s="46"/>
      <c r="G33" s="22"/>
      <c r="H33" s="22"/>
      <c r="I33" s="22"/>
      <c r="J33" s="15">
        <f t="shared" si="23"/>
        <v>0</v>
      </c>
      <c r="T33" s="608">
        <f t="shared" si="24"/>
        <v>0</v>
      </c>
    </row>
    <row r="34" spans="1:40" ht="15" customHeight="1" thickBot="1">
      <c r="A34" s="25" t="s">
        <v>30</v>
      </c>
      <c r="B34" s="26">
        <f>B30+B31-B32+B33</f>
        <v>0</v>
      </c>
      <c r="C34" s="26">
        <f>C30+C31-C32+C33</f>
        <v>0</v>
      </c>
      <c r="D34" s="26">
        <f>D30+D31-D32+D33</f>
        <v>0</v>
      </c>
      <c r="E34" s="26">
        <f t="shared" ref="E34:H34" si="25">E30+E31-E32+E33</f>
        <v>0</v>
      </c>
      <c r="F34" s="26">
        <f t="shared" si="25"/>
        <v>0</v>
      </c>
      <c r="G34" s="26">
        <f t="shared" si="25"/>
        <v>0</v>
      </c>
      <c r="H34" s="26">
        <f t="shared" si="25"/>
        <v>0</v>
      </c>
      <c r="I34" s="26">
        <f>I30+I31-I32+I33</f>
        <v>0</v>
      </c>
      <c r="J34" s="17">
        <f>J30+J31-J32+J33</f>
        <v>0</v>
      </c>
      <c r="L34" s="621">
        <f>B30+B31-B32+B33-B34</f>
        <v>0</v>
      </c>
      <c r="M34" s="661">
        <f t="shared" ref="M34:T34" si="26">C30+C31-C32+C33-C34</f>
        <v>0</v>
      </c>
      <c r="N34" s="661">
        <f t="shared" si="26"/>
        <v>0</v>
      </c>
      <c r="O34" s="661">
        <f t="shared" si="26"/>
        <v>0</v>
      </c>
      <c r="P34" s="661">
        <f t="shared" si="26"/>
        <v>0</v>
      </c>
      <c r="Q34" s="661">
        <f t="shared" si="26"/>
        <v>0</v>
      </c>
      <c r="R34" s="661">
        <f t="shared" si="26"/>
        <v>0</v>
      </c>
      <c r="S34" s="661">
        <f t="shared" si="26"/>
        <v>0</v>
      </c>
      <c r="T34" s="661">
        <f t="shared" si="26"/>
        <v>0</v>
      </c>
    </row>
    <row r="35" spans="1:40" ht="15" customHeight="1" thickTop="1" thickBot="1">
      <c r="A35" s="41" t="s">
        <v>31</v>
      </c>
      <c r="B35" s="42"/>
      <c r="C35" s="42"/>
      <c r="D35" s="42"/>
      <c r="E35" s="42"/>
      <c r="F35" s="42"/>
      <c r="G35" s="42"/>
      <c r="H35" s="42"/>
      <c r="I35" s="42"/>
      <c r="J35" s="43"/>
      <c r="L35" s="606"/>
      <c r="T35" s="608"/>
    </row>
    <row r="36" spans="1:40" ht="15" customHeight="1" thickTop="1" thickBot="1">
      <c r="A36" s="44" t="s">
        <v>32</v>
      </c>
      <c r="B36" s="22"/>
      <c r="C36" s="22"/>
      <c r="D36" s="22"/>
      <c r="E36" s="22"/>
      <c r="F36" s="22"/>
      <c r="G36" s="22"/>
      <c r="H36" s="22"/>
      <c r="I36" s="22"/>
      <c r="J36" s="15">
        <f>SUM(B36:H36)</f>
        <v>0</v>
      </c>
      <c r="L36" s="606"/>
      <c r="T36" s="608">
        <f t="shared" ref="T36:T38" si="27">SUM(B36:I36)-J36</f>
        <v>0</v>
      </c>
    </row>
    <row r="37" spans="1:40" ht="15" customHeight="1" thickBot="1">
      <c r="A37" s="14" t="s">
        <v>27</v>
      </c>
      <c r="B37" s="22"/>
      <c r="C37" s="22"/>
      <c r="D37" s="22"/>
      <c r="E37" s="22"/>
      <c r="F37" s="22"/>
      <c r="G37" s="22"/>
      <c r="H37" s="22"/>
      <c r="I37" s="22"/>
      <c r="J37" s="15">
        <f t="shared" ref="J37:J38" si="28">SUM(B37:H37)</f>
        <v>0</v>
      </c>
      <c r="L37" s="606"/>
      <c r="T37" s="608">
        <f t="shared" si="27"/>
        <v>0</v>
      </c>
    </row>
    <row r="38" spans="1:40" ht="15" customHeight="1" thickBot="1">
      <c r="A38" s="14" t="s">
        <v>28</v>
      </c>
      <c r="B38" s="22"/>
      <c r="C38" s="22"/>
      <c r="D38" s="22"/>
      <c r="E38" s="22"/>
      <c r="F38" s="22"/>
      <c r="G38" s="22"/>
      <c r="H38" s="22"/>
      <c r="I38" s="22"/>
      <c r="J38" s="15">
        <f t="shared" si="28"/>
        <v>0</v>
      </c>
      <c r="L38" s="606"/>
      <c r="T38" s="608">
        <f t="shared" si="27"/>
        <v>0</v>
      </c>
    </row>
    <row r="39" spans="1:40" ht="15" customHeight="1" thickBot="1">
      <c r="A39" s="25" t="s">
        <v>30</v>
      </c>
      <c r="B39" s="26">
        <f>B36+B37-B38</f>
        <v>0</v>
      </c>
      <c r="C39" s="26">
        <f>C36+C37-C38</f>
        <v>0</v>
      </c>
      <c r="D39" s="26">
        <f t="shared" ref="D39:I39" si="29">D36+D37-D38</f>
        <v>0</v>
      </c>
      <c r="E39" s="26">
        <f t="shared" si="29"/>
        <v>0</v>
      </c>
      <c r="F39" s="26">
        <f t="shared" si="29"/>
        <v>0</v>
      </c>
      <c r="G39" s="26">
        <f t="shared" si="29"/>
        <v>0</v>
      </c>
      <c r="H39" s="26">
        <f t="shared" si="29"/>
        <v>0</v>
      </c>
      <c r="I39" s="26">
        <f t="shared" si="29"/>
        <v>0</v>
      </c>
      <c r="J39" s="17">
        <f>J36+J37-J38</f>
        <v>0</v>
      </c>
      <c r="L39" s="621">
        <f>B36+B37-B38-B39</f>
        <v>0</v>
      </c>
      <c r="M39" s="661">
        <f t="shared" ref="M39:T39" si="30">C36+C37-C38-C39</f>
        <v>0</v>
      </c>
      <c r="N39" s="661">
        <f t="shared" si="30"/>
        <v>0</v>
      </c>
      <c r="O39" s="661">
        <f t="shared" si="30"/>
        <v>0</v>
      </c>
      <c r="P39" s="661">
        <f t="shared" si="30"/>
        <v>0</v>
      </c>
      <c r="Q39" s="661">
        <f t="shared" si="30"/>
        <v>0</v>
      </c>
      <c r="R39" s="661">
        <f t="shared" si="30"/>
        <v>0</v>
      </c>
      <c r="S39" s="661">
        <f t="shared" si="30"/>
        <v>0</v>
      </c>
      <c r="T39" s="661">
        <f t="shared" si="30"/>
        <v>0</v>
      </c>
    </row>
    <row r="40" spans="1:40" ht="15" customHeight="1" thickTop="1" thickBot="1">
      <c r="A40" s="41" t="s">
        <v>33</v>
      </c>
      <c r="B40" s="42"/>
      <c r="C40" s="42"/>
      <c r="D40" s="42"/>
      <c r="E40" s="42"/>
      <c r="F40" s="42"/>
      <c r="G40" s="42"/>
      <c r="H40" s="42"/>
      <c r="I40" s="42"/>
      <c r="J40" s="43"/>
      <c r="L40" s="606"/>
      <c r="T40" s="608"/>
    </row>
    <row r="41" spans="1:40" ht="15" customHeight="1" thickTop="1" thickBot="1">
      <c r="A41" s="44" t="s">
        <v>32</v>
      </c>
      <c r="B41" s="22"/>
      <c r="C41" s="22"/>
      <c r="D41" s="22"/>
      <c r="E41" s="22"/>
      <c r="F41" s="22"/>
      <c r="G41" s="22"/>
      <c r="H41" s="22"/>
      <c r="I41" s="22"/>
      <c r="J41" s="15">
        <f>SUM(B41:H41)</f>
        <v>0</v>
      </c>
      <c r="L41" s="606"/>
      <c r="T41" s="608">
        <f t="shared" ref="T41:T43" si="31">SUM(B41:I41)-J41</f>
        <v>0</v>
      </c>
    </row>
    <row r="42" spans="1:40" ht="15" customHeight="1" thickBot="1">
      <c r="A42" s="14" t="s">
        <v>27</v>
      </c>
      <c r="B42" s="22"/>
      <c r="C42" s="22"/>
      <c r="D42" s="22"/>
      <c r="E42" s="22"/>
      <c r="F42" s="22"/>
      <c r="G42" s="22"/>
      <c r="H42" s="22"/>
      <c r="I42" s="22"/>
      <c r="J42" s="15">
        <f t="shared" ref="J42:J43" si="32">SUM(B42:H42)</f>
        <v>0</v>
      </c>
      <c r="L42" s="606"/>
      <c r="T42" s="608">
        <f t="shared" si="31"/>
        <v>0</v>
      </c>
    </row>
    <row r="43" spans="1:40" ht="15" customHeight="1" thickBot="1">
      <c r="A43" s="14" t="s">
        <v>28</v>
      </c>
      <c r="B43" s="22"/>
      <c r="C43" s="22"/>
      <c r="D43" s="22"/>
      <c r="E43" s="22"/>
      <c r="F43" s="22"/>
      <c r="G43" s="22"/>
      <c r="H43" s="22"/>
      <c r="I43" s="22"/>
      <c r="J43" s="15">
        <f t="shared" si="32"/>
        <v>0</v>
      </c>
      <c r="L43" s="606"/>
      <c r="T43" s="608">
        <f t="shared" si="31"/>
        <v>0</v>
      </c>
    </row>
    <row r="44" spans="1:40" ht="15" customHeight="1" thickBot="1">
      <c r="A44" s="25" t="s">
        <v>30</v>
      </c>
      <c r="B44" s="26">
        <f>B41+B42-B43</f>
        <v>0</v>
      </c>
      <c r="C44" s="26">
        <f>C41+C42-C43</f>
        <v>0</v>
      </c>
      <c r="D44" s="26">
        <f t="shared" ref="D44:I44" si="33">D41+D42-D43</f>
        <v>0</v>
      </c>
      <c r="E44" s="26">
        <f t="shared" si="33"/>
        <v>0</v>
      </c>
      <c r="F44" s="26">
        <f t="shared" si="33"/>
        <v>0</v>
      </c>
      <c r="G44" s="26">
        <f t="shared" si="33"/>
        <v>0</v>
      </c>
      <c r="H44" s="26">
        <f t="shared" si="33"/>
        <v>0</v>
      </c>
      <c r="I44" s="26">
        <f t="shared" si="33"/>
        <v>0</v>
      </c>
      <c r="J44" s="17">
        <f>J41+J42-J43</f>
        <v>0</v>
      </c>
      <c r="L44" s="621">
        <f>B41+B42-B43-B44</f>
        <v>0</v>
      </c>
      <c r="M44" s="661">
        <f t="shared" ref="M44:T44" si="34">C41+C42-C43-C44</f>
        <v>0</v>
      </c>
      <c r="N44" s="661">
        <f t="shared" si="34"/>
        <v>0</v>
      </c>
      <c r="O44" s="661">
        <f t="shared" si="34"/>
        <v>0</v>
      </c>
      <c r="P44" s="661">
        <f t="shared" si="34"/>
        <v>0</v>
      </c>
      <c r="Q44" s="661">
        <f t="shared" si="34"/>
        <v>0</v>
      </c>
      <c r="R44" s="661">
        <f t="shared" si="34"/>
        <v>0</v>
      </c>
      <c r="S44" s="661">
        <f t="shared" si="34"/>
        <v>0</v>
      </c>
      <c r="T44" s="661">
        <f t="shared" si="34"/>
        <v>0</v>
      </c>
    </row>
    <row r="45" spans="1:40" ht="15" customHeight="1" thickTop="1" thickBot="1">
      <c r="A45" s="41" t="s">
        <v>34</v>
      </c>
      <c r="B45" s="42"/>
      <c r="C45" s="42"/>
      <c r="D45" s="42"/>
      <c r="E45" s="42"/>
      <c r="F45" s="42"/>
      <c r="G45" s="42"/>
      <c r="H45" s="42"/>
      <c r="I45" s="42"/>
      <c r="J45" s="43"/>
      <c r="L45" s="606"/>
      <c r="T45" s="608"/>
    </row>
    <row r="46" spans="1:40" ht="15" customHeight="1" thickTop="1" thickBot="1">
      <c r="A46" s="44" t="s">
        <v>32</v>
      </c>
      <c r="B46" s="22">
        <f>B30-B36-B41</f>
        <v>0</v>
      </c>
      <c r="C46" s="22">
        <f t="shared" ref="C46:J46" si="35">C30-C36-C41</f>
        <v>0</v>
      </c>
      <c r="D46" s="22">
        <f t="shared" si="35"/>
        <v>0</v>
      </c>
      <c r="E46" s="22">
        <f t="shared" si="35"/>
        <v>0</v>
      </c>
      <c r="F46" s="22">
        <f t="shared" si="35"/>
        <v>0</v>
      </c>
      <c r="G46" s="22">
        <f t="shared" si="35"/>
        <v>0</v>
      </c>
      <c r="H46" s="22">
        <f t="shared" si="35"/>
        <v>0</v>
      </c>
      <c r="I46" s="22">
        <f t="shared" si="35"/>
        <v>0</v>
      </c>
      <c r="J46" s="15">
        <f t="shared" si="35"/>
        <v>0</v>
      </c>
      <c r="L46" s="621">
        <f>B30-B36-B41-B46</f>
        <v>0</v>
      </c>
      <c r="M46" s="661">
        <f t="shared" ref="M46:S46" si="36">C30-C36-C41-C46</f>
        <v>0</v>
      </c>
      <c r="N46" s="661">
        <f t="shared" si="36"/>
        <v>0</v>
      </c>
      <c r="O46" s="661">
        <f t="shared" si="36"/>
        <v>0</v>
      </c>
      <c r="P46" s="661">
        <f t="shared" si="36"/>
        <v>0</v>
      </c>
      <c r="Q46" s="661">
        <f t="shared" si="36"/>
        <v>0</v>
      </c>
      <c r="R46" s="661">
        <f t="shared" si="36"/>
        <v>0</v>
      </c>
      <c r="S46" s="661">
        <f t="shared" si="36"/>
        <v>0</v>
      </c>
      <c r="T46" s="608">
        <f t="shared" ref="T46:T47" si="37">SUM(B46:I46)-J46</f>
        <v>0</v>
      </c>
    </row>
    <row r="47" spans="1:40" ht="15" customHeight="1" thickBot="1">
      <c r="A47" s="25" t="s">
        <v>30</v>
      </c>
      <c r="B47" s="26">
        <f>B34-B39-B44</f>
        <v>0</v>
      </c>
      <c r="C47" s="26">
        <f t="shared" ref="C47:J47" si="38">C34-C39-C44</f>
        <v>0</v>
      </c>
      <c r="D47" s="26">
        <f t="shared" si="38"/>
        <v>0</v>
      </c>
      <c r="E47" s="26">
        <f t="shared" si="38"/>
        <v>0</v>
      </c>
      <c r="F47" s="26">
        <f t="shared" si="38"/>
        <v>0</v>
      </c>
      <c r="G47" s="26">
        <f t="shared" si="38"/>
        <v>0</v>
      </c>
      <c r="H47" s="26">
        <f t="shared" si="38"/>
        <v>0</v>
      </c>
      <c r="I47" s="26">
        <f t="shared" si="38"/>
        <v>0</v>
      </c>
      <c r="J47" s="17">
        <f t="shared" si="38"/>
        <v>0</v>
      </c>
      <c r="L47" s="621">
        <f>B34-B39-B44-B47</f>
        <v>0</v>
      </c>
      <c r="M47" s="661">
        <f t="shared" ref="M47:S47" si="39">C34-C39-C44-C47</f>
        <v>0</v>
      </c>
      <c r="N47" s="661">
        <f t="shared" si="39"/>
        <v>0</v>
      </c>
      <c r="O47" s="661">
        <f t="shared" si="39"/>
        <v>0</v>
      </c>
      <c r="P47" s="661">
        <f t="shared" si="39"/>
        <v>0</v>
      </c>
      <c r="Q47" s="661">
        <f t="shared" si="39"/>
        <v>0</v>
      </c>
      <c r="R47" s="661">
        <f t="shared" si="39"/>
        <v>0</v>
      </c>
      <c r="S47" s="661">
        <f t="shared" si="39"/>
        <v>0</v>
      </c>
      <c r="T47" s="608">
        <f t="shared" si="37"/>
        <v>0</v>
      </c>
      <c r="AF47" s="621">
        <f>B47-'BS old'!$G$21</f>
        <v>0</v>
      </c>
      <c r="AG47" s="661">
        <f>C47-'BS old'!$G$22</f>
        <v>0</v>
      </c>
      <c r="AH47" s="661">
        <f>D47-'BS old'!$G$23</f>
        <v>0</v>
      </c>
      <c r="AI47" s="661">
        <f>E47-'BS old'!$G$24</f>
        <v>0</v>
      </c>
      <c r="AJ47" s="661">
        <f>F47-'BS old'!$G$25</f>
        <v>0</v>
      </c>
      <c r="AK47" s="661">
        <f>G47-'BS old'!$G$26</f>
        <v>0</v>
      </c>
      <c r="AL47" s="661">
        <f>H47-'BS old'!$G$27</f>
        <v>0</v>
      </c>
      <c r="AM47" s="661">
        <f>I47-'BS old'!$G$28</f>
        <v>0</v>
      </c>
      <c r="AN47" s="608">
        <f>J47-'BS old'!$G$20</f>
        <v>0</v>
      </c>
    </row>
    <row r="48" spans="1:40" ht="15.75" thickTop="1"/>
  </sheetData>
  <mergeCells count="7">
    <mergeCell ref="V1:AD1"/>
    <mergeCell ref="AF1:AN1"/>
    <mergeCell ref="A3:A4"/>
    <mergeCell ref="A27:A28"/>
    <mergeCell ref="B27:J27"/>
    <mergeCell ref="B3:J3"/>
    <mergeCell ref="L1:T1"/>
  </mergeCells>
  <conditionalFormatting sqref="L6:T23 V6:AD22 AF10:AN29">
    <cfRule type="cellIs" dxfId="308" priority="57" operator="lessThan">
      <formula>0</formula>
    </cfRule>
    <cfRule type="cellIs" dxfId="307" priority="58" operator="greaterThan">
      <formula>0</formula>
    </cfRule>
  </conditionalFormatting>
  <conditionalFormatting sqref="L30:T47">
    <cfRule type="cellIs" dxfId="306" priority="55" operator="lessThan">
      <formula>0</formula>
    </cfRule>
    <cfRule type="cellIs" dxfId="305" priority="56" operator="greaterThan">
      <formula>0</formula>
    </cfRule>
  </conditionalFormatting>
  <conditionalFormatting sqref="AF30:AN47">
    <cfRule type="cellIs" dxfId="304" priority="51" operator="lessThan">
      <formula>0</formula>
    </cfRule>
    <cfRule type="cellIs" dxfId="303" priority="52" operator="greaterThan">
      <formula>0</formula>
    </cfRule>
  </conditionalFormatting>
  <conditionalFormatting sqref="L30:T47">
    <cfRule type="cellIs" dxfId="302" priority="49" operator="lessThan">
      <formula>0</formula>
    </cfRule>
    <cfRule type="cellIs" dxfId="301" priority="50" operator="greaterThan">
      <formula>0</formula>
    </cfRule>
  </conditionalFormatting>
  <conditionalFormatting sqref="L6:T23">
    <cfRule type="cellIs" dxfId="300" priority="47" operator="lessThan">
      <formula>0</formula>
    </cfRule>
    <cfRule type="cellIs" dxfId="299" priority="48" operator="greaterThan">
      <formula>0</formula>
    </cfRule>
  </conditionalFormatting>
  <conditionalFormatting sqref="L30:T47">
    <cfRule type="cellIs" dxfId="298" priority="45" operator="lessThan">
      <formula>0</formula>
    </cfRule>
    <cfRule type="cellIs" dxfId="297" priority="46" operator="greaterThan">
      <formula>0</formula>
    </cfRule>
  </conditionalFormatting>
  <conditionalFormatting sqref="L30:T47">
    <cfRule type="cellIs" dxfId="296" priority="43" operator="lessThan">
      <formula>0</formula>
    </cfRule>
    <cfRule type="cellIs" dxfId="295" priority="44" operator="greaterThan">
      <formula>0</formula>
    </cfRule>
  </conditionalFormatting>
  <conditionalFormatting sqref="M10:T10 L15:T15 L20:T20 M11:S14 L10:L14 L16:S19 L21:S23">
    <cfRule type="cellIs" dxfId="294" priority="41" operator="lessThan">
      <formula>0</formula>
    </cfRule>
    <cfRule type="cellIs" dxfId="293" priority="42" operator="greaterThan">
      <formula>0</formula>
    </cfRule>
  </conditionalFormatting>
  <conditionalFormatting sqref="T10">
    <cfRule type="cellIs" dxfId="292" priority="39" operator="lessThan">
      <formula>0</formula>
    </cfRule>
    <cfRule type="cellIs" dxfId="291" priority="40" operator="greaterThan">
      <formula>0</formula>
    </cfRule>
  </conditionalFormatting>
  <conditionalFormatting sqref="T15">
    <cfRule type="cellIs" dxfId="290" priority="37" operator="lessThan">
      <formula>0</formula>
    </cfRule>
    <cfRule type="cellIs" dxfId="289" priority="38" operator="greaterThan">
      <formula>0</formula>
    </cfRule>
  </conditionalFormatting>
  <conditionalFormatting sqref="T20">
    <cfRule type="cellIs" dxfId="288" priority="35" operator="lessThan">
      <formula>0</formula>
    </cfRule>
    <cfRule type="cellIs" dxfId="287" priority="36" operator="greaterThan">
      <formula>0</formula>
    </cfRule>
  </conditionalFormatting>
  <conditionalFormatting sqref="T10">
    <cfRule type="cellIs" dxfId="286" priority="33" operator="lessThan">
      <formula>0</formula>
    </cfRule>
    <cfRule type="cellIs" dxfId="285" priority="34" operator="greaterThan">
      <formula>0</formula>
    </cfRule>
  </conditionalFormatting>
  <conditionalFormatting sqref="T15">
    <cfRule type="cellIs" dxfId="284" priority="31" operator="lessThan">
      <formula>0</formula>
    </cfRule>
    <cfRule type="cellIs" dxfId="283" priority="32" operator="greaterThan">
      <formula>0</formula>
    </cfRule>
  </conditionalFormatting>
  <conditionalFormatting sqref="T15">
    <cfRule type="cellIs" dxfId="282" priority="29" operator="lessThan">
      <formula>0</formula>
    </cfRule>
    <cfRule type="cellIs" dxfId="281" priority="30" operator="greaterThan">
      <formula>0</formula>
    </cfRule>
  </conditionalFormatting>
  <conditionalFormatting sqref="T20">
    <cfRule type="cellIs" dxfId="280" priority="27" operator="lessThan">
      <formula>0</formula>
    </cfRule>
    <cfRule type="cellIs" dxfId="279" priority="28" operator="greaterThan">
      <formula>0</formula>
    </cfRule>
  </conditionalFormatting>
  <conditionalFormatting sqref="T20">
    <cfRule type="cellIs" dxfId="278" priority="25" operator="lessThan">
      <formula>0</formula>
    </cfRule>
    <cfRule type="cellIs" dxfId="277" priority="26" operator="greaterThan">
      <formula>0</formula>
    </cfRule>
  </conditionalFormatting>
  <conditionalFormatting sqref="T20">
    <cfRule type="cellIs" dxfId="276" priority="23" operator="lessThan">
      <formula>0</formula>
    </cfRule>
    <cfRule type="cellIs" dxfId="275" priority="24" operator="greaterThan">
      <formula>0</formula>
    </cfRule>
  </conditionalFormatting>
  <conditionalFormatting sqref="L30:T47">
    <cfRule type="cellIs" dxfId="274" priority="21" operator="lessThan">
      <formula>0</formula>
    </cfRule>
    <cfRule type="cellIs" dxfId="273" priority="22" operator="greaterThan">
      <formula>0</formula>
    </cfRule>
  </conditionalFormatting>
  <conditionalFormatting sqref="M34:T34 L39:T39 L44:T44 M35:S38 L34:L38 L40:S43 L45:S47">
    <cfRule type="cellIs" dxfId="272" priority="19" operator="lessThan">
      <formula>0</formula>
    </cfRule>
    <cfRule type="cellIs" dxfId="271" priority="20" operator="greaterThan">
      <formula>0</formula>
    </cfRule>
  </conditionalFormatting>
  <conditionalFormatting sqref="T34">
    <cfRule type="cellIs" dxfId="270" priority="17" operator="lessThan">
      <formula>0</formula>
    </cfRule>
    <cfRule type="cellIs" dxfId="269" priority="18" operator="greaterThan">
      <formula>0</formula>
    </cfRule>
  </conditionalFormatting>
  <conditionalFormatting sqref="T39">
    <cfRule type="cellIs" dxfId="268" priority="15" operator="lessThan">
      <formula>0</formula>
    </cfRule>
    <cfRule type="cellIs" dxfId="267" priority="16" operator="greaterThan">
      <formula>0</formula>
    </cfRule>
  </conditionalFormatting>
  <conditionalFormatting sqref="T44">
    <cfRule type="cellIs" dxfId="266" priority="13" operator="lessThan">
      <formula>0</formula>
    </cfRule>
    <cfRule type="cellIs" dxfId="265" priority="14" operator="greaterThan">
      <formula>0</formula>
    </cfRule>
  </conditionalFormatting>
  <conditionalFormatting sqref="T34">
    <cfRule type="cellIs" dxfId="264" priority="11" operator="lessThan">
      <formula>0</formula>
    </cfRule>
    <cfRule type="cellIs" dxfId="263" priority="12" operator="greaterThan">
      <formula>0</formula>
    </cfRule>
  </conditionalFormatting>
  <conditionalFormatting sqref="T39">
    <cfRule type="cellIs" dxfId="262" priority="9" operator="lessThan">
      <formula>0</formula>
    </cfRule>
    <cfRule type="cellIs" dxfId="261" priority="10" operator="greaterThan">
      <formula>0</formula>
    </cfRule>
  </conditionalFormatting>
  <conditionalFormatting sqref="T39">
    <cfRule type="cellIs" dxfId="260" priority="7" operator="lessThan">
      <formula>0</formula>
    </cfRule>
    <cfRule type="cellIs" dxfId="259" priority="8" operator="greaterThan">
      <formula>0</formula>
    </cfRule>
  </conditionalFormatting>
  <conditionalFormatting sqref="T44">
    <cfRule type="cellIs" dxfId="258" priority="5" operator="lessThan">
      <formula>0</formula>
    </cfRule>
    <cfRule type="cellIs" dxfId="257" priority="6" operator="greaterThan">
      <formula>0</formula>
    </cfRule>
  </conditionalFormatting>
  <conditionalFormatting sqref="T44">
    <cfRule type="cellIs" dxfId="256" priority="3" operator="lessThan">
      <formula>0</formula>
    </cfRule>
    <cfRule type="cellIs" dxfId="255" priority="4" operator="greaterThan">
      <formula>0</formula>
    </cfRule>
  </conditionalFormatting>
  <conditionalFormatting sqref="T44">
    <cfRule type="cellIs" dxfId="254" priority="1" operator="lessThan">
      <formula>0</formula>
    </cfRule>
    <cfRule type="cellIs" dxfId="253" priority="2" operator="greaterThan">
      <formula>0</formula>
    </cfRule>
  </conditionalFormatting>
  <pageMargins left="0.7" right="0.7" top="0.75" bottom="0.75" header="0.3" footer="0.3"/>
  <pageSetup paperSize="9" orientation="portrait" horizontalDpi="300" verticalDpi="300"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outlinePr summaryBelow="0" summaryRight="0"/>
  </sheetPr>
  <dimension ref="A1:AM52"/>
  <sheetViews>
    <sheetView showGridLines="0" view="pageBreakPreview" topLeftCell="A22" zoomScaleNormal="100" zoomScaleSheetLayoutView="100" workbookViewId="0">
      <selection activeCell="AK47" sqref="AK47"/>
    </sheetView>
  </sheetViews>
  <sheetFormatPr defaultColWidth="9.140625" defaultRowHeight="12.75"/>
  <cols>
    <col min="1" max="10" width="2.5703125" style="818" customWidth="1"/>
    <col min="11" max="11" width="3.42578125" style="818" customWidth="1"/>
    <col min="12" max="36" width="2.5703125" style="818" customWidth="1"/>
    <col min="37" max="37" width="2.140625" style="818" customWidth="1"/>
    <col min="38" max="38" width="1.85546875" style="818" customWidth="1"/>
    <col min="39" max="39" width="2.140625" style="818" customWidth="1"/>
    <col min="40" max="45" width="2.5703125" style="818" customWidth="1"/>
    <col min="46" max="46" width="7.7109375" style="818" customWidth="1"/>
    <col min="47" max="61" width="2.5703125" style="818" customWidth="1"/>
    <col min="62" max="16384" width="9.140625" style="818"/>
  </cols>
  <sheetData>
    <row r="1" spans="1:38" s="500" customFormat="1" ht="10.5" thickBot="1">
      <c r="C1" s="817" t="s">
        <v>1061</v>
      </c>
    </row>
    <row r="2" spans="1:38" s="397" customFormat="1" ht="21" customHeight="1" thickBot="1">
      <c r="C2" s="819" t="s">
        <v>1542</v>
      </c>
      <c r="D2" s="820"/>
      <c r="E2" s="820"/>
      <c r="F2" s="820"/>
      <c r="G2" s="820"/>
      <c r="H2" s="820"/>
      <c r="I2" s="820"/>
      <c r="J2" s="821"/>
      <c r="Q2" s="496" t="s">
        <v>1543</v>
      </c>
    </row>
    <row r="3" spans="1:38" ht="13.5" thickBot="1"/>
    <row r="4" spans="1:38" ht="28.5" customHeight="1" thickBot="1">
      <c r="K4" s="856" t="s">
        <v>1544</v>
      </c>
      <c r="L4" s="494" t="str">
        <f>+MID('Input data'!$B$11,1,1)</f>
        <v>3</v>
      </c>
      <c r="M4" s="494" t="str">
        <f>+MID('Input data'!$B$11,2,1)</f>
        <v>1</v>
      </c>
      <c r="N4" s="494" t="s">
        <v>1063</v>
      </c>
      <c r="O4" s="494" t="str">
        <f>LEFT('Input data'!B13,1)</f>
        <v>0</v>
      </c>
      <c r="P4" s="494" t="str">
        <f>RIGHT('Input data'!B13,1)</f>
        <v>3</v>
      </c>
      <c r="Q4" s="494" t="s">
        <v>1063</v>
      </c>
      <c r="R4" s="494" t="str">
        <f>+LEFT('Input data'!$B$14,1)</f>
        <v>2</v>
      </c>
      <c r="S4" s="494" t="str">
        <f>+MID('Input data'!$B$14,2,1)</f>
        <v>0</v>
      </c>
      <c r="T4" s="494" t="str">
        <f>+MID('Input data'!$B$14,3,1)</f>
        <v>1</v>
      </c>
      <c r="U4" s="494" t="str">
        <f>+MID('Input data'!$B$14,4,1)</f>
        <v>8</v>
      </c>
      <c r="V4" s="2659" t="s">
        <v>1545</v>
      </c>
      <c r="W4" s="2660"/>
      <c r="X4" s="2660"/>
      <c r="Y4" s="2660"/>
      <c r="Z4" s="2660"/>
      <c r="AA4" s="2661"/>
    </row>
    <row r="5" spans="1:38" ht="7.5" customHeight="1" thickBot="1"/>
    <row r="6" spans="1:38" s="487" customFormat="1" ht="14.25" customHeight="1">
      <c r="A6" s="490" t="s">
        <v>1546</v>
      </c>
      <c r="B6" s="490"/>
      <c r="C6" s="489"/>
      <c r="D6" s="489"/>
      <c r="E6" s="489"/>
      <c r="F6" s="489"/>
      <c r="G6" s="489"/>
      <c r="H6" s="489"/>
      <c r="I6" s="489"/>
      <c r="J6" s="489"/>
      <c r="K6" s="489"/>
      <c r="L6" s="489"/>
      <c r="M6" s="489"/>
      <c r="N6" s="489"/>
      <c r="O6" s="489"/>
      <c r="P6" s="489"/>
      <c r="Q6" s="489"/>
      <c r="R6" s="489"/>
      <c r="S6" s="488"/>
      <c r="T6" s="489"/>
      <c r="U6" s="489"/>
      <c r="V6" s="489"/>
      <c r="W6" s="489"/>
      <c r="X6" s="489"/>
      <c r="Y6" s="489"/>
      <c r="Z6" s="489"/>
      <c r="AA6" s="489"/>
      <c r="AB6" s="489"/>
      <c r="AC6" s="489"/>
      <c r="AD6" s="489"/>
      <c r="AE6" s="489"/>
      <c r="AF6" s="489"/>
      <c r="AG6" s="489"/>
      <c r="AH6" s="489"/>
      <c r="AI6" s="489"/>
      <c r="AJ6" s="489"/>
      <c r="AK6" s="489"/>
      <c r="AL6" s="488"/>
    </row>
    <row r="7" spans="1:38" s="487" customFormat="1" ht="14.25" customHeight="1">
      <c r="A7" s="857" t="s">
        <v>1547</v>
      </c>
      <c r="B7" s="857"/>
      <c r="C7" s="858"/>
      <c r="D7" s="858"/>
      <c r="E7" s="858"/>
      <c r="F7" s="858"/>
      <c r="G7" s="858"/>
      <c r="H7" s="858"/>
      <c r="I7" s="858"/>
      <c r="J7" s="858"/>
      <c r="K7" s="858"/>
      <c r="L7" s="858"/>
      <c r="M7" s="858"/>
      <c r="N7" s="858"/>
      <c r="O7" s="858"/>
      <c r="P7" s="858"/>
      <c r="Q7" s="858"/>
      <c r="R7" s="858"/>
      <c r="S7" s="858"/>
      <c r="T7" s="858"/>
      <c r="U7" s="858"/>
      <c r="V7" s="858"/>
      <c r="W7" s="858"/>
      <c r="X7" s="858"/>
      <c r="Y7" s="858"/>
      <c r="Z7" s="858"/>
      <c r="AA7" s="858"/>
      <c r="AB7" s="858"/>
      <c r="AC7" s="858"/>
      <c r="AD7" s="858"/>
      <c r="AE7" s="858"/>
      <c r="AF7" s="858"/>
      <c r="AG7" s="858"/>
      <c r="AH7" s="858"/>
      <c r="AI7" s="858"/>
      <c r="AJ7" s="858"/>
      <c r="AK7" s="858"/>
      <c r="AL7" s="859"/>
    </row>
    <row r="8" spans="1:38" s="863" customFormat="1" ht="15" customHeight="1">
      <c r="A8" s="860" t="s">
        <v>1548</v>
      </c>
      <c r="B8" s="860"/>
      <c r="C8" s="861"/>
      <c r="D8" s="861"/>
      <c r="E8" s="861"/>
      <c r="F8" s="861"/>
      <c r="G8" s="861"/>
      <c r="H8" s="861"/>
      <c r="I8" s="861"/>
      <c r="J8" s="861"/>
      <c r="K8" s="861"/>
      <c r="L8" s="861"/>
      <c r="M8" s="861"/>
      <c r="N8" s="861"/>
      <c r="O8" s="861"/>
      <c r="P8" s="861"/>
      <c r="Q8" s="861"/>
      <c r="R8" s="861"/>
      <c r="S8" s="862"/>
      <c r="T8" s="861"/>
      <c r="U8" s="861"/>
      <c r="V8" s="861"/>
      <c r="W8" s="861"/>
      <c r="X8" s="861"/>
      <c r="Y8" s="861"/>
      <c r="Z8" s="861"/>
      <c r="AA8" s="861"/>
      <c r="AB8" s="861"/>
      <c r="AC8" s="861"/>
      <c r="AD8" s="861"/>
      <c r="AE8" s="861"/>
      <c r="AF8" s="861"/>
      <c r="AG8" s="861"/>
      <c r="AH8" s="861"/>
      <c r="AI8" s="861"/>
      <c r="AJ8" s="861"/>
      <c r="AK8" s="861"/>
      <c r="AL8" s="859"/>
    </row>
    <row r="9" spans="1:38" s="482" customFormat="1" ht="18" customHeight="1" thickBot="1">
      <c r="A9" s="485" t="s">
        <v>1549</v>
      </c>
      <c r="B9" s="485"/>
      <c r="C9" s="484"/>
      <c r="D9" s="484"/>
      <c r="E9" s="485"/>
      <c r="F9" s="484"/>
      <c r="G9" s="484"/>
      <c r="H9" s="484"/>
      <c r="I9" s="484"/>
      <c r="J9" s="484"/>
      <c r="K9" s="484"/>
      <c r="L9" s="484"/>
      <c r="M9" s="484"/>
      <c r="N9" s="484"/>
      <c r="O9" s="484"/>
      <c r="P9" s="484"/>
      <c r="Q9" s="484"/>
      <c r="R9" s="484"/>
      <c r="S9" s="483"/>
      <c r="T9" s="484"/>
      <c r="U9" s="484"/>
      <c r="V9" s="484"/>
      <c r="W9" s="484"/>
      <c r="X9" s="484"/>
      <c r="Y9" s="484"/>
      <c r="Z9" s="484"/>
      <c r="AA9" s="484"/>
      <c r="AB9" s="484"/>
      <c r="AC9" s="484"/>
      <c r="AD9" s="484"/>
      <c r="AE9" s="484"/>
      <c r="AF9" s="484"/>
      <c r="AG9" s="484"/>
      <c r="AH9" s="484"/>
      <c r="AI9" s="484"/>
      <c r="AJ9" s="484"/>
      <c r="AK9" s="484"/>
      <c r="AL9" s="483"/>
    </row>
    <row r="10" spans="1:38" s="462" customFormat="1" ht="3.75" customHeight="1" thickBot="1"/>
    <row r="11" spans="1:38" s="462" customFormat="1" ht="14.25" customHeight="1">
      <c r="A11" s="464" t="s">
        <v>1550</v>
      </c>
      <c r="B11" s="463"/>
      <c r="C11" s="463"/>
      <c r="D11" s="463"/>
      <c r="E11" s="463"/>
      <c r="F11" s="463"/>
      <c r="G11" s="463"/>
      <c r="H11" s="463"/>
      <c r="I11" s="407"/>
      <c r="J11" s="841"/>
      <c r="K11" s="480" t="s">
        <v>1551</v>
      </c>
      <c r="L11" s="463"/>
      <c r="M11" s="481"/>
      <c r="N11" s="481"/>
      <c r="O11" s="481"/>
      <c r="P11" s="463"/>
      <c r="Q11" s="480" t="s">
        <v>1551</v>
      </c>
      <c r="R11" s="463"/>
      <c r="S11" s="407"/>
      <c r="T11" s="463"/>
      <c r="U11" s="463"/>
      <c r="V11" s="842"/>
      <c r="W11" s="463"/>
      <c r="X11" s="463"/>
      <c r="Y11" s="463"/>
      <c r="Z11" s="463"/>
      <c r="AA11" s="463"/>
      <c r="AB11" s="463"/>
      <c r="AC11" s="463"/>
      <c r="AD11" s="480" t="s">
        <v>1552</v>
      </c>
      <c r="AE11" s="480"/>
      <c r="AF11" s="480"/>
      <c r="AG11" s="480" t="s">
        <v>1553</v>
      </c>
      <c r="AH11" s="463"/>
      <c r="AI11" s="463"/>
      <c r="AJ11" s="463"/>
      <c r="AK11" s="463"/>
      <c r="AL11" s="479"/>
    </row>
    <row r="12" spans="1:38" s="462" customFormat="1" ht="19.5" customHeight="1">
      <c r="A12" s="476" t="str">
        <f>LEFT('Input data'!C24,1)</f>
        <v>2</v>
      </c>
      <c r="B12" s="441" t="str">
        <f>MID('Input data'!$C$24,2,1)</f>
        <v>0</v>
      </c>
      <c r="C12" s="441" t="str">
        <f>MID('Input data'!$C$24,3,1)</f>
        <v>2</v>
      </c>
      <c r="D12" s="441" t="str">
        <f>MID('Input data'!$C$24,4,1)</f>
        <v>0</v>
      </c>
      <c r="E12" s="441" t="str">
        <f>MID('Input data'!$C$24,5,1)</f>
        <v>3</v>
      </c>
      <c r="F12" s="441" t="str">
        <f>MID('Input data'!$C$24,6,1)</f>
        <v>1</v>
      </c>
      <c r="G12" s="441" t="str">
        <f>MID('Input data'!$C$24,7,1)</f>
        <v>9</v>
      </c>
      <c r="H12" s="441" t="str">
        <f>MID('Input data'!$C$24,8,1)</f>
        <v>8</v>
      </c>
      <c r="I12" s="441" t="str">
        <f>MID('Input data'!$C$24,9,1)</f>
        <v>2</v>
      </c>
      <c r="J12" s="843" t="str">
        <f>MID('Input data'!$C$24,10,1)</f>
        <v>9</v>
      </c>
      <c r="K12" s="844"/>
      <c r="L12" s="465"/>
      <c r="M12" s="465"/>
      <c r="N12" s="465"/>
      <c r="O12" s="465"/>
      <c r="P12" s="465"/>
      <c r="Q12" s="465"/>
      <c r="R12" s="465"/>
      <c r="S12" s="465"/>
      <c r="T12" s="465"/>
      <c r="U12" s="465"/>
      <c r="V12" s="845"/>
      <c r="W12" s="470" t="s">
        <v>1554</v>
      </c>
      <c r="X12" s="465"/>
      <c r="Y12" s="465"/>
      <c r="Z12" s="465"/>
      <c r="AA12" s="465"/>
      <c r="AB12" s="470" t="s">
        <v>1555</v>
      </c>
      <c r="AC12" s="465"/>
      <c r="AD12" s="441" t="str">
        <f>MID('Input data'!$B$8,1,1)</f>
        <v>0</v>
      </c>
      <c r="AE12" s="441" t="str">
        <f>MID('Input data'!$B$8,2,1)</f>
        <v>4</v>
      </c>
      <c r="AF12" s="441"/>
      <c r="AG12" s="441" t="str">
        <f>MID('Input data'!$B$9,1,1)</f>
        <v>2</v>
      </c>
      <c r="AH12" s="441" t="str">
        <f>MID('Input data'!$B$9,2,1)</f>
        <v>0</v>
      </c>
      <c r="AI12" s="441" t="str">
        <f>MID('Input data'!$B$9,3,1)</f>
        <v>1</v>
      </c>
      <c r="AJ12" s="441" t="str">
        <f>MID('Input data'!$B$9,4,1)</f>
        <v>7</v>
      </c>
      <c r="AK12" s="465"/>
      <c r="AL12" s="471"/>
    </row>
    <row r="13" spans="1:38" s="462" customFormat="1" ht="19.5" customHeight="1">
      <c r="A13" s="403" t="s">
        <v>1556</v>
      </c>
      <c r="B13" s="465"/>
      <c r="C13" s="465"/>
      <c r="D13" s="465"/>
      <c r="E13" s="465"/>
      <c r="F13" s="465"/>
      <c r="G13" s="465"/>
      <c r="H13" s="399"/>
      <c r="I13" s="399"/>
      <c r="J13" s="527"/>
      <c r="K13" s="478" t="str">
        <f>IF('Input data'!D7="x","x"," ")</f>
        <v>x</v>
      </c>
      <c r="L13" s="470" t="s">
        <v>1557</v>
      </c>
      <c r="N13" s="472"/>
      <c r="O13" s="472"/>
      <c r="P13" s="472"/>
      <c r="Q13" s="472"/>
      <c r="R13" s="478" t="str">
        <f>IF('Input data'!D17="x","x"," ")</f>
        <v>x</v>
      </c>
      <c r="S13" s="470" t="s">
        <v>1558</v>
      </c>
      <c r="T13" s="465"/>
      <c r="U13" s="465"/>
      <c r="V13" s="845"/>
      <c r="W13" s="825"/>
      <c r="X13" s="826"/>
      <c r="Y13" s="826"/>
      <c r="Z13" s="826"/>
      <c r="AA13" s="826"/>
      <c r="AB13" s="827" t="s">
        <v>1559</v>
      </c>
      <c r="AC13" s="826"/>
      <c r="AD13" s="828" t="str">
        <f>MID('Input data'!$B$13,1,1)</f>
        <v>0</v>
      </c>
      <c r="AE13" s="828" t="str">
        <f>MID('Input data'!$B$13,2,1)</f>
        <v>3</v>
      </c>
      <c r="AF13" s="828"/>
      <c r="AG13" s="828" t="str">
        <f>MID('Input data'!$B$14,1,1)</f>
        <v>2</v>
      </c>
      <c r="AH13" s="828" t="str">
        <f>MID('Input data'!$B$14,2,1)</f>
        <v>0</v>
      </c>
      <c r="AI13" s="828" t="str">
        <f>MID('Input data'!$B$14,3,1)</f>
        <v>1</v>
      </c>
      <c r="AJ13" s="828" t="str">
        <f>MID('Input data'!$B$14,4,1)</f>
        <v>8</v>
      </c>
      <c r="AK13" s="826"/>
      <c r="AL13" s="829"/>
    </row>
    <row r="14" spans="1:38" s="462" customFormat="1" ht="19.5" customHeight="1">
      <c r="A14" s="864" t="str">
        <f>LEFT('Input data'!C26,1)</f>
        <v>3</v>
      </c>
      <c r="B14" s="474" t="str">
        <f>MID('Input data'!$C$26,2,1)</f>
        <v>1</v>
      </c>
      <c r="C14" s="474" t="str">
        <f>MID('Input data'!$C$26,3,1)</f>
        <v>3</v>
      </c>
      <c r="D14" s="474" t="str">
        <f>MID('Input data'!$C$26,4,1)</f>
        <v>6</v>
      </c>
      <c r="E14" s="474" t="str">
        <f>MID('Input data'!$C$26,5,1)</f>
        <v>5</v>
      </c>
      <c r="F14" s="474" t="str">
        <f>MID('Input data'!$C$26,6,1)</f>
        <v>5</v>
      </c>
      <c r="G14" s="474" t="str">
        <f>MID('Input data'!$C$26,7,1)</f>
        <v>0</v>
      </c>
      <c r="H14" s="474" t="str">
        <f>MID('Input data'!$C$26,8,1)</f>
        <v>7</v>
      </c>
      <c r="I14" s="399"/>
      <c r="J14" s="527"/>
      <c r="K14" s="399" t="str">
        <f>IF('Input data'!D8="x","x", "")</f>
        <v/>
      </c>
      <c r="L14" s="470" t="s">
        <v>1560</v>
      </c>
      <c r="M14" s="470"/>
      <c r="N14" s="472"/>
      <c r="O14" s="472"/>
      <c r="P14" s="472"/>
      <c r="Q14" s="472"/>
      <c r="R14" s="472" t="str">
        <f>IF('Input data'!D18="x","x"," ")</f>
        <v xml:space="preserve"> </v>
      </c>
      <c r="S14" s="470" t="s">
        <v>1561</v>
      </c>
      <c r="T14" s="465"/>
      <c r="U14" s="465"/>
      <c r="V14" s="845"/>
      <c r="W14" s="470"/>
      <c r="X14" s="465"/>
      <c r="Y14" s="402"/>
      <c r="Z14" s="399"/>
      <c r="AA14" s="399"/>
      <c r="AB14" s="472"/>
      <c r="AC14" s="399"/>
      <c r="AD14" s="474"/>
      <c r="AE14" s="474"/>
      <c r="AF14" s="474"/>
      <c r="AG14" s="474"/>
      <c r="AH14" s="474"/>
      <c r="AI14" s="474"/>
      <c r="AJ14" s="474"/>
      <c r="AK14" s="399"/>
      <c r="AL14" s="471"/>
    </row>
    <row r="15" spans="1:38" s="462" customFormat="1" ht="19.5" customHeight="1">
      <c r="A15" s="403" t="s">
        <v>1081</v>
      </c>
      <c r="B15" s="465"/>
      <c r="C15" s="465"/>
      <c r="D15" s="465"/>
      <c r="E15" s="465"/>
      <c r="F15" s="418"/>
      <c r="G15" s="465"/>
      <c r="H15" s="465"/>
      <c r="I15" s="399"/>
      <c r="J15" s="527"/>
      <c r="K15" s="844"/>
      <c r="L15" s="399"/>
      <c r="M15" s="470"/>
      <c r="N15" s="472"/>
      <c r="O15" s="472"/>
      <c r="P15" s="472"/>
      <c r="Q15" s="472"/>
      <c r="R15" s="865" t="s">
        <v>1562</v>
      </c>
      <c r="S15" s="472"/>
      <c r="T15" s="465"/>
      <c r="U15" s="465"/>
      <c r="V15" s="845"/>
      <c r="W15" s="470" t="s">
        <v>1563</v>
      </c>
      <c r="X15" s="465"/>
      <c r="Y15" s="402"/>
      <c r="Z15" s="399"/>
      <c r="AA15" s="399"/>
      <c r="AB15" s="470" t="s">
        <v>1555</v>
      </c>
      <c r="AC15" s="399"/>
      <c r="AD15" s="441" t="str">
        <f>MID('Input data'!$B$18,1,1)</f>
        <v>0</v>
      </c>
      <c r="AE15" s="441" t="str">
        <f>MID('Input data'!$B$18,2,1)</f>
        <v>4</v>
      </c>
      <c r="AF15" s="441"/>
      <c r="AG15" s="441" t="str">
        <f>MID('Input data'!$B$19,1,1)</f>
        <v>2</v>
      </c>
      <c r="AH15" s="441" t="str">
        <f>MID('Input data'!$B$19,2,1)</f>
        <v>0</v>
      </c>
      <c r="AI15" s="441" t="str">
        <f>MID('Input data'!$B$19,3,1)</f>
        <v>1</v>
      </c>
      <c r="AJ15" s="441" t="str">
        <f>MID('Input data'!$B$19,4,1)</f>
        <v>6</v>
      </c>
      <c r="AK15" s="399"/>
      <c r="AL15" s="471"/>
    </row>
    <row r="16" spans="1:38" s="462" customFormat="1" ht="19.5" customHeight="1" thickBot="1">
      <c r="A16" s="469" t="str">
        <f>'SK Cover sheet'!A15</f>
        <v>2</v>
      </c>
      <c r="B16" s="394" t="str">
        <f>'SK Cover sheet'!B15</f>
        <v>7</v>
      </c>
      <c r="C16" s="467" t="s">
        <v>1063</v>
      </c>
      <c r="D16" s="394" t="str">
        <f>'SK Cover sheet'!D15</f>
        <v>3</v>
      </c>
      <c r="E16" s="394" t="str">
        <f>'SK Cover sheet'!E15</f>
        <v>1</v>
      </c>
      <c r="F16" s="467" t="s">
        <v>1063</v>
      </c>
      <c r="G16" s="394" t="str">
        <f>'SK Cover sheet'!G15</f>
        <v>0</v>
      </c>
      <c r="H16" s="394"/>
      <c r="I16" s="394"/>
      <c r="J16" s="847"/>
      <c r="K16" s="848"/>
      <c r="L16" s="394"/>
      <c r="M16" s="394"/>
      <c r="N16" s="394"/>
      <c r="O16" s="394"/>
      <c r="P16" s="394"/>
      <c r="Q16" s="394"/>
      <c r="R16" s="394"/>
      <c r="S16" s="394"/>
      <c r="T16" s="467"/>
      <c r="U16" s="467"/>
      <c r="V16" s="849"/>
      <c r="W16" s="466"/>
      <c r="X16" s="467"/>
      <c r="Y16" s="395"/>
      <c r="Z16" s="394"/>
      <c r="AA16" s="394"/>
      <c r="AB16" s="466" t="s">
        <v>1559</v>
      </c>
      <c r="AC16" s="394"/>
      <c r="AD16" s="439" t="str">
        <f>MID('Input data'!$B$21,1,1)</f>
        <v>0</v>
      </c>
      <c r="AE16" s="439" t="str">
        <f>MID('Input data'!$B$21,2,1)</f>
        <v>3</v>
      </c>
      <c r="AF16" s="439"/>
      <c r="AG16" s="439" t="str">
        <f>MID('Input data'!$B$22,1,1)</f>
        <v>2</v>
      </c>
      <c r="AH16" s="439" t="str">
        <f>MID('Input data'!$B$22,2,1)</f>
        <v>0</v>
      </c>
      <c r="AI16" s="439" t="str">
        <f>MID('Input data'!$B$22,3,1)</f>
        <v>1</v>
      </c>
      <c r="AJ16" s="439" t="str">
        <f>MID('Input data'!$B$22,4,1)</f>
        <v>7</v>
      </c>
      <c r="AK16" s="394"/>
      <c r="AL16" s="468"/>
    </row>
    <row r="17" spans="1:39" s="462" customFormat="1" ht="4.5" customHeight="1">
      <c r="A17" s="465"/>
      <c r="B17" s="465"/>
      <c r="C17" s="465"/>
      <c r="D17" s="465"/>
      <c r="E17" s="465"/>
      <c r="F17" s="465"/>
      <c r="G17" s="465"/>
      <c r="H17" s="399"/>
      <c r="I17" s="399"/>
      <c r="J17" s="399"/>
      <c r="K17" s="399"/>
      <c r="L17" s="399"/>
      <c r="M17" s="399"/>
      <c r="N17" s="399"/>
      <c r="O17" s="399"/>
      <c r="P17" s="399"/>
      <c r="Q17" s="399"/>
      <c r="R17" s="399"/>
      <c r="S17" s="399"/>
      <c r="T17" s="465"/>
      <c r="U17" s="465"/>
      <c r="V17" s="399"/>
      <c r="W17" s="399"/>
      <c r="X17" s="399"/>
      <c r="Y17" s="399"/>
      <c r="Z17" s="399"/>
      <c r="AA17" s="399"/>
      <c r="AB17" s="399"/>
      <c r="AC17" s="399"/>
      <c r="AD17" s="399"/>
      <c r="AE17" s="399"/>
      <c r="AF17" s="399"/>
      <c r="AG17" s="399"/>
      <c r="AH17" s="399"/>
      <c r="AI17" s="399"/>
      <c r="AJ17" s="399"/>
      <c r="AK17" s="399"/>
      <c r="AL17" s="465"/>
      <c r="AM17" s="465"/>
    </row>
    <row r="18" spans="1:39" s="462" customFormat="1" ht="3" customHeight="1" thickBot="1">
      <c r="A18" s="866"/>
      <c r="B18" s="465"/>
      <c r="C18" s="465"/>
      <c r="D18" s="465"/>
      <c r="E18" s="465"/>
      <c r="F18" s="465"/>
      <c r="G18" s="465"/>
      <c r="H18" s="399"/>
      <c r="I18" s="399"/>
      <c r="J18" s="399"/>
      <c r="K18" s="399"/>
      <c r="L18" s="399"/>
      <c r="M18" s="399"/>
      <c r="N18" s="399"/>
      <c r="O18" s="399"/>
      <c r="P18" s="399"/>
      <c r="Q18" s="399"/>
      <c r="R18" s="399"/>
      <c r="S18" s="399"/>
      <c r="T18" s="465"/>
      <c r="U18" s="465"/>
      <c r="V18" s="465"/>
      <c r="W18" s="399"/>
      <c r="X18" s="399"/>
      <c r="Y18" s="399"/>
      <c r="Z18" s="399"/>
      <c r="AA18" s="399"/>
      <c r="AB18" s="399"/>
      <c r="AC18" s="399"/>
      <c r="AD18" s="399"/>
      <c r="AE18" s="399"/>
      <c r="AF18" s="399"/>
      <c r="AG18" s="399"/>
      <c r="AH18" s="399"/>
      <c r="AI18" s="399"/>
      <c r="AJ18" s="399"/>
      <c r="AK18" s="399"/>
      <c r="AL18" s="465"/>
      <c r="AM18" s="465"/>
    </row>
    <row r="19" spans="1:39" s="462" customFormat="1" ht="16.5">
      <c r="A19" s="464" t="s">
        <v>1564</v>
      </c>
      <c r="B19" s="463"/>
      <c r="C19" s="463"/>
      <c r="D19" s="463"/>
      <c r="E19" s="463"/>
      <c r="F19" s="463"/>
      <c r="G19" s="463"/>
      <c r="H19" s="407"/>
      <c r="I19" s="407"/>
      <c r="J19" s="407"/>
      <c r="K19" s="407"/>
      <c r="L19" s="407"/>
      <c r="M19" s="407"/>
      <c r="N19" s="407"/>
      <c r="O19" s="407"/>
      <c r="P19" s="407"/>
      <c r="Q19" s="407"/>
      <c r="R19" s="407"/>
      <c r="S19" s="407"/>
      <c r="T19" s="463"/>
      <c r="U19" s="463"/>
      <c r="V19" s="463"/>
      <c r="W19" s="407"/>
      <c r="X19" s="407"/>
      <c r="Y19" s="407"/>
      <c r="Z19" s="407"/>
      <c r="AA19" s="407"/>
      <c r="AB19" s="407"/>
      <c r="AC19" s="407"/>
      <c r="AD19" s="407"/>
      <c r="AE19" s="407"/>
      <c r="AF19" s="407"/>
      <c r="AG19" s="407"/>
      <c r="AH19" s="407"/>
      <c r="AI19" s="407"/>
      <c r="AJ19" s="407"/>
      <c r="AK19" s="407"/>
      <c r="AL19" s="479"/>
    </row>
    <row r="20" spans="1:39" s="462" customFormat="1" ht="19.5" customHeight="1">
      <c r="A20" s="449" t="str">
        <f>+LEFT('Input data'!$F$3,1)</f>
        <v>F</v>
      </c>
      <c r="B20" s="441" t="str">
        <f>+MID('Input data'!$F$3,2,1)</f>
        <v>o</v>
      </c>
      <c r="C20" s="441" t="str">
        <f>+MID('Input data'!$F$3,3,1)</f>
        <v>s</v>
      </c>
      <c r="D20" s="441" t="str">
        <f>+MID('Input data'!$F$3,4,1)</f>
        <v>s</v>
      </c>
      <c r="E20" s="441" t="str">
        <f>+MID('Input data'!$F$3,5,1)</f>
        <v xml:space="preserve"> </v>
      </c>
      <c r="F20" s="441" t="str">
        <f>+MID('Input data'!$F$3,6,1)</f>
        <v>F</v>
      </c>
      <c r="G20" s="441" t="str">
        <f>+MID('Input data'!$F$3,7,1)</f>
        <v>i</v>
      </c>
      <c r="H20" s="441" t="str">
        <f>+MID('Input data'!$F$3,8,1)</f>
        <v>b</v>
      </c>
      <c r="I20" s="441" t="str">
        <f>+MID('Input data'!$F$3,9,1)</f>
        <v>r</v>
      </c>
      <c r="J20" s="441" t="str">
        <f>+MID('Input data'!$F$3,10,1)</f>
        <v>e</v>
      </c>
      <c r="K20" s="441" t="str">
        <f>+MID('Input data'!$F$3,11,1)</f>
        <v xml:space="preserve"> </v>
      </c>
      <c r="L20" s="441" t="str">
        <f>+MID('Input data'!$F$3,12,1)</f>
        <v>O</v>
      </c>
      <c r="M20" s="441" t="str">
        <f>+MID('Input data'!$F$3,13,1)</f>
        <v>p</v>
      </c>
      <c r="N20" s="441" t="str">
        <f>+MID('Input data'!$F$3,14,1)</f>
        <v>t</v>
      </c>
      <c r="O20" s="441" t="str">
        <f>+MID('Input data'!$F$3,15,1)</f>
        <v>i</v>
      </c>
      <c r="P20" s="441" t="str">
        <f>+MID('Input data'!$F$3,16,1)</f>
        <v>c</v>
      </c>
      <c r="Q20" s="441" t="str">
        <f>+MID('Input data'!$F$3,17,1)</f>
        <v>s</v>
      </c>
      <c r="R20" s="441" t="str">
        <f>+MID('Input data'!$F$3,18,1)</f>
        <v>,</v>
      </c>
      <c r="S20" s="441" t="str">
        <f>+MID('Input data'!$F$3,19,1)</f>
        <v xml:space="preserve"> </v>
      </c>
      <c r="T20" s="441" t="str">
        <f>+MID('Input data'!$F$3,20,1)</f>
        <v>s</v>
      </c>
      <c r="U20" s="441" t="str">
        <f>+MID('Input data'!$F$3,21,1)</f>
        <v>.</v>
      </c>
      <c r="V20" s="441" t="str">
        <f>+MID('Input data'!$F$3,22,1)</f>
        <v>r</v>
      </c>
      <c r="W20" s="441" t="str">
        <f>+MID('Input data'!$F$3,23,1)</f>
        <v>.</v>
      </c>
      <c r="X20" s="441" t="str">
        <f>+MID('Input data'!$F$3,24,1)</f>
        <v>o</v>
      </c>
      <c r="Y20" s="441" t="str">
        <f>+MID('Input data'!$F$3,25,1)</f>
        <v>.</v>
      </c>
      <c r="Z20" s="441" t="str">
        <f>+MID('Input data'!$F$3,26,1)</f>
        <v xml:space="preserve"> </v>
      </c>
      <c r="AA20" s="441" t="str">
        <f>+MID('Input data'!$F$3,27,1)</f>
        <v xml:space="preserve">
</v>
      </c>
      <c r="AB20" s="441" t="str">
        <f>+MID('Input data'!$F$3,28,1)</f>
        <v/>
      </c>
      <c r="AC20" s="441" t="str">
        <f>+MID('Input data'!$F$3,29,1)</f>
        <v/>
      </c>
      <c r="AD20" s="441" t="str">
        <f>+MID('Input data'!$F$3,30,1)</f>
        <v/>
      </c>
      <c r="AE20" s="441" t="str">
        <f>+MID('Input data'!$F$3,31,1)</f>
        <v/>
      </c>
      <c r="AF20" s="441" t="str">
        <f>+MID('Input data'!$F$3,32,1)</f>
        <v/>
      </c>
      <c r="AG20" s="441" t="str">
        <f>+MID('Input data'!$F$3,33,1)</f>
        <v/>
      </c>
      <c r="AH20" s="441" t="str">
        <f>+MID('Input data'!$F$3,34,1)</f>
        <v/>
      </c>
      <c r="AI20" s="441" t="str">
        <f>+MID('Input data'!$F$3,35,1)</f>
        <v/>
      </c>
      <c r="AJ20" s="441" t="str">
        <f>+MID('Input data'!$F$3,36,1)</f>
        <v/>
      </c>
      <c r="AK20" s="448" t="str">
        <f>+MID('Input data'!$F$3,37,1)</f>
        <v/>
      </c>
      <c r="AL20" s="471"/>
    </row>
    <row r="21" spans="1:39" s="530" customFormat="1" ht="19.5" customHeight="1">
      <c r="A21" s="449" t="str">
        <f>+MID('Input data'!$F$3,38,1)</f>
        <v/>
      </c>
      <c r="B21" s="441" t="str">
        <f>+MID('Input data'!$F$3,39,1)</f>
        <v/>
      </c>
      <c r="C21" s="441" t="str">
        <f>+MID('Input data'!$F$3,40,1)</f>
        <v/>
      </c>
      <c r="D21" s="441" t="str">
        <f>+MID('Input data'!$F$3,41,1)</f>
        <v/>
      </c>
      <c r="E21" s="441" t="str">
        <f>+MID('Input data'!$F$3,42,1)</f>
        <v/>
      </c>
      <c r="F21" s="441" t="str">
        <f>+MID('Input data'!$F$3,43,1)</f>
        <v/>
      </c>
      <c r="G21" s="441" t="str">
        <f>+MID('Input data'!$F$3,44,1)</f>
        <v/>
      </c>
      <c r="H21" s="441" t="str">
        <f>+MID('Input data'!$F$3,45,1)</f>
        <v/>
      </c>
      <c r="I21" s="441" t="str">
        <f>+MID('Input data'!$F$3,46,1)</f>
        <v/>
      </c>
      <c r="J21" s="441" t="str">
        <f>+MID('Input data'!$F$3,47,1)</f>
        <v/>
      </c>
      <c r="K21" s="441" t="str">
        <f>+MID('Input data'!$F$3,48,1)</f>
        <v/>
      </c>
      <c r="L21" s="441" t="str">
        <f>+MID('Input data'!$F$3,49,1)</f>
        <v/>
      </c>
      <c r="M21" s="441" t="str">
        <f>+MID('Input data'!$F$3,50,1)</f>
        <v/>
      </c>
      <c r="N21" s="441" t="str">
        <f>+MID('Input data'!$F$3,51,1)</f>
        <v/>
      </c>
      <c r="O21" s="441" t="str">
        <f>+MID('Input data'!$F$3,52,1)</f>
        <v/>
      </c>
      <c r="P21" s="441" t="str">
        <f>+MID('Input data'!$F$3,53,1)</f>
        <v/>
      </c>
      <c r="Q21" s="441" t="str">
        <f>+MID('Input data'!$F$3,54,1)</f>
        <v/>
      </c>
      <c r="R21" s="441" t="str">
        <f>+MID('Input data'!$F$3,55,1)</f>
        <v/>
      </c>
      <c r="S21" s="441" t="str">
        <f>+MID('Input data'!$F$3,56,1)</f>
        <v/>
      </c>
      <c r="T21" s="441" t="str">
        <f>+MID('Input data'!$F$3,57,1)</f>
        <v/>
      </c>
      <c r="U21" s="441" t="str">
        <f>+MID('Input data'!$F$3,58,1)</f>
        <v/>
      </c>
      <c r="V21" s="441" t="str">
        <f>+MID('Input data'!$F$3,59,1)</f>
        <v/>
      </c>
      <c r="W21" s="441" t="str">
        <f>+MID('Input data'!$F$3,60,1)</f>
        <v/>
      </c>
      <c r="X21" s="441" t="str">
        <f>+MID('Input data'!$F$3,61,1)</f>
        <v/>
      </c>
      <c r="Y21" s="441" t="str">
        <f>+MID('Input data'!$F$3,62,1)</f>
        <v/>
      </c>
      <c r="Z21" s="441" t="str">
        <f>+MID('Input data'!$F$3,63,1)</f>
        <v/>
      </c>
      <c r="AA21" s="441" t="str">
        <f>+MID('Input data'!$F$3,64,1)</f>
        <v/>
      </c>
      <c r="AB21" s="441" t="str">
        <f>+MID('Input data'!$F$3,65,1)</f>
        <v/>
      </c>
      <c r="AC21" s="441" t="str">
        <f>+MID('Input data'!$F$3,66,1)</f>
        <v/>
      </c>
      <c r="AD21" s="441" t="str">
        <f>+MID('Input data'!$F$3,67,1)</f>
        <v/>
      </c>
      <c r="AE21" s="441" t="str">
        <f>+MID('Input data'!$F$3,68,1)</f>
        <v/>
      </c>
      <c r="AF21" s="441" t="str">
        <f>+MID('Input data'!$F$3,69,1)</f>
        <v/>
      </c>
      <c r="AG21" s="441" t="str">
        <f>+MID('Input data'!$F$3,70,1)</f>
        <v/>
      </c>
      <c r="AH21" s="441" t="str">
        <f>+MID('Input data'!$F$3,71,1)</f>
        <v/>
      </c>
      <c r="AI21" s="441" t="str">
        <f>+MID('Input data'!$F$3,72,1)</f>
        <v/>
      </c>
      <c r="AJ21" s="441" t="str">
        <f>+MID('Input data'!$F$3,73,1)</f>
        <v/>
      </c>
      <c r="AK21" s="448" t="str">
        <f>+MID('Input data'!$F$3,74,1)</f>
        <v/>
      </c>
      <c r="AL21" s="867"/>
    </row>
    <row r="22" spans="1:39" s="450" customFormat="1" ht="14.25" customHeight="1">
      <c r="A22" s="868" t="s">
        <v>1565</v>
      </c>
      <c r="B22" s="869"/>
      <c r="C22" s="869"/>
      <c r="D22" s="869"/>
      <c r="E22" s="869"/>
      <c r="F22" s="869"/>
      <c r="G22" s="869"/>
      <c r="H22" s="869"/>
      <c r="I22" s="869"/>
      <c r="J22" s="869"/>
      <c r="K22" s="869"/>
      <c r="L22" s="869"/>
      <c r="M22" s="869"/>
      <c r="N22" s="869"/>
      <c r="O22" s="869"/>
      <c r="P22" s="869"/>
      <c r="Q22" s="869"/>
      <c r="R22" s="869"/>
      <c r="S22" s="869"/>
      <c r="T22" s="869"/>
      <c r="U22" s="869"/>
      <c r="V22" s="869"/>
      <c r="W22" s="459"/>
      <c r="X22" s="459"/>
      <c r="Y22" s="459"/>
      <c r="Z22" s="459"/>
      <c r="AA22" s="459"/>
      <c r="AB22" s="459"/>
      <c r="AC22" s="459"/>
      <c r="AD22" s="459"/>
      <c r="AE22" s="459"/>
      <c r="AF22" s="459"/>
      <c r="AG22" s="459"/>
      <c r="AH22" s="459"/>
      <c r="AI22" s="459"/>
      <c r="AJ22" s="459"/>
      <c r="AK22" s="459"/>
      <c r="AL22" s="870"/>
    </row>
    <row r="23" spans="1:39">
      <c r="A23" s="446" t="s">
        <v>1566</v>
      </c>
      <c r="B23" s="823"/>
      <c r="C23" s="823"/>
      <c r="D23" s="823"/>
      <c r="E23" s="823"/>
      <c r="F23" s="823"/>
      <c r="G23" s="823"/>
      <c r="H23" s="823"/>
      <c r="I23" s="823"/>
      <c r="J23" s="823"/>
      <c r="K23" s="823"/>
      <c r="L23" s="823"/>
      <c r="M23" s="823"/>
      <c r="N23" s="823"/>
      <c r="O23" s="823"/>
      <c r="P23" s="823"/>
      <c r="Q23" s="823"/>
      <c r="R23" s="823"/>
      <c r="S23" s="823"/>
      <c r="T23" s="823"/>
      <c r="U23" s="823"/>
      <c r="V23" s="823"/>
      <c r="W23" s="399"/>
      <c r="X23" s="399"/>
      <c r="Y23" s="399"/>
      <c r="Z23" s="399"/>
      <c r="AA23" s="399"/>
      <c r="AB23" s="823"/>
      <c r="AC23" s="399"/>
      <c r="AD23" s="402" t="s">
        <v>1567</v>
      </c>
      <c r="AE23" s="399"/>
      <c r="AF23" s="399"/>
      <c r="AG23" s="399"/>
      <c r="AH23" s="399"/>
      <c r="AI23" s="399"/>
      <c r="AJ23" s="399"/>
      <c r="AK23" s="399"/>
      <c r="AL23" s="871"/>
    </row>
    <row r="24" spans="1:39" s="530" customFormat="1" ht="19.5" customHeight="1">
      <c r="A24" s="449" t="str">
        <f>+LEFT('Input data'!$C$28,1)</f>
        <v>O</v>
      </c>
      <c r="B24" s="441" t="str">
        <f>+MID('Input data'!$C$28,2,1)</f>
        <v>d</v>
      </c>
      <c r="C24" s="441" t="str">
        <f>+MID('Input data'!$C$28,3,1)</f>
        <v>b</v>
      </c>
      <c r="D24" s="441" t="str">
        <f>+MID('Input data'!$C$28,4,1)</f>
        <v>o</v>
      </c>
      <c r="E24" s="441" t="str">
        <f>+MID('Input data'!$C$28,5,1)</f>
        <v>r</v>
      </c>
      <c r="F24" s="441" t="str">
        <f>+MID('Input data'!$C$28,6,1)</f>
        <v>á</v>
      </c>
      <c r="G24" s="441" t="str">
        <f>+MID('Input data'!$C$28,7,1)</f>
        <v>r</v>
      </c>
      <c r="H24" s="441" t="str">
        <f>+MID('Input data'!$C$28,8,1)</f>
        <v>s</v>
      </c>
      <c r="I24" s="441" t="str">
        <f>+MID('Input data'!$C$28,9,1)</f>
        <v>k</v>
      </c>
      <c r="J24" s="441" t="str">
        <f>+MID('Input data'!$C$28,10,1)</f>
        <v>a</v>
      </c>
      <c r="K24" s="441" t="str">
        <f>+MID('Input data'!$C$28,11,1)</f>
        <v/>
      </c>
      <c r="L24" s="441" t="str">
        <f>+MID('Input data'!$C$28,12,1)</f>
        <v/>
      </c>
      <c r="M24" s="441" t="str">
        <f>+MID('Input data'!$C$28,13,1)</f>
        <v/>
      </c>
      <c r="N24" s="441" t="str">
        <f>+MID('Input data'!$C$28,14,1)</f>
        <v/>
      </c>
      <c r="O24" s="441" t="str">
        <f>+MID('Input data'!$C$28,15,1)</f>
        <v/>
      </c>
      <c r="P24" s="441" t="str">
        <f>+MID('Input data'!$C$28,16,1)</f>
        <v/>
      </c>
      <c r="Q24" s="441" t="str">
        <f>+MID('Input data'!$C$28,17,1)</f>
        <v/>
      </c>
      <c r="R24" s="441" t="str">
        <f>+MID('Input data'!$C$28,18,1)</f>
        <v/>
      </c>
      <c r="S24" s="441" t="str">
        <f>+MID('Input data'!$C$28,19,1)</f>
        <v/>
      </c>
      <c r="T24" s="441" t="str">
        <f>+MID('Input data'!$C$28,20,1)</f>
        <v/>
      </c>
      <c r="U24" s="441" t="str">
        <f>+MID('Input data'!$C$28,21,1)</f>
        <v/>
      </c>
      <c r="V24" s="441" t="str">
        <f>+MID('Input data'!$C$28,22,1)</f>
        <v/>
      </c>
      <c r="W24" s="441" t="str">
        <f>+MID('Input data'!$C$28,23,1)</f>
        <v/>
      </c>
      <c r="X24" s="441" t="str">
        <f>+MID('Input data'!$C$28,24,1)</f>
        <v/>
      </c>
      <c r="Y24" s="441" t="str">
        <f>+MID('Input data'!$C$28,25,1)</f>
        <v/>
      </c>
      <c r="Z24" s="441" t="str">
        <f>+MID('Input data'!$C$28,26,1)</f>
        <v/>
      </c>
      <c r="AA24" s="441" t="str">
        <f>+MID('Input data'!$C$28,27,1)</f>
        <v/>
      </c>
      <c r="AB24" s="441" t="str">
        <f>+MID('Input data'!$C$28,28,1)</f>
        <v/>
      </c>
      <c r="AC24" s="443"/>
      <c r="AD24" s="441" t="str">
        <f>+LEFT('Input data'!$C$30,1)</f>
        <v>5</v>
      </c>
      <c r="AE24" s="441" t="str">
        <f>+MID('Input data'!$C$30,2,1)</f>
        <v>2</v>
      </c>
      <c r="AF24" s="441" t="str">
        <f>+MID('Input data'!$C$30,3,1)</f>
        <v/>
      </c>
      <c r="AG24" s="441" t="str">
        <f>+MID('Input data'!$C$30,4,1)</f>
        <v/>
      </c>
      <c r="AH24" s="441" t="str">
        <f>+MID('Input data'!$C$30,5,1)</f>
        <v/>
      </c>
      <c r="AI24" s="441" t="str">
        <f>+MID('Input data'!$C$30,6,1)</f>
        <v/>
      </c>
      <c r="AJ24" s="441" t="str">
        <f>+MID('Input data'!$C$30,7,1)</f>
        <v/>
      </c>
      <c r="AK24" s="441" t="str">
        <f>+MID('Input data'!$C$30,8,1)</f>
        <v/>
      </c>
      <c r="AL24" s="867"/>
    </row>
    <row r="25" spans="1:39">
      <c r="A25" s="446" t="s">
        <v>1568</v>
      </c>
      <c r="B25" s="823"/>
      <c r="C25" s="823"/>
      <c r="D25" s="823"/>
      <c r="E25" s="823"/>
      <c r="F25" s="823"/>
      <c r="G25" s="445" t="s">
        <v>1569</v>
      </c>
      <c r="H25" s="445"/>
      <c r="I25" s="445"/>
      <c r="J25" s="445"/>
      <c r="K25" s="445"/>
      <c r="L25" s="445"/>
      <c r="M25" s="445"/>
      <c r="N25" s="445"/>
      <c r="O25" s="445"/>
      <c r="P25" s="445"/>
      <c r="Q25" s="445"/>
      <c r="R25" s="445"/>
      <c r="S25" s="445"/>
      <c r="T25" s="445"/>
      <c r="U25" s="445"/>
      <c r="V25" s="445"/>
      <c r="W25" s="445"/>
      <c r="X25" s="445"/>
      <c r="Y25" s="445"/>
      <c r="Z25" s="445"/>
      <c r="AA25" s="445"/>
      <c r="AB25" s="445"/>
      <c r="AC25" s="445"/>
      <c r="AD25" s="445"/>
      <c r="AE25" s="399"/>
      <c r="AF25" s="399"/>
      <c r="AG25" s="399"/>
      <c r="AH25" s="399"/>
      <c r="AI25" s="399"/>
      <c r="AJ25" s="399"/>
      <c r="AK25" s="399"/>
      <c r="AL25" s="871"/>
    </row>
    <row r="26" spans="1:39" s="530" customFormat="1" ht="19.5" customHeight="1">
      <c r="A26" s="449" t="str">
        <f>+LEFT('Input data'!$C$32,1)</f>
        <v>8</v>
      </c>
      <c r="B26" s="441" t="str">
        <f>+MID('Input data'!$C$32,2,1)</f>
        <v>3</v>
      </c>
      <c r="C26" s="441" t="str">
        <f>+MID('Input data'!$C$32,3,1)</f>
        <v>1</v>
      </c>
      <c r="D26" s="441" t="str">
        <f>+MID('Input data'!$C$32,4,1)</f>
        <v xml:space="preserve"> </v>
      </c>
      <c r="E26" s="441" t="str">
        <f>+MID('Input data'!$C$32,5,1)</f>
        <v>0</v>
      </c>
      <c r="F26" s="441"/>
      <c r="G26" s="441" t="str">
        <f>+LEFT('Input data'!$C$34,1)</f>
        <v>B</v>
      </c>
      <c r="H26" s="441" t="str">
        <f>+MID('Input data'!$C$34,2,1)</f>
        <v>r</v>
      </c>
      <c r="I26" s="441" t="str">
        <f>+MID('Input data'!$C$34,3,1)</f>
        <v>a</v>
      </c>
      <c r="J26" s="441" t="str">
        <f>+MID('Input data'!$C$34,4,1)</f>
        <v>t</v>
      </c>
      <c r="K26" s="441" t="str">
        <f>+MID('Input data'!$C$34,5,1)</f>
        <v>i</v>
      </c>
      <c r="L26" s="441" t="str">
        <f>+MID('Input data'!$C$34,6,1)</f>
        <v>s</v>
      </c>
      <c r="M26" s="441" t="str">
        <f>+MID('Input data'!$C$34,7,1)</f>
        <v>l</v>
      </c>
      <c r="N26" s="441" t="str">
        <f>+MID('Input data'!$C$34,8,1)</f>
        <v>a</v>
      </c>
      <c r="O26" s="441" t="str">
        <f>+MID('Input data'!$C$34,9,1)</f>
        <v>v</v>
      </c>
      <c r="P26" s="441" t="str">
        <f>+MID('Input data'!$C$34,10,1)</f>
        <v>a</v>
      </c>
      <c r="Q26" s="441" t="str">
        <f>+MID('Input data'!$C$34,11,1)</f>
        <v xml:space="preserve"> </v>
      </c>
      <c r="R26" s="441" t="str">
        <f>+MID('Input data'!$C$34,12,1)</f>
        <v/>
      </c>
      <c r="S26" s="441" t="str">
        <f>+MID('Input data'!$C$34,13,1)</f>
        <v/>
      </c>
      <c r="T26" s="441" t="str">
        <f>+MID('Input data'!$C$34,14,1)</f>
        <v/>
      </c>
      <c r="U26" s="441" t="str">
        <f>+MID('Input data'!$C$34,15,1)</f>
        <v/>
      </c>
      <c r="V26" s="441" t="str">
        <f>+MID('Input data'!$C$34,16,1)</f>
        <v/>
      </c>
      <c r="W26" s="441" t="str">
        <f>+MID('Input data'!$C$34,17,1)</f>
        <v/>
      </c>
      <c r="X26" s="441" t="str">
        <f>+MID('Input data'!$C$34,18,1)</f>
        <v/>
      </c>
      <c r="Y26" s="441" t="str">
        <f>+MID('Input data'!$C$34,19,1)</f>
        <v/>
      </c>
      <c r="Z26" s="441" t="str">
        <f>+MID('Input data'!$C$34,20,1)</f>
        <v/>
      </c>
      <c r="AA26" s="441" t="str">
        <f>+MID('Input data'!$C$34,21,1)</f>
        <v/>
      </c>
      <c r="AB26" s="441" t="str">
        <f>+MID('Input data'!$C$34,22,1)</f>
        <v/>
      </c>
      <c r="AC26" s="441" t="str">
        <f>+MID('Input data'!$C$34,23,1)</f>
        <v/>
      </c>
      <c r="AD26" s="441" t="str">
        <f>+MID('Input data'!$C$34,24,1)</f>
        <v/>
      </c>
      <c r="AE26" s="441" t="str">
        <f>+MID('Input data'!$C$34,25,1)</f>
        <v/>
      </c>
      <c r="AF26" s="441" t="str">
        <f>+MID('Input data'!$C$34,26,1)</f>
        <v/>
      </c>
      <c r="AG26" s="441" t="str">
        <f>+MID('Input data'!$C$34,27,1)</f>
        <v/>
      </c>
      <c r="AH26" s="441" t="str">
        <f>+MID('Input data'!$C$34,28,1)</f>
        <v/>
      </c>
      <c r="AI26" s="441" t="str">
        <f>+MID('Input data'!$C$34,29,1)</f>
        <v/>
      </c>
      <c r="AJ26" s="441" t="str">
        <f>+MID('Input data'!$C$34,30,1)</f>
        <v/>
      </c>
      <c r="AK26" s="441" t="str">
        <f>+MID('Input data'!$C$34,31,1)</f>
        <v/>
      </c>
      <c r="AL26" s="867"/>
    </row>
    <row r="27" spans="1:39">
      <c r="A27" s="446" t="s">
        <v>1570</v>
      </c>
      <c r="B27" s="823"/>
      <c r="C27" s="823"/>
      <c r="D27" s="823"/>
      <c r="E27" s="823"/>
      <c r="F27" s="823"/>
      <c r="G27" s="445"/>
      <c r="H27" s="445"/>
      <c r="I27" s="445"/>
      <c r="J27" s="445"/>
      <c r="K27" s="445"/>
      <c r="L27" s="445"/>
      <c r="M27" s="445"/>
      <c r="N27" s="823"/>
      <c r="O27" s="445" t="s">
        <v>1571</v>
      </c>
      <c r="P27" s="445"/>
      <c r="Q27" s="445"/>
      <c r="R27" s="445"/>
      <c r="S27" s="445"/>
      <c r="T27" s="445"/>
      <c r="U27" s="445"/>
      <c r="V27" s="445"/>
      <c r="W27" s="445"/>
      <c r="X27" s="445"/>
      <c r="Y27" s="445"/>
      <c r="Z27" s="445"/>
      <c r="AA27" s="445"/>
      <c r="AB27" s="445"/>
      <c r="AC27" s="445"/>
      <c r="AD27" s="445"/>
      <c r="AE27" s="399"/>
      <c r="AF27" s="399"/>
      <c r="AG27" s="399"/>
      <c r="AH27" s="399"/>
      <c r="AI27" s="399"/>
      <c r="AJ27" s="399"/>
      <c r="AK27" s="399"/>
      <c r="AL27" s="871"/>
    </row>
    <row r="28" spans="1:39" s="530" customFormat="1" ht="19.5" customHeight="1">
      <c r="A28" s="444">
        <v>0</v>
      </c>
      <c r="B28" s="441" t="str">
        <f>+LEFT('Input data'!$C$36,1)</f>
        <v>2</v>
      </c>
      <c r="C28" s="441" t="str">
        <f>+MID('Input data'!$C$36,2,1)</f>
        <v/>
      </c>
      <c r="D28" s="441" t="str">
        <f>+MID('Input data'!$C$36,3,1)</f>
        <v/>
      </c>
      <c r="E28" s="441" t="s">
        <v>1092</v>
      </c>
      <c r="F28" s="441" t="str">
        <f>+LEFT('Input data'!$C$38,1)</f>
        <v>4</v>
      </c>
      <c r="G28" s="441" t="str">
        <f>+MID('Input data'!$C$38,2,1)</f>
        <v>8</v>
      </c>
      <c r="H28" s="441" t="str">
        <f>+MID('Input data'!$C$38,3,1)</f>
        <v>2</v>
      </c>
      <c r="I28" s="441" t="str">
        <f>+MID('Input data'!$C$38,4,1)</f>
        <v>0</v>
      </c>
      <c r="J28" s="441" t="str">
        <f>+MID('Input data'!$C$38,5,1)</f>
        <v>5</v>
      </c>
      <c r="K28" s="441" t="str">
        <f>+MID('Input data'!$C$38,6,1)</f>
        <v>2</v>
      </c>
      <c r="L28" s="441" t="str">
        <f>+MID('Input data'!$C$38,7,1)</f>
        <v>1</v>
      </c>
      <c r="M28" s="441" t="str">
        <f>+MID('Input data'!$C$38,8,1)</f>
        <v>0</v>
      </c>
      <c r="N28" s="443"/>
      <c r="O28" s="442">
        <v>0</v>
      </c>
      <c r="P28" s="441" t="str">
        <f>+LEFT('Input data'!$C$36,1)</f>
        <v>2</v>
      </c>
      <c r="Q28" s="441" t="str">
        <f>+MID('Input data'!$C$36,2,1)</f>
        <v/>
      </c>
      <c r="R28" s="441" t="str">
        <f>+MID('Input data'!$C$36,3,1)</f>
        <v/>
      </c>
      <c r="S28" s="441" t="s">
        <v>1092</v>
      </c>
      <c r="T28" s="441" t="str">
        <f>+LEFT('Input data'!$C$40,1)</f>
        <v>4</v>
      </c>
      <c r="U28" s="441" t="str">
        <f>+MID('Input data'!$C$40,2,1)</f>
        <v>8</v>
      </c>
      <c r="V28" s="441" t="str">
        <f>+MID('Input data'!$C$40,3,1)</f>
        <v>2</v>
      </c>
      <c r="W28" s="441" t="str">
        <f>+MID('Input data'!$C$40,4,1)</f>
        <v>0</v>
      </c>
      <c r="X28" s="441" t="str">
        <f>+MID('Input data'!$C$40,5,1)</f>
        <v>5</v>
      </c>
      <c r="Y28" s="441" t="str">
        <f>+MID('Input data'!$C$40,6,1)</f>
        <v>2</v>
      </c>
      <c r="Z28" s="441" t="str">
        <f>+MID('Input data'!$C$40,7,1)</f>
        <v>3</v>
      </c>
      <c r="AA28" s="441" t="str">
        <f>+MID('Input data'!$C$40,8,1)</f>
        <v>1</v>
      </c>
      <c r="AB28" s="441"/>
      <c r="AC28" s="441"/>
      <c r="AD28" s="441"/>
      <c r="AE28" s="399"/>
      <c r="AF28" s="399"/>
      <c r="AG28" s="399"/>
      <c r="AH28" s="399"/>
      <c r="AI28" s="399"/>
      <c r="AJ28" s="399"/>
      <c r="AK28" s="399"/>
      <c r="AL28" s="867"/>
    </row>
    <row r="29" spans="1:39" s="391" customFormat="1">
      <c r="A29" s="403" t="s">
        <v>1572</v>
      </c>
      <c r="B29" s="402"/>
      <c r="C29" s="402"/>
      <c r="D29" s="402"/>
      <c r="E29" s="402"/>
      <c r="F29" s="402"/>
      <c r="G29" s="402"/>
      <c r="H29" s="402"/>
      <c r="I29" s="402"/>
      <c r="J29" s="402"/>
      <c r="K29" s="402"/>
      <c r="L29" s="402"/>
      <c r="M29" s="402"/>
      <c r="N29" s="402"/>
      <c r="O29" s="402"/>
      <c r="P29" s="402"/>
      <c r="Q29" s="402"/>
      <c r="R29" s="402"/>
      <c r="S29" s="402"/>
      <c r="T29" s="402"/>
      <c r="U29" s="402"/>
      <c r="V29" s="402"/>
      <c r="W29" s="399"/>
      <c r="X29" s="399"/>
      <c r="Y29" s="399"/>
      <c r="Z29" s="399"/>
      <c r="AA29" s="399"/>
      <c r="AB29" s="399"/>
      <c r="AC29" s="399"/>
      <c r="AD29" s="399"/>
      <c r="AE29" s="399"/>
      <c r="AF29" s="399"/>
      <c r="AG29" s="399"/>
      <c r="AH29" s="399"/>
      <c r="AI29" s="399"/>
      <c r="AJ29" s="399"/>
      <c r="AK29" s="399"/>
      <c r="AL29" s="486"/>
    </row>
    <row r="30" spans="1:39" s="530" customFormat="1" ht="19.5" customHeight="1" thickBot="1">
      <c r="A30" s="440" t="str">
        <f>+LEFT('Input data'!$B$42,1)</f>
        <v>a</v>
      </c>
      <c r="B30" s="439" t="str">
        <f>+MID('Input data'!$B$42,2,1)</f>
        <v>c</v>
      </c>
      <c r="C30" s="439" t="str">
        <f>+MID('Input data'!$B$42,3,1)</f>
        <v>c</v>
      </c>
      <c r="D30" s="439" t="str">
        <f>+MID('Input data'!$B$42,4,1)</f>
        <v>o</v>
      </c>
      <c r="E30" s="439" t="str">
        <f>+MID('Input data'!$B$42,5,1)</f>
        <v>u</v>
      </c>
      <c r="F30" s="439" t="str">
        <f>+MID('Input data'!$B$42,6,1)</f>
        <v>n</v>
      </c>
      <c r="G30" s="439" t="str">
        <f>+MID('Input data'!$B$42,7,1)</f>
        <v>t</v>
      </c>
      <c r="H30" s="439" t="str">
        <f>+MID('Input data'!$B$42,8,1)</f>
        <v>i</v>
      </c>
      <c r="I30" s="439" t="str">
        <f>+MID('Input data'!$B$42,9,1)</f>
        <v>n</v>
      </c>
      <c r="J30" s="439" t="str">
        <f>+MID('Input data'!$B$42,10,1)</f>
        <v>g</v>
      </c>
      <c r="K30" s="439" t="str">
        <f>+MID('Input data'!$B$42,11,1)</f>
        <v>@</v>
      </c>
      <c r="L30" s="439" t="str">
        <f>+MID('Input data'!$B$42,12,1)</f>
        <v>o</v>
      </c>
      <c r="M30" s="439" t="str">
        <f>+MID('Input data'!$B$42,13,1)</f>
        <v>p</v>
      </c>
      <c r="N30" s="439" t="str">
        <f>+MID('Input data'!$B$42,14,1)</f>
        <v>t</v>
      </c>
      <c r="O30" s="439" t="str">
        <f>+MID('Input data'!$B$42,15,1)</f>
        <v>o</v>
      </c>
      <c r="P30" s="439" t="str">
        <f>+MID('Input data'!$B$42,16,1)</f>
        <v>c</v>
      </c>
      <c r="Q30" s="439" t="str">
        <f>+MID('Input data'!$B$42,17,1)</f>
        <v>o</v>
      </c>
      <c r="R30" s="439" t="str">
        <f>+MID('Input data'!$B$42,18,1)</f>
        <v>n</v>
      </c>
      <c r="S30" s="439" t="str">
        <f>+MID('Input data'!$B$42,19,1)</f>
        <v>.</v>
      </c>
      <c r="T30" s="439" t="str">
        <f>+MID('Input data'!$B$42,20,1)</f>
        <v>s</v>
      </c>
      <c r="U30" s="439" t="str">
        <f>+MID('Input data'!$B$42,21,1)</f>
        <v>k</v>
      </c>
      <c r="V30" s="439" t="str">
        <f>+MID('Input data'!$B$42,22,1)</f>
        <v/>
      </c>
      <c r="W30" s="439" t="str">
        <f>+MID('Input data'!$B$42,23,1)</f>
        <v/>
      </c>
      <c r="X30" s="439" t="str">
        <f>+MID('Input data'!$B$42,24,1)</f>
        <v/>
      </c>
      <c r="Y30" s="439" t="str">
        <f>+MID('Input data'!$B$42,25,1)</f>
        <v/>
      </c>
      <c r="Z30" s="439" t="str">
        <f>+MID('Input data'!$B$42,26,1)</f>
        <v/>
      </c>
      <c r="AA30" s="439" t="str">
        <f>+MID('Input data'!$B$42,27,1)</f>
        <v/>
      </c>
      <c r="AB30" s="439" t="str">
        <f>+MID('Input data'!$B$42,28,1)</f>
        <v/>
      </c>
      <c r="AC30" s="439" t="str">
        <f>+MID('Input data'!$B$42,29,1)</f>
        <v/>
      </c>
      <c r="AD30" s="439" t="str">
        <f>+MID('Input data'!$B$42,30,1)</f>
        <v/>
      </c>
      <c r="AE30" s="439" t="str">
        <f>+MID('Input data'!$B$42,31,1)</f>
        <v/>
      </c>
      <c r="AF30" s="439" t="str">
        <f>+MID('Input data'!$B$42,32,1)</f>
        <v/>
      </c>
      <c r="AG30" s="439" t="str">
        <f>+MID('Input data'!$B$42,33,1)</f>
        <v/>
      </c>
      <c r="AH30" s="439" t="str">
        <f>+MID('Input data'!$B$42,34,1)</f>
        <v/>
      </c>
      <c r="AI30" s="439" t="str">
        <f>+MID('Input data'!$B$42,35,1)</f>
        <v/>
      </c>
      <c r="AJ30" s="439" t="str">
        <f>+MID('Input data'!$B$42,36,1)</f>
        <v/>
      </c>
      <c r="AK30" s="439" t="str">
        <f>+MID('Input data'!$B$42,37,1)</f>
        <v/>
      </c>
      <c r="AL30" s="872"/>
    </row>
    <row r="31" spans="1:39" s="391" customFormat="1" ht="4.5" customHeight="1" thickBot="1">
      <c r="A31" s="402"/>
      <c r="B31" s="402"/>
      <c r="C31" s="402"/>
      <c r="D31" s="402"/>
      <c r="E31" s="402"/>
      <c r="F31" s="402"/>
      <c r="G31" s="402"/>
      <c r="H31" s="402"/>
      <c r="I31" s="402"/>
      <c r="J31" s="402"/>
      <c r="K31" s="402"/>
      <c r="L31" s="402"/>
      <c r="M31" s="402"/>
      <c r="N31" s="402"/>
      <c r="O31" s="402"/>
      <c r="P31" s="402"/>
      <c r="Q31" s="402"/>
      <c r="R31" s="402"/>
      <c r="S31" s="402"/>
      <c r="T31" s="402"/>
      <c r="U31" s="402"/>
      <c r="V31" s="402"/>
      <c r="W31" s="399"/>
      <c r="X31" s="399"/>
      <c r="Y31" s="399"/>
      <c r="Z31" s="399"/>
      <c r="AA31" s="399"/>
      <c r="AB31" s="399"/>
      <c r="AC31" s="399"/>
      <c r="AD31" s="399"/>
      <c r="AE31" s="399"/>
      <c r="AF31" s="399"/>
      <c r="AG31" s="399"/>
      <c r="AH31" s="399"/>
      <c r="AI31" s="399"/>
      <c r="AJ31" s="399"/>
      <c r="AK31" s="399"/>
      <c r="AL31" s="402"/>
      <c r="AM31" s="402"/>
    </row>
    <row r="32" spans="1:39" s="434" customFormat="1" ht="12.75" customHeight="1">
      <c r="A32" s="437" t="s">
        <v>1573</v>
      </c>
      <c r="B32" s="436"/>
      <c r="C32" s="436"/>
      <c r="D32" s="436"/>
      <c r="E32" s="436"/>
      <c r="F32" s="436"/>
      <c r="G32" s="436"/>
      <c r="H32" s="436"/>
      <c r="I32" s="436"/>
      <c r="J32" s="436"/>
      <c r="K32" s="830"/>
      <c r="L32" s="830"/>
      <c r="M32" s="2396" t="s">
        <v>1574</v>
      </c>
      <c r="N32" s="2397"/>
      <c r="O32" s="2397"/>
      <c r="P32" s="2397"/>
      <c r="Q32" s="2397"/>
      <c r="R32" s="2397"/>
      <c r="S32" s="2397"/>
      <c r="T32" s="2397"/>
      <c r="U32" s="2398"/>
      <c r="V32" s="2396" t="s">
        <v>1575</v>
      </c>
      <c r="W32" s="2397"/>
      <c r="X32" s="2397"/>
      <c r="Y32" s="2397"/>
      <c r="Z32" s="2397"/>
      <c r="AA32" s="2397"/>
      <c r="AB32" s="2397"/>
      <c r="AC32" s="2398"/>
      <c r="AD32" s="2396" t="s">
        <v>1576</v>
      </c>
      <c r="AE32" s="2397"/>
      <c r="AF32" s="2397"/>
      <c r="AG32" s="2397"/>
      <c r="AH32" s="2397"/>
      <c r="AI32" s="2397"/>
      <c r="AJ32" s="2397"/>
      <c r="AK32" s="2397"/>
      <c r="AL32" s="2402"/>
    </row>
    <row r="33" spans="1:38" s="391" customFormat="1" ht="19.5" customHeight="1">
      <c r="A33" s="420" t="str">
        <f>LEFT(TEXT('Input data'!F34,"dd.m.yyyy"),1)</f>
        <v>1</v>
      </c>
      <c r="B33" s="419" t="str">
        <f>MID(TEXT('Input data'!$F$34,"dd.mm.yyyy"),2,1)</f>
        <v>5</v>
      </c>
      <c r="C33" s="418" t="s">
        <v>1063</v>
      </c>
      <c r="D33" s="419" t="str">
        <f>MID(TEXT('Input data'!$F$34,"dd.mm.yyyy"),4,1)</f>
        <v>0</v>
      </c>
      <c r="E33" s="419" t="str">
        <f>MID(TEXT('Input data'!$F$34,"dd.mm.yyyy"),5,1)</f>
        <v>5</v>
      </c>
      <c r="F33" s="418" t="s">
        <v>1063</v>
      </c>
      <c r="G33" s="419" t="str">
        <f>MID(TEXT('Input data'!$F$34,"dd.mm.yyyy"),7,1)</f>
        <v>2</v>
      </c>
      <c r="H33" s="419" t="str">
        <f>MID(TEXT('Input data'!$F$34,"dd.mm.yyyy"),8,1)</f>
        <v>0</v>
      </c>
      <c r="I33" s="419" t="str">
        <f>MID(TEXT('Input data'!$F$34,"dd.mm.yyyy"),9,1)</f>
        <v>1</v>
      </c>
      <c r="J33" s="419" t="str">
        <f>MID(TEXT('Input data'!$F$34,"dd.mm.yyyy"),10,1)</f>
        <v>8</v>
      </c>
      <c r="K33" s="873"/>
      <c r="L33" s="426"/>
      <c r="M33" s="2399"/>
      <c r="N33" s="2400"/>
      <c r="O33" s="2400"/>
      <c r="P33" s="2400"/>
      <c r="Q33" s="2400"/>
      <c r="R33" s="2400"/>
      <c r="S33" s="2400"/>
      <c r="T33" s="2400"/>
      <c r="U33" s="2401"/>
      <c r="V33" s="2399"/>
      <c r="W33" s="2400"/>
      <c r="X33" s="2400"/>
      <c r="Y33" s="2400"/>
      <c r="Z33" s="2400"/>
      <c r="AA33" s="2400"/>
      <c r="AB33" s="2400"/>
      <c r="AC33" s="2401"/>
      <c r="AD33" s="2399"/>
      <c r="AE33" s="2400"/>
      <c r="AF33" s="2400"/>
      <c r="AG33" s="2400"/>
      <c r="AH33" s="2400"/>
      <c r="AI33" s="2400"/>
      <c r="AJ33" s="2400"/>
      <c r="AK33" s="2400"/>
      <c r="AL33" s="2403"/>
    </row>
    <row r="34" spans="1:38" s="391" customFormat="1" ht="12.75" customHeight="1">
      <c r="A34" s="432"/>
      <c r="B34" s="431"/>
      <c r="C34" s="431"/>
      <c r="D34" s="431"/>
      <c r="E34" s="431"/>
      <c r="F34" s="431"/>
      <c r="G34" s="431"/>
      <c r="H34" s="431"/>
      <c r="I34" s="431"/>
      <c r="J34" s="431"/>
      <c r="K34" s="832"/>
      <c r="L34" s="832"/>
      <c r="M34" s="2399"/>
      <c r="N34" s="2400"/>
      <c r="O34" s="2400"/>
      <c r="P34" s="2400"/>
      <c r="Q34" s="2400"/>
      <c r="R34" s="2400"/>
      <c r="S34" s="2400"/>
      <c r="T34" s="2400"/>
      <c r="U34" s="2401"/>
      <c r="V34" s="2399"/>
      <c r="W34" s="2400"/>
      <c r="X34" s="2400"/>
      <c r="Y34" s="2400"/>
      <c r="Z34" s="2400"/>
      <c r="AA34" s="2400"/>
      <c r="AB34" s="2400"/>
      <c r="AC34" s="2401"/>
      <c r="AD34" s="2399"/>
      <c r="AE34" s="2400"/>
      <c r="AF34" s="2400"/>
      <c r="AG34" s="2400"/>
      <c r="AH34" s="2400"/>
      <c r="AI34" s="2400"/>
      <c r="AJ34" s="2400"/>
      <c r="AK34" s="2400"/>
      <c r="AL34" s="2403"/>
    </row>
    <row r="35" spans="1:38" s="391" customFormat="1">
      <c r="A35" s="403" t="s">
        <v>1577</v>
      </c>
      <c r="B35" s="402"/>
      <c r="C35" s="402"/>
      <c r="D35" s="402"/>
      <c r="E35" s="402"/>
      <c r="F35" s="402"/>
      <c r="G35" s="402"/>
      <c r="H35" s="402"/>
      <c r="I35" s="402"/>
      <c r="J35" s="402"/>
      <c r="K35" s="426"/>
      <c r="L35" s="833"/>
      <c r="M35" s="426"/>
      <c r="N35" s="426"/>
      <c r="O35" s="426"/>
      <c r="P35" s="426"/>
      <c r="Q35" s="426"/>
      <c r="R35" s="426"/>
      <c r="S35" s="426"/>
      <c r="T35" s="402"/>
      <c r="U35" s="424"/>
      <c r="V35" s="425"/>
      <c r="W35" s="425"/>
      <c r="X35" s="425"/>
      <c r="Y35" s="425"/>
      <c r="Z35" s="425"/>
      <c r="AA35" s="399"/>
      <c r="AB35" s="425"/>
      <c r="AC35" s="424"/>
      <c r="AD35" s="423"/>
      <c r="AE35" s="422"/>
      <c r="AF35" s="422"/>
      <c r="AG35" s="422"/>
      <c r="AH35" s="422"/>
      <c r="AI35" s="422"/>
      <c r="AJ35" s="422"/>
      <c r="AK35" s="422"/>
      <c r="AL35" s="421"/>
    </row>
    <row r="36" spans="1:38" s="391" customFormat="1" ht="19.5" customHeight="1">
      <c r="A36" s="420" t="str">
        <f>IF('Input data'!$F$36="","",LEFT(TEXT('Input data'!$F$36,"dd.mm.yyyy"),1))</f>
        <v/>
      </c>
      <c r="B36" s="419" t="str">
        <f>IF('Input data'!$F$36="","",MID(TEXT('Input data'!$F$36,"dd.mm.yyyy"),2,1))</f>
        <v/>
      </c>
      <c r="C36" s="418" t="s">
        <v>1063</v>
      </c>
      <c r="D36" s="419" t="str">
        <f>IF('Input data'!$F$36="","",MID(TEXT('Input data'!$F$36,"dd.mm.yyyy"),4,1))</f>
        <v/>
      </c>
      <c r="E36" s="419" t="str">
        <f>IF('Input data'!$F$36="","",MID(TEXT('Input data'!$F$36,"dd.mm.yyyy"),5,1))</f>
        <v/>
      </c>
      <c r="F36" s="418" t="s">
        <v>1063</v>
      </c>
      <c r="G36" s="417" t="str">
        <f>IF('Input data'!$F$36="","",MID(TEXT('Input data'!$F$36,"dd.mm.yyyy"),7,1))</f>
        <v/>
      </c>
      <c r="H36" s="417" t="str">
        <f>IF('Input data'!$F$36="","",MID(TEXT('Input data'!$F$36,"dd.mm.yyyy"),8,1))</f>
        <v/>
      </c>
      <c r="I36" s="417" t="str">
        <f>IF('Input data'!$F$36="","",MID(TEXT('Input data'!$F$36,"dd.mm.yyyy"),9,1))</f>
        <v/>
      </c>
      <c r="J36" s="417" t="str">
        <f>IF('Input data'!$F$36="","",MID(TEXT('Input data'!$F$36,"dd.mm.yyyy"),10,1))</f>
        <v/>
      </c>
      <c r="K36" s="834"/>
      <c r="L36" s="528"/>
      <c r="M36" s="402"/>
      <c r="N36" s="402"/>
      <c r="O36" s="402"/>
      <c r="P36" s="402"/>
      <c r="Q36" s="402"/>
      <c r="R36" s="402"/>
      <c r="S36" s="402"/>
      <c r="T36" s="402"/>
      <c r="U36" s="528"/>
      <c r="V36" s="402"/>
      <c r="W36" s="399"/>
      <c r="X36" s="399"/>
      <c r="Y36" s="399"/>
      <c r="Z36" s="399"/>
      <c r="AA36" s="399"/>
      <c r="AB36" s="399"/>
      <c r="AC36" s="527"/>
      <c r="AD36" s="399"/>
      <c r="AE36" s="399"/>
      <c r="AF36" s="399"/>
      <c r="AG36" s="399"/>
      <c r="AH36" s="399"/>
      <c r="AI36" s="399"/>
      <c r="AJ36" s="399"/>
      <c r="AK36" s="399"/>
      <c r="AL36" s="398"/>
    </row>
    <row r="37" spans="1:38" s="397" customFormat="1" thickBot="1">
      <c r="A37" s="412"/>
      <c r="B37" s="411"/>
      <c r="C37" s="411"/>
      <c r="D37" s="411"/>
      <c r="E37" s="411"/>
      <c r="F37" s="411"/>
      <c r="G37" s="411"/>
      <c r="H37" s="411"/>
      <c r="I37" s="411"/>
      <c r="J37" s="411"/>
      <c r="K37" s="411"/>
      <c r="L37" s="410"/>
      <c r="M37" s="2301">
        <f>'Input data'!F40</f>
        <v>0</v>
      </c>
      <c r="N37" s="2302"/>
      <c r="O37" s="2302"/>
      <c r="P37" s="2302"/>
      <c r="Q37" s="2302"/>
      <c r="R37" s="2302"/>
      <c r="S37" s="2302"/>
      <c r="T37" s="2302"/>
      <c r="U37" s="2303"/>
      <c r="V37" s="2301" t="e">
        <f>'Input data'!#REF!</f>
        <v>#REF!</v>
      </c>
      <c r="W37" s="2302"/>
      <c r="X37" s="2302"/>
      <c r="Y37" s="2302"/>
      <c r="Z37" s="2302"/>
      <c r="AA37" s="2302"/>
      <c r="AB37" s="2302"/>
      <c r="AC37" s="2303"/>
      <c r="AD37" s="2304" t="e">
        <f>'Input data'!#REF!</f>
        <v>#REF!</v>
      </c>
      <c r="AE37" s="2302"/>
      <c r="AF37" s="2302"/>
      <c r="AG37" s="2302"/>
      <c r="AH37" s="2302"/>
      <c r="AI37" s="2302"/>
      <c r="AJ37" s="2302"/>
      <c r="AK37" s="2302"/>
      <c r="AL37" s="2305"/>
    </row>
    <row r="38" spans="1:38" s="397" customFormat="1">
      <c r="A38" s="400"/>
      <c r="B38" s="400"/>
      <c r="C38" s="400"/>
      <c r="D38" s="400"/>
      <c r="E38" s="400"/>
      <c r="F38" s="400"/>
      <c r="G38" s="400"/>
      <c r="H38" s="400"/>
      <c r="I38" s="400"/>
      <c r="J38" s="400"/>
      <c r="K38" s="400"/>
      <c r="L38" s="400"/>
      <c r="M38" s="874"/>
      <c r="N38" s="874"/>
      <c r="O38" s="874"/>
      <c r="P38" s="874"/>
      <c r="Q38" s="874"/>
      <c r="R38" s="874"/>
      <c r="S38" s="874"/>
      <c r="T38" s="874"/>
      <c r="U38" s="874"/>
      <c r="V38" s="400"/>
      <c r="W38" s="399"/>
      <c r="X38" s="399"/>
      <c r="Y38" s="399"/>
      <c r="Z38" s="399"/>
      <c r="AA38" s="399"/>
      <c r="AB38" s="399"/>
      <c r="AC38" s="399"/>
      <c r="AD38" s="400"/>
      <c r="AE38" s="400"/>
      <c r="AF38" s="400"/>
      <c r="AG38" s="400"/>
      <c r="AH38" s="400"/>
      <c r="AI38" s="400"/>
      <c r="AJ38" s="400"/>
      <c r="AK38" s="400"/>
      <c r="AL38" s="400"/>
    </row>
    <row r="39" spans="1:38" s="397" customFormat="1">
      <c r="A39" s="400"/>
      <c r="B39" s="400"/>
      <c r="C39" s="400"/>
      <c r="D39" s="400"/>
      <c r="E39" s="400"/>
      <c r="F39" s="400"/>
      <c r="G39" s="400"/>
      <c r="H39" s="400"/>
      <c r="I39" s="400"/>
      <c r="J39" s="400"/>
      <c r="K39" s="400"/>
      <c r="L39" s="400"/>
      <c r="M39" s="874"/>
      <c r="N39" s="874"/>
      <c r="O39" s="874"/>
      <c r="P39" s="874"/>
      <c r="Q39" s="874"/>
      <c r="R39" s="874"/>
      <c r="S39" s="874"/>
      <c r="T39" s="874"/>
      <c r="U39" s="874"/>
      <c r="V39" s="400"/>
      <c r="W39" s="399"/>
      <c r="X39" s="399"/>
      <c r="Y39" s="399"/>
      <c r="Z39" s="399"/>
      <c r="AA39" s="399"/>
      <c r="AB39" s="399"/>
      <c r="AC39" s="399"/>
      <c r="AD39" s="400"/>
      <c r="AE39" s="400"/>
      <c r="AF39" s="400"/>
      <c r="AG39" s="400"/>
      <c r="AH39" s="400"/>
      <c r="AI39" s="400"/>
      <c r="AJ39" s="400"/>
      <c r="AK39" s="400"/>
      <c r="AL39" s="400"/>
    </row>
    <row r="40" spans="1:38" s="397" customFormat="1">
      <c r="W40" s="392"/>
      <c r="X40" s="392"/>
      <c r="Y40" s="392"/>
      <c r="Z40" s="392"/>
      <c r="AA40" s="392"/>
      <c r="AB40" s="392"/>
      <c r="AC40" s="392"/>
      <c r="AD40" s="392"/>
      <c r="AE40" s="392"/>
      <c r="AF40" s="392"/>
      <c r="AG40" s="392"/>
      <c r="AH40" s="392"/>
      <c r="AI40" s="392"/>
      <c r="AJ40" s="392"/>
      <c r="AK40" s="392"/>
    </row>
    <row r="41" spans="1:38" ht="13.5" thickBot="1">
      <c r="W41" s="392"/>
      <c r="X41" s="392"/>
      <c r="Y41" s="392"/>
      <c r="Z41" s="392"/>
      <c r="AA41" s="392"/>
      <c r="AB41" s="392"/>
      <c r="AC41" s="392"/>
      <c r="AD41" s="392"/>
      <c r="AE41" s="392"/>
      <c r="AF41" s="392"/>
      <c r="AG41" s="392"/>
      <c r="AH41" s="392"/>
      <c r="AI41" s="392"/>
      <c r="AJ41" s="392"/>
      <c r="AK41" s="392"/>
    </row>
    <row r="42" spans="1:38" s="397" customFormat="1">
      <c r="B42" s="409" t="s">
        <v>1578</v>
      </c>
      <c r="C42" s="408"/>
      <c r="D42" s="408"/>
      <c r="E42" s="408"/>
      <c r="F42" s="408"/>
      <c r="G42" s="408"/>
      <c r="H42" s="408"/>
      <c r="I42" s="408"/>
      <c r="J42" s="408"/>
      <c r="K42" s="408"/>
      <c r="L42" s="408"/>
      <c r="M42" s="408"/>
      <c r="N42" s="408"/>
      <c r="O42" s="408"/>
      <c r="P42" s="408"/>
      <c r="Q42" s="408"/>
      <c r="R42" s="408"/>
      <c r="S42" s="408"/>
      <c r="T42" s="408"/>
      <c r="U42" s="408"/>
      <c r="V42" s="408"/>
      <c r="W42" s="407"/>
      <c r="X42" s="407"/>
      <c r="Y42" s="407"/>
      <c r="Z42" s="407"/>
      <c r="AA42" s="407"/>
      <c r="AB42" s="407"/>
      <c r="AC42" s="407"/>
      <c r="AD42" s="407"/>
      <c r="AE42" s="407"/>
      <c r="AF42" s="407"/>
      <c r="AG42" s="407"/>
      <c r="AH42" s="407"/>
      <c r="AI42" s="407"/>
      <c r="AJ42" s="406"/>
      <c r="AK42" s="392"/>
    </row>
    <row r="43" spans="1:38" s="397" customFormat="1">
      <c r="B43" s="401"/>
      <c r="C43" s="400"/>
      <c r="D43" s="400"/>
      <c r="E43" s="400"/>
      <c r="F43" s="400"/>
      <c r="G43" s="400"/>
      <c r="H43" s="400"/>
      <c r="I43" s="400"/>
      <c r="J43" s="400"/>
      <c r="K43" s="400"/>
      <c r="L43" s="400"/>
      <c r="M43" s="400"/>
      <c r="N43" s="400"/>
      <c r="O43" s="400"/>
      <c r="P43" s="400"/>
      <c r="Q43" s="400"/>
      <c r="R43" s="400"/>
      <c r="S43" s="400"/>
      <c r="T43" s="400"/>
      <c r="U43" s="400"/>
      <c r="V43" s="400"/>
      <c r="W43" s="399"/>
      <c r="X43" s="399"/>
      <c r="Y43" s="399"/>
      <c r="Z43" s="399"/>
      <c r="AA43" s="399"/>
      <c r="AB43" s="399"/>
      <c r="AC43" s="399"/>
      <c r="AD43" s="399"/>
      <c r="AE43" s="399"/>
      <c r="AF43" s="399"/>
      <c r="AG43" s="399"/>
      <c r="AH43" s="399"/>
      <c r="AI43" s="399"/>
      <c r="AJ43" s="398"/>
      <c r="AK43" s="392"/>
    </row>
    <row r="44" spans="1:38">
      <c r="B44" s="405"/>
      <c r="C44" s="823"/>
      <c r="D44" s="823"/>
      <c r="E44" s="823"/>
      <c r="F44" s="823"/>
      <c r="G44" s="823"/>
      <c r="H44" s="823"/>
      <c r="I44" s="823"/>
      <c r="J44" s="823"/>
      <c r="K44" s="823"/>
      <c r="L44" s="823"/>
      <c r="M44" s="823"/>
      <c r="N44" s="823"/>
      <c r="O44" s="823"/>
      <c r="P44" s="823"/>
      <c r="Q44" s="823"/>
      <c r="R44" s="823"/>
      <c r="S44" s="823"/>
      <c r="T44" s="823"/>
      <c r="U44" s="823"/>
      <c r="V44" s="823"/>
      <c r="W44" s="399"/>
      <c r="X44" s="399"/>
      <c r="Y44" s="399"/>
      <c r="Z44" s="399"/>
      <c r="AA44" s="399"/>
      <c r="AB44" s="399"/>
      <c r="AC44" s="399"/>
      <c r="AD44" s="399"/>
      <c r="AE44" s="399"/>
      <c r="AF44" s="399"/>
      <c r="AG44" s="399"/>
      <c r="AH44" s="399"/>
      <c r="AI44" s="399"/>
      <c r="AJ44" s="398"/>
      <c r="AK44" s="392"/>
    </row>
    <row r="45" spans="1:38" s="397" customFormat="1">
      <c r="B45" s="401"/>
      <c r="C45" s="400"/>
      <c r="D45" s="400"/>
      <c r="E45" s="400"/>
      <c r="F45" s="400"/>
      <c r="G45" s="400"/>
      <c r="H45" s="400"/>
      <c r="I45" s="400"/>
      <c r="J45" s="400"/>
      <c r="K45" s="400"/>
      <c r="L45" s="400"/>
      <c r="M45" s="400"/>
      <c r="N45" s="400"/>
      <c r="O45" s="400"/>
      <c r="P45" s="400"/>
      <c r="Q45" s="400"/>
      <c r="R45" s="400"/>
      <c r="S45" s="400"/>
      <c r="T45" s="400"/>
      <c r="U45" s="400"/>
      <c r="V45" s="400"/>
      <c r="W45" s="399"/>
      <c r="X45" s="399"/>
      <c r="Y45" s="399"/>
      <c r="Z45" s="399"/>
      <c r="AA45" s="399"/>
      <c r="AB45" s="399"/>
      <c r="AC45" s="399"/>
      <c r="AD45" s="399"/>
      <c r="AE45" s="399"/>
      <c r="AF45" s="399"/>
      <c r="AG45" s="399"/>
      <c r="AH45" s="399"/>
      <c r="AI45" s="399"/>
      <c r="AJ45" s="398"/>
      <c r="AK45" s="392"/>
    </row>
    <row r="46" spans="1:38" s="391" customFormat="1">
      <c r="B46" s="403"/>
      <c r="C46" s="402"/>
      <c r="D46" s="402"/>
      <c r="E46" s="402"/>
      <c r="F46" s="402"/>
      <c r="G46" s="402"/>
      <c r="H46" s="402"/>
      <c r="I46" s="402"/>
      <c r="J46" s="402"/>
      <c r="K46" s="402"/>
      <c r="L46" s="402"/>
      <c r="M46" s="402"/>
      <c r="N46" s="402"/>
      <c r="O46" s="402"/>
      <c r="P46" s="402"/>
      <c r="Q46" s="402"/>
      <c r="R46" s="402"/>
      <c r="S46" s="402"/>
      <c r="T46" s="402"/>
      <c r="U46" s="402"/>
      <c r="V46" s="402"/>
      <c r="W46" s="399"/>
      <c r="X46" s="399"/>
      <c r="Y46" s="399"/>
      <c r="Z46" s="399"/>
      <c r="AA46" s="399"/>
      <c r="AB46" s="399"/>
      <c r="AC46" s="399"/>
      <c r="AD46" s="399"/>
      <c r="AE46" s="399"/>
      <c r="AF46" s="399"/>
      <c r="AG46" s="399"/>
      <c r="AH46" s="399"/>
      <c r="AI46" s="399"/>
      <c r="AJ46" s="398"/>
      <c r="AK46" s="392"/>
    </row>
    <row r="47" spans="1:38" s="391" customFormat="1">
      <c r="B47" s="403"/>
      <c r="C47" s="402"/>
      <c r="D47" s="402"/>
      <c r="E47" s="402"/>
      <c r="F47" s="402"/>
      <c r="G47" s="402"/>
      <c r="H47" s="402"/>
      <c r="I47" s="402"/>
      <c r="J47" s="402"/>
      <c r="K47" s="402"/>
      <c r="L47" s="402"/>
      <c r="M47" s="402"/>
      <c r="N47" s="402"/>
      <c r="O47" s="402"/>
      <c r="P47" s="402"/>
      <c r="Q47" s="402"/>
      <c r="R47" s="402"/>
      <c r="S47" s="402"/>
      <c r="T47" s="402"/>
      <c r="U47" s="402"/>
      <c r="V47" s="402"/>
      <c r="W47" s="399"/>
      <c r="X47" s="399"/>
      <c r="Y47" s="399"/>
      <c r="Z47" s="399"/>
      <c r="AA47" s="399"/>
      <c r="AB47" s="399"/>
      <c r="AC47" s="399"/>
      <c r="AD47" s="399"/>
      <c r="AE47" s="399"/>
      <c r="AF47" s="399"/>
      <c r="AG47" s="399"/>
      <c r="AH47" s="399"/>
      <c r="AI47" s="399"/>
      <c r="AJ47" s="398"/>
      <c r="AK47" s="392"/>
    </row>
    <row r="48" spans="1:38" s="397" customFormat="1">
      <c r="B48" s="401"/>
      <c r="C48" s="400"/>
      <c r="D48" s="400"/>
      <c r="E48" s="400"/>
      <c r="F48" s="400"/>
      <c r="G48" s="400"/>
      <c r="H48" s="400"/>
      <c r="I48" s="400"/>
      <c r="J48" s="400"/>
      <c r="K48" s="400"/>
      <c r="L48" s="400"/>
      <c r="M48" s="400"/>
      <c r="N48" s="400"/>
      <c r="O48" s="400"/>
      <c r="P48" s="400"/>
      <c r="Q48" s="400"/>
      <c r="R48" s="400"/>
      <c r="S48" s="400"/>
      <c r="T48" s="400"/>
      <c r="U48" s="400"/>
      <c r="V48" s="400"/>
      <c r="W48" s="399"/>
      <c r="X48" s="399"/>
      <c r="Y48" s="399"/>
      <c r="Z48" s="399"/>
      <c r="AA48" s="399"/>
      <c r="AB48" s="399"/>
      <c r="AC48" s="399"/>
      <c r="AD48" s="399"/>
      <c r="AE48" s="399"/>
      <c r="AF48" s="399"/>
      <c r="AG48" s="399"/>
      <c r="AH48" s="399"/>
      <c r="AI48" s="399"/>
      <c r="AJ48" s="398"/>
      <c r="AK48" s="392"/>
    </row>
    <row r="49" spans="2:37" s="397" customFormat="1">
      <c r="B49" s="401"/>
      <c r="C49" s="400"/>
      <c r="D49" s="400"/>
      <c r="E49" s="400"/>
      <c r="F49" s="400"/>
      <c r="G49" s="400"/>
      <c r="H49" s="400"/>
      <c r="I49" s="400"/>
      <c r="J49" s="400"/>
      <c r="K49" s="400"/>
      <c r="L49" s="400"/>
      <c r="M49" s="400"/>
      <c r="N49" s="400"/>
      <c r="O49" s="400"/>
      <c r="P49" s="400"/>
      <c r="Q49" s="400"/>
      <c r="R49" s="400"/>
      <c r="S49" s="400"/>
      <c r="T49" s="400"/>
      <c r="U49" s="400"/>
      <c r="V49" s="400"/>
      <c r="W49" s="399"/>
      <c r="X49" s="399"/>
      <c r="Y49" s="399"/>
      <c r="Z49" s="399"/>
      <c r="AA49" s="399"/>
      <c r="AB49" s="399"/>
      <c r="AC49" s="399"/>
      <c r="AD49" s="399"/>
      <c r="AE49" s="399"/>
      <c r="AF49" s="399"/>
      <c r="AG49" s="399"/>
      <c r="AH49" s="399"/>
      <c r="AI49" s="399"/>
      <c r="AJ49" s="398"/>
      <c r="AK49" s="392"/>
    </row>
    <row r="50" spans="2:37" s="397" customFormat="1">
      <c r="B50" s="401"/>
      <c r="C50" s="400"/>
      <c r="D50" s="400"/>
      <c r="E50" s="400"/>
      <c r="F50" s="400"/>
      <c r="G50" s="400"/>
      <c r="H50" s="400"/>
      <c r="I50" s="400"/>
      <c r="J50" s="400"/>
      <c r="K50" s="400"/>
      <c r="L50" s="400"/>
      <c r="M50" s="400"/>
      <c r="N50" s="400"/>
      <c r="O50" s="400"/>
      <c r="P50" s="400"/>
      <c r="Q50" s="400"/>
      <c r="R50" s="400"/>
      <c r="S50" s="400"/>
      <c r="T50" s="400"/>
      <c r="U50" s="400"/>
      <c r="V50" s="400"/>
      <c r="W50" s="399"/>
      <c r="X50" s="399"/>
      <c r="Y50" s="399"/>
      <c r="Z50" s="399"/>
      <c r="AA50" s="399"/>
      <c r="AB50" s="399"/>
      <c r="AC50" s="399"/>
      <c r="AD50" s="399"/>
      <c r="AE50" s="399"/>
      <c r="AF50" s="399"/>
      <c r="AG50" s="399"/>
      <c r="AH50" s="399"/>
      <c r="AI50" s="399"/>
      <c r="AJ50" s="398"/>
      <c r="AK50" s="392"/>
    </row>
    <row r="51" spans="2:37" s="397" customFormat="1">
      <c r="B51" s="401"/>
      <c r="C51" s="400"/>
      <c r="D51" s="400"/>
      <c r="E51" s="400"/>
      <c r="F51" s="400"/>
      <c r="G51" s="400"/>
      <c r="H51" s="400"/>
      <c r="I51" s="400"/>
      <c r="J51" s="400"/>
      <c r="K51" s="400"/>
      <c r="L51" s="400"/>
      <c r="M51" s="400"/>
      <c r="N51" s="400"/>
      <c r="O51" s="400"/>
      <c r="P51" s="400"/>
      <c r="Q51" s="400"/>
      <c r="R51" s="400"/>
      <c r="S51" s="400"/>
      <c r="T51" s="400"/>
      <c r="U51" s="400"/>
      <c r="V51" s="400"/>
      <c r="W51" s="399"/>
      <c r="X51" s="399"/>
      <c r="Y51" s="399"/>
      <c r="Z51" s="399"/>
      <c r="AA51" s="399"/>
      <c r="AB51" s="399"/>
      <c r="AC51" s="399"/>
      <c r="AD51" s="399"/>
      <c r="AE51" s="399"/>
      <c r="AF51" s="399"/>
      <c r="AG51" s="399"/>
      <c r="AH51" s="399"/>
      <c r="AI51" s="399"/>
      <c r="AJ51" s="398"/>
      <c r="AK51" s="392"/>
    </row>
    <row r="52" spans="2:37" s="391" customFormat="1" ht="13.5" thickBot="1">
      <c r="B52" s="396"/>
      <c r="C52" s="395"/>
      <c r="D52" s="395"/>
      <c r="E52" s="395"/>
      <c r="F52" s="395"/>
      <c r="G52" s="395" t="s">
        <v>1579</v>
      </c>
      <c r="H52" s="395"/>
      <c r="I52" s="395"/>
      <c r="J52" s="395"/>
      <c r="K52" s="395"/>
      <c r="L52" s="395"/>
      <c r="M52" s="395"/>
      <c r="N52" s="395"/>
      <c r="O52" s="395"/>
      <c r="P52" s="395"/>
      <c r="Q52" s="395"/>
      <c r="R52" s="395"/>
      <c r="S52" s="395"/>
      <c r="T52" s="395"/>
      <c r="U52" s="395" t="s">
        <v>1580</v>
      </c>
      <c r="V52" s="395"/>
      <c r="W52" s="394"/>
      <c r="X52" s="394"/>
      <c r="Y52" s="394"/>
      <c r="Z52" s="394"/>
      <c r="AA52" s="394"/>
      <c r="AB52" s="394"/>
      <c r="AC52" s="394"/>
      <c r="AD52" s="394"/>
      <c r="AE52" s="394"/>
      <c r="AF52" s="394"/>
      <c r="AG52" s="394"/>
      <c r="AH52" s="394"/>
      <c r="AI52" s="394"/>
      <c r="AJ52" s="393"/>
      <c r="AK52" s="392"/>
    </row>
  </sheetData>
  <mergeCells count="7">
    <mergeCell ref="V4:AA4"/>
    <mergeCell ref="M32:U34"/>
    <mergeCell ref="V32:AC34"/>
    <mergeCell ref="AD32:AL34"/>
    <mergeCell ref="M37:U37"/>
    <mergeCell ref="V37:AC37"/>
    <mergeCell ref="AD37:AL37"/>
  </mergeCells>
  <pageMargins left="0.39370078740157483" right="0.39370078740157483" top="0.35433070866141736" bottom="0.35433070866141736" header="0.23622047244094491" footer="0.23622047244094491"/>
  <pageSetup scale="98" orientation="portrait" r:id="rId1"/>
  <headerFooter alignWithMargins="0">
    <oddFooter>&amp;LMF SR č. 25947/1/2010&amp;RSeite 1</odd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M213"/>
  <sheetViews>
    <sheetView topLeftCell="A166" zoomScaleNormal="100" zoomScaleSheetLayoutView="100" workbookViewId="0">
      <selection activeCell="B174" sqref="B174:E174"/>
    </sheetView>
  </sheetViews>
  <sheetFormatPr defaultColWidth="9.140625" defaultRowHeight="11.25"/>
  <cols>
    <col min="1" max="1" width="5.5703125" style="502" customWidth="1"/>
    <col min="2" max="2" width="18.7109375" style="502" customWidth="1"/>
    <col min="3" max="3" width="3.7109375" style="502" customWidth="1"/>
    <col min="4" max="4" width="3.5703125" style="502" customWidth="1"/>
    <col min="5" max="5" width="12.42578125" style="502" customWidth="1"/>
    <col min="6" max="6" width="12.140625" style="502" customWidth="1"/>
    <col min="7" max="7" width="14.7109375" style="502" customWidth="1"/>
    <col min="8" max="8" width="3.5703125" style="502" customWidth="1"/>
    <col min="9" max="9" width="10.5703125" style="502" customWidth="1"/>
    <col min="10" max="10" width="14.42578125" style="502" customWidth="1"/>
    <col min="11" max="16384" width="9.140625" style="502"/>
  </cols>
  <sheetData>
    <row r="1" spans="1:13" ht="7.5" customHeight="1">
      <c r="A1" s="501"/>
      <c r="F1" s="445"/>
      <c r="G1" s="445"/>
      <c r="H1" s="445"/>
      <c r="I1" s="445"/>
    </row>
    <row r="2" spans="1:13" ht="17.25" customHeight="1">
      <c r="A2" s="501"/>
      <c r="B2" s="2497" t="s">
        <v>1542</v>
      </c>
      <c r="C2" s="2498"/>
      <c r="E2" s="445"/>
      <c r="F2" s="875" t="s">
        <v>1581</v>
      </c>
      <c r="G2" s="835" t="str">
        <f>"  "&amp;'SK Cover sheet'!A11&amp;"  "&amp;'SK Cover sheet'!B11&amp;"  "&amp;'SK Cover sheet'!C11&amp;"  "&amp;'SK Cover sheet'!D11&amp;"  "&amp;'SK Cover sheet'!E11&amp;"  "&amp;'SK Cover sheet'!F11&amp;"  "&amp;'SK Cover sheet'!G11&amp;"  "&amp;'SK Cover sheet'!H11&amp;"  "&amp;'SK Cover sheet'!I11&amp;"  "&amp;'SK Cover sheet'!J11</f>
        <v xml:space="preserve">  2  0  2  0  3  1  9  8  2  9</v>
      </c>
      <c r="H2" s="523"/>
      <c r="I2" s="522"/>
    </row>
    <row r="3" spans="1:13" ht="7.5" customHeight="1" thickBot="1">
      <c r="A3" s="501"/>
    </row>
    <row r="4" spans="1:13" s="519" customFormat="1" ht="11.25" customHeight="1">
      <c r="A4" s="2502" t="s">
        <v>1582</v>
      </c>
      <c r="B4" s="2503" t="s">
        <v>1583</v>
      </c>
      <c r="C4" s="2504" t="s">
        <v>1584</v>
      </c>
      <c r="D4" s="2322" t="s">
        <v>1585</v>
      </c>
      <c r="E4" s="2381"/>
      <c r="F4" s="2381"/>
      <c r="G4" s="2381"/>
      <c r="H4" s="2326"/>
      <c r="I4" s="2384" t="s">
        <v>1563</v>
      </c>
      <c r="J4" s="2385"/>
    </row>
    <row r="5" spans="1:13" s="519" customFormat="1" ht="11.25" customHeight="1">
      <c r="A5" s="2471"/>
      <c r="B5" s="2472"/>
      <c r="C5" s="2473"/>
      <c r="D5" s="2364">
        <v>1</v>
      </c>
      <c r="E5" s="2332" t="s">
        <v>1586</v>
      </c>
      <c r="F5" s="2392"/>
      <c r="G5" s="2663" t="s">
        <v>1178</v>
      </c>
      <c r="H5" s="2664"/>
      <c r="I5" s="2324"/>
      <c r="J5" s="2325"/>
    </row>
    <row r="6" spans="1:13" s="519" customFormat="1" ht="12" customHeight="1">
      <c r="A6" s="2334"/>
      <c r="B6" s="2342"/>
      <c r="C6" s="2344"/>
      <c r="D6" s="2474"/>
      <c r="E6" s="2332" t="s">
        <v>1587</v>
      </c>
      <c r="F6" s="2392"/>
      <c r="G6" s="2665"/>
      <c r="H6" s="2666"/>
      <c r="I6" s="2332" t="s">
        <v>1176</v>
      </c>
      <c r="J6" s="2333"/>
    </row>
    <row r="7" spans="1:13" s="521" customFormat="1" ht="27.95" customHeight="1">
      <c r="A7" s="2370"/>
      <c r="B7" s="2662" t="s">
        <v>1588</v>
      </c>
      <c r="C7" s="2354" t="s">
        <v>522</v>
      </c>
      <c r="D7" s="2320">
        <f>'BS old'!D10</f>
        <v>0</v>
      </c>
      <c r="E7" s="2320"/>
      <c r="F7" s="2320"/>
      <c r="G7" s="2317">
        <f>'BS old'!F10</f>
        <v>0</v>
      </c>
      <c r="H7" s="2318"/>
      <c r="I7" s="2319"/>
      <c r="J7" s="520"/>
    </row>
    <row r="8" spans="1:13" s="521" customFormat="1" ht="27.95" customHeight="1">
      <c r="A8" s="2370"/>
      <c r="B8" s="2496"/>
      <c r="C8" s="2354"/>
      <c r="D8" s="2320">
        <f>'BS old'!E10</f>
        <v>0</v>
      </c>
      <c r="E8" s="2320"/>
      <c r="F8" s="2320"/>
      <c r="G8" s="810"/>
      <c r="H8" s="2317">
        <f>'BS old'!G10</f>
        <v>0</v>
      </c>
      <c r="I8" s="2318"/>
      <c r="J8" s="2321"/>
      <c r="M8" s="521" t="s">
        <v>1093</v>
      </c>
    </row>
    <row r="9" spans="1:13" s="521" customFormat="1" ht="27.95" customHeight="1">
      <c r="A9" s="2349" t="s">
        <v>523</v>
      </c>
      <c r="B9" s="2667" t="s">
        <v>1589</v>
      </c>
      <c r="C9" s="2354" t="s">
        <v>525</v>
      </c>
      <c r="D9" s="2320">
        <f>'BS old'!D11</f>
        <v>0</v>
      </c>
      <c r="E9" s="2320"/>
      <c r="F9" s="2320"/>
      <c r="G9" s="2317">
        <f>'BS old'!F11</f>
        <v>0</v>
      </c>
      <c r="H9" s="2318"/>
      <c r="I9" s="2319"/>
      <c r="J9" s="520"/>
    </row>
    <row r="10" spans="1:13" s="521" customFormat="1" ht="27.95" customHeight="1">
      <c r="A10" s="2349"/>
      <c r="B10" s="2350"/>
      <c r="C10" s="2354"/>
      <c r="D10" s="2320">
        <f>'BS old'!E11</f>
        <v>0</v>
      </c>
      <c r="E10" s="2320"/>
      <c r="F10" s="2320"/>
      <c r="G10" s="810"/>
      <c r="H10" s="2317">
        <f>'BS old'!G11</f>
        <v>0</v>
      </c>
      <c r="I10" s="2318"/>
      <c r="J10" s="2321"/>
    </row>
    <row r="11" spans="1:13" s="521" customFormat="1" ht="27.95" customHeight="1">
      <c r="A11" s="2349" t="s">
        <v>526</v>
      </c>
      <c r="B11" s="2667" t="s">
        <v>1590</v>
      </c>
      <c r="C11" s="2354" t="s">
        <v>528</v>
      </c>
      <c r="D11" s="2320">
        <f>'BS old'!D12</f>
        <v>0</v>
      </c>
      <c r="E11" s="2320"/>
      <c r="F11" s="2320"/>
      <c r="G11" s="2317">
        <f>'BS old'!F12</f>
        <v>0</v>
      </c>
      <c r="H11" s="2318"/>
      <c r="I11" s="2319"/>
      <c r="J11" s="836"/>
    </row>
    <row r="12" spans="1:13" s="521" customFormat="1" ht="27.95" customHeight="1">
      <c r="A12" s="2349"/>
      <c r="B12" s="2350"/>
      <c r="C12" s="2354"/>
      <c r="D12" s="2320">
        <f>'BS old'!E12</f>
        <v>0</v>
      </c>
      <c r="E12" s="2320"/>
      <c r="F12" s="2320"/>
      <c r="G12" s="810"/>
      <c r="H12" s="2317">
        <f>'BS old'!G12</f>
        <v>0</v>
      </c>
      <c r="I12" s="2318"/>
      <c r="J12" s="2321"/>
    </row>
    <row r="13" spans="1:13" s="519" customFormat="1" ht="27.95" customHeight="1">
      <c r="A13" s="2361" t="s">
        <v>529</v>
      </c>
      <c r="B13" s="2477" t="s">
        <v>1591</v>
      </c>
      <c r="C13" s="2488" t="s">
        <v>531</v>
      </c>
      <c r="D13" s="2320">
        <f>'BS old'!D13</f>
        <v>0</v>
      </c>
      <c r="E13" s="2320"/>
      <c r="F13" s="2320"/>
      <c r="G13" s="2317">
        <f>'BS old'!F13</f>
        <v>0</v>
      </c>
      <c r="H13" s="2318"/>
      <c r="I13" s="2319"/>
      <c r="J13" s="520"/>
    </row>
    <row r="14" spans="1:13" s="519" customFormat="1" ht="27.95" customHeight="1">
      <c r="A14" s="2367"/>
      <c r="B14" s="2338"/>
      <c r="C14" s="2340"/>
      <c r="D14" s="2320">
        <f>'BS old'!E13</f>
        <v>0</v>
      </c>
      <c r="E14" s="2320"/>
      <c r="F14" s="2320"/>
      <c r="G14" s="810"/>
      <c r="H14" s="2317">
        <f>'BS old'!G13</f>
        <v>0</v>
      </c>
      <c r="I14" s="2318"/>
      <c r="J14" s="2321"/>
    </row>
    <row r="15" spans="1:13" s="519" customFormat="1" ht="27.95" customHeight="1">
      <c r="A15" s="2337" t="s">
        <v>532</v>
      </c>
      <c r="B15" s="2477" t="s">
        <v>1592</v>
      </c>
      <c r="C15" s="2488" t="s">
        <v>534</v>
      </c>
      <c r="D15" s="2320">
        <f>'BS old'!D14</f>
        <v>0</v>
      </c>
      <c r="E15" s="2320"/>
      <c r="F15" s="2320"/>
      <c r="G15" s="2317">
        <f>'BS old'!F14</f>
        <v>0</v>
      </c>
      <c r="H15" s="2318"/>
      <c r="I15" s="2319"/>
      <c r="J15" s="520"/>
    </row>
    <row r="16" spans="1:13" s="519" customFormat="1" ht="27.95" customHeight="1">
      <c r="A16" s="2337"/>
      <c r="B16" s="2338"/>
      <c r="C16" s="2340"/>
      <c r="D16" s="2320">
        <f>'BS old'!E14</f>
        <v>0</v>
      </c>
      <c r="E16" s="2320"/>
      <c r="F16" s="2320"/>
      <c r="G16" s="810"/>
      <c r="H16" s="2317">
        <f>'BS old'!G14</f>
        <v>0</v>
      </c>
      <c r="I16" s="2318"/>
      <c r="J16" s="2321"/>
    </row>
    <row r="17" spans="1:10" s="519" customFormat="1" ht="27.95" customHeight="1">
      <c r="A17" s="2337" t="s">
        <v>535</v>
      </c>
      <c r="B17" s="2477" t="s">
        <v>1593</v>
      </c>
      <c r="C17" s="2488" t="s">
        <v>537</v>
      </c>
      <c r="D17" s="2320">
        <f>'BS old'!D15</f>
        <v>0</v>
      </c>
      <c r="E17" s="2320"/>
      <c r="F17" s="2320"/>
      <c r="G17" s="2317">
        <f>'BS old'!F15</f>
        <v>0</v>
      </c>
      <c r="H17" s="2318"/>
      <c r="I17" s="2319"/>
      <c r="J17" s="520"/>
    </row>
    <row r="18" spans="1:10" s="519" customFormat="1" ht="27.95" customHeight="1">
      <c r="A18" s="2337"/>
      <c r="B18" s="2338"/>
      <c r="C18" s="2340"/>
      <c r="D18" s="2320">
        <f>'BS old'!E15</f>
        <v>0</v>
      </c>
      <c r="E18" s="2320"/>
      <c r="F18" s="2320"/>
      <c r="G18" s="810"/>
      <c r="H18" s="2317">
        <f>'BS old'!G15</f>
        <v>0</v>
      </c>
      <c r="I18" s="2318"/>
      <c r="J18" s="2321"/>
    </row>
    <row r="19" spans="1:10" s="519" customFormat="1" ht="27.95" customHeight="1">
      <c r="A19" s="2337" t="s">
        <v>538</v>
      </c>
      <c r="B19" s="2477" t="s">
        <v>1594</v>
      </c>
      <c r="C19" s="2488" t="s">
        <v>540</v>
      </c>
      <c r="D19" s="2320">
        <f>'BS old'!D16</f>
        <v>0</v>
      </c>
      <c r="E19" s="2320"/>
      <c r="F19" s="2320"/>
      <c r="G19" s="2317">
        <f>'BS old'!F16</f>
        <v>0</v>
      </c>
      <c r="H19" s="2318"/>
      <c r="I19" s="2319"/>
      <c r="J19" s="520"/>
    </row>
    <row r="20" spans="1:10" s="519" customFormat="1" ht="27.95" customHeight="1">
      <c r="A20" s="2337"/>
      <c r="B20" s="2338"/>
      <c r="C20" s="2340"/>
      <c r="D20" s="2320">
        <f>'BS old'!E16</f>
        <v>0</v>
      </c>
      <c r="E20" s="2320"/>
      <c r="F20" s="2320"/>
      <c r="G20" s="810"/>
      <c r="H20" s="2317">
        <f>'BS old'!G16</f>
        <v>0</v>
      </c>
      <c r="I20" s="2318"/>
      <c r="J20" s="2321"/>
    </row>
    <row r="21" spans="1:10" s="519" customFormat="1" ht="27.95" customHeight="1">
      <c r="A21" s="2337" t="s">
        <v>541</v>
      </c>
      <c r="B21" s="2477" t="s">
        <v>1595</v>
      </c>
      <c r="C21" s="2488" t="s">
        <v>543</v>
      </c>
      <c r="D21" s="2320">
        <f>'BS old'!D17</f>
        <v>0</v>
      </c>
      <c r="E21" s="2320"/>
      <c r="F21" s="2320"/>
      <c r="G21" s="2317">
        <f>'BS old'!F17</f>
        <v>0</v>
      </c>
      <c r="H21" s="2318"/>
      <c r="I21" s="2319"/>
      <c r="J21" s="520"/>
    </row>
    <row r="22" spans="1:10" s="519" customFormat="1" ht="27.95" customHeight="1">
      <c r="A22" s="2337"/>
      <c r="B22" s="2338"/>
      <c r="C22" s="2340"/>
      <c r="D22" s="2320">
        <f>'BS old'!E17</f>
        <v>0</v>
      </c>
      <c r="E22" s="2320"/>
      <c r="F22" s="2320"/>
      <c r="G22" s="810"/>
      <c r="H22" s="2317">
        <f>'BS old'!G17</f>
        <v>0</v>
      </c>
      <c r="I22" s="2318"/>
      <c r="J22" s="2321"/>
    </row>
    <row r="23" spans="1:10" s="519" customFormat="1" ht="27.95" customHeight="1">
      <c r="A23" s="2337" t="s">
        <v>544</v>
      </c>
      <c r="B23" s="2477" t="s">
        <v>1596</v>
      </c>
      <c r="C23" s="2488" t="s">
        <v>546</v>
      </c>
      <c r="D23" s="2320">
        <f>'BS old'!D18</f>
        <v>0</v>
      </c>
      <c r="E23" s="2320"/>
      <c r="F23" s="2320"/>
      <c r="G23" s="2317">
        <f>'BS old'!F18</f>
        <v>0</v>
      </c>
      <c r="H23" s="2318"/>
      <c r="I23" s="2319"/>
      <c r="J23" s="520"/>
    </row>
    <row r="24" spans="1:10" s="519" customFormat="1" ht="27.95" customHeight="1">
      <c r="A24" s="2337"/>
      <c r="B24" s="2338"/>
      <c r="C24" s="2340"/>
      <c r="D24" s="2320">
        <f>'BS old'!E18</f>
        <v>0</v>
      </c>
      <c r="E24" s="2320"/>
      <c r="F24" s="2320"/>
      <c r="G24" s="810"/>
      <c r="H24" s="2317">
        <f>'BS old'!G18</f>
        <v>0</v>
      </c>
      <c r="I24" s="2318"/>
      <c r="J24" s="2321"/>
    </row>
    <row r="25" spans="1:10" s="519" customFormat="1" ht="27.95" customHeight="1">
      <c r="A25" s="2337" t="s">
        <v>547</v>
      </c>
      <c r="B25" s="2477" t="s">
        <v>1597</v>
      </c>
      <c r="C25" s="2488" t="s">
        <v>549</v>
      </c>
      <c r="D25" s="2320">
        <f>'BS old'!D19</f>
        <v>0</v>
      </c>
      <c r="E25" s="2320"/>
      <c r="F25" s="2320"/>
      <c r="G25" s="2317">
        <f>'BS old'!F19</f>
        <v>0</v>
      </c>
      <c r="H25" s="2318"/>
      <c r="I25" s="2319"/>
      <c r="J25" s="520"/>
    </row>
    <row r="26" spans="1:10" s="519" customFormat="1" ht="27.95" customHeight="1">
      <c r="A26" s="2337"/>
      <c r="B26" s="2338"/>
      <c r="C26" s="2340"/>
      <c r="D26" s="2320">
        <f>'BS old'!E19</f>
        <v>0</v>
      </c>
      <c r="E26" s="2320"/>
      <c r="F26" s="2320"/>
      <c r="G26" s="810"/>
      <c r="H26" s="2317">
        <f>'BS old'!G19</f>
        <v>0</v>
      </c>
      <c r="I26" s="2318"/>
      <c r="J26" s="2321"/>
    </row>
    <row r="27" spans="1:10" s="521" customFormat="1" ht="27.95" customHeight="1">
      <c r="A27" s="2362" t="s">
        <v>550</v>
      </c>
      <c r="B27" s="2662" t="s">
        <v>1598</v>
      </c>
      <c r="C27" s="2492" t="s">
        <v>552</v>
      </c>
      <c r="D27" s="2320">
        <f>'BS old'!D20</f>
        <v>0</v>
      </c>
      <c r="E27" s="2320"/>
      <c r="F27" s="2320"/>
      <c r="G27" s="2317">
        <f>'BS old'!F20</f>
        <v>0</v>
      </c>
      <c r="H27" s="2318"/>
      <c r="I27" s="2319"/>
      <c r="J27" s="520"/>
    </row>
    <row r="28" spans="1:10" s="521" customFormat="1" ht="27.95" customHeight="1">
      <c r="A28" s="2349"/>
      <c r="B28" s="2496"/>
      <c r="C28" s="2493"/>
      <c r="D28" s="2320">
        <f>'BS old'!E20</f>
        <v>0</v>
      </c>
      <c r="E28" s="2320"/>
      <c r="F28" s="2320"/>
      <c r="G28" s="810"/>
      <c r="H28" s="2317">
        <f>'BS old'!G20</f>
        <v>0</v>
      </c>
      <c r="I28" s="2318"/>
      <c r="J28" s="2321"/>
    </row>
    <row r="29" spans="1:10" s="519" customFormat="1" ht="27.95" customHeight="1">
      <c r="A29" s="2361" t="s">
        <v>553</v>
      </c>
      <c r="B29" s="2477" t="s">
        <v>1599</v>
      </c>
      <c r="C29" s="2488" t="s">
        <v>555</v>
      </c>
      <c r="D29" s="2320">
        <f>'BS old'!D21</f>
        <v>0</v>
      </c>
      <c r="E29" s="2320"/>
      <c r="F29" s="2320"/>
      <c r="G29" s="2317">
        <f>'BS old'!F21</f>
        <v>0</v>
      </c>
      <c r="H29" s="2318"/>
      <c r="I29" s="2319"/>
      <c r="J29" s="520"/>
    </row>
    <row r="30" spans="1:10" s="519" customFormat="1" ht="27.95" customHeight="1">
      <c r="A30" s="2348"/>
      <c r="B30" s="2338"/>
      <c r="C30" s="2340"/>
      <c r="D30" s="2320">
        <f>'BS old'!E21</f>
        <v>0</v>
      </c>
      <c r="E30" s="2320"/>
      <c r="F30" s="2320"/>
      <c r="G30" s="810"/>
      <c r="H30" s="2317">
        <f>'BS old'!G21</f>
        <v>0</v>
      </c>
      <c r="I30" s="2318"/>
      <c r="J30" s="2321"/>
    </row>
    <row r="31" spans="1:10" s="519" customFormat="1" ht="27.95" customHeight="1">
      <c r="A31" s="2337" t="s">
        <v>532</v>
      </c>
      <c r="B31" s="2477" t="s">
        <v>1600</v>
      </c>
      <c r="C31" s="2488" t="s">
        <v>557</v>
      </c>
      <c r="D31" s="2320">
        <f>'BS old'!D22</f>
        <v>0</v>
      </c>
      <c r="E31" s="2320"/>
      <c r="F31" s="2320"/>
      <c r="G31" s="2489">
        <f>'BS old'!F22</f>
        <v>0</v>
      </c>
      <c r="H31" s="2490"/>
      <c r="I31" s="2491"/>
      <c r="J31" s="520"/>
    </row>
    <row r="32" spans="1:10" s="519" customFormat="1" ht="27.95" customHeight="1" thickBot="1">
      <c r="A32" s="2337"/>
      <c r="B32" s="2338"/>
      <c r="C32" s="2340"/>
      <c r="D32" s="2320">
        <f>'BS old'!E22</f>
        <v>0</v>
      </c>
      <c r="E32" s="2320"/>
      <c r="F32" s="2320"/>
      <c r="G32" s="810"/>
      <c r="H32" s="2317">
        <f>'BS old'!G22</f>
        <v>0</v>
      </c>
      <c r="I32" s="2318"/>
      <c r="J32" s="2321"/>
    </row>
    <row r="33" spans="1:10" s="519" customFormat="1" ht="11.25" customHeight="1">
      <c r="A33" s="2502" t="s">
        <v>1582</v>
      </c>
      <c r="B33" s="2503" t="s">
        <v>1583</v>
      </c>
      <c r="C33" s="2504" t="s">
        <v>1584</v>
      </c>
      <c r="D33" s="2322" t="s">
        <v>1585</v>
      </c>
      <c r="E33" s="2381"/>
      <c r="F33" s="2381"/>
      <c r="G33" s="2381"/>
      <c r="H33" s="2326"/>
      <c r="I33" s="2384" t="s">
        <v>1563</v>
      </c>
      <c r="J33" s="2385"/>
    </row>
    <row r="34" spans="1:10" s="519" customFormat="1" ht="11.25" customHeight="1">
      <c r="A34" s="2471"/>
      <c r="B34" s="2472"/>
      <c r="C34" s="2473"/>
      <c r="D34" s="2364">
        <v>1</v>
      </c>
      <c r="E34" s="2332" t="s">
        <v>1586</v>
      </c>
      <c r="F34" s="2392"/>
      <c r="G34" s="2663" t="s">
        <v>1178</v>
      </c>
      <c r="H34" s="2664"/>
      <c r="I34" s="2324"/>
      <c r="J34" s="2325"/>
    </row>
    <row r="35" spans="1:10" s="519" customFormat="1" ht="12" customHeight="1">
      <c r="A35" s="2334"/>
      <c r="B35" s="2342"/>
      <c r="C35" s="2344"/>
      <c r="D35" s="2474"/>
      <c r="E35" s="2332" t="s">
        <v>1587</v>
      </c>
      <c r="F35" s="2392"/>
      <c r="G35" s="2665"/>
      <c r="H35" s="2666"/>
      <c r="I35" s="2332" t="s">
        <v>1176</v>
      </c>
      <c r="J35" s="2333"/>
    </row>
    <row r="36" spans="1:10" ht="27.95" customHeight="1">
      <c r="A36" s="2336" t="s">
        <v>535</v>
      </c>
      <c r="B36" s="2477" t="s">
        <v>1601</v>
      </c>
      <c r="C36" s="2340" t="s">
        <v>559</v>
      </c>
      <c r="D36" s="2476">
        <f>'BS old'!D23</f>
        <v>0</v>
      </c>
      <c r="E36" s="2476"/>
      <c r="F36" s="2476"/>
      <c r="G36" s="2386">
        <f>'BS old'!F23</f>
        <v>0</v>
      </c>
      <c r="H36" s="2387"/>
      <c r="I36" s="2487"/>
      <c r="J36" s="837"/>
    </row>
    <row r="37" spans="1:10" ht="27.95" customHeight="1">
      <c r="A37" s="2337"/>
      <c r="B37" s="2338"/>
      <c r="C37" s="2341"/>
      <c r="D37" s="2320">
        <f>'BS old'!E23</f>
        <v>0</v>
      </c>
      <c r="E37" s="2320"/>
      <c r="F37" s="2320"/>
      <c r="G37" s="838"/>
      <c r="H37" s="2317">
        <f>'BS old'!G23</f>
        <v>0</v>
      </c>
      <c r="I37" s="2318"/>
      <c r="J37" s="2321"/>
    </row>
    <row r="38" spans="1:10" ht="27.95" customHeight="1">
      <c r="A38" s="2337" t="s">
        <v>538</v>
      </c>
      <c r="B38" s="2477" t="s">
        <v>1602</v>
      </c>
      <c r="C38" s="2341" t="s">
        <v>561</v>
      </c>
      <c r="D38" s="2320">
        <f>'BS old'!D24</f>
        <v>0</v>
      </c>
      <c r="E38" s="2320"/>
      <c r="F38" s="2320"/>
      <c r="G38" s="2317">
        <f>'BS old'!F24</f>
        <v>0</v>
      </c>
      <c r="H38" s="2318"/>
      <c r="I38" s="2319"/>
      <c r="J38" s="837"/>
    </row>
    <row r="39" spans="1:10" ht="27.95" customHeight="1">
      <c r="A39" s="2337"/>
      <c r="B39" s="2338"/>
      <c r="C39" s="2341"/>
      <c r="D39" s="2320">
        <f>'BS old'!E24</f>
        <v>0</v>
      </c>
      <c r="E39" s="2320"/>
      <c r="F39" s="2320"/>
      <c r="G39" s="838"/>
      <c r="H39" s="2317">
        <f>'BS old'!G24</f>
        <v>0</v>
      </c>
      <c r="I39" s="2318"/>
      <c r="J39" s="2321"/>
    </row>
    <row r="40" spans="1:10" ht="27.95" customHeight="1">
      <c r="A40" s="2337" t="s">
        <v>541</v>
      </c>
      <c r="B40" s="2477" t="s">
        <v>1603</v>
      </c>
      <c r="C40" s="2340" t="s">
        <v>563</v>
      </c>
      <c r="D40" s="2320">
        <f>'BS old'!D25</f>
        <v>0</v>
      </c>
      <c r="E40" s="2320"/>
      <c r="F40" s="2320"/>
      <c r="G40" s="2317">
        <f>'BS old'!F25</f>
        <v>0</v>
      </c>
      <c r="H40" s="2318"/>
      <c r="I40" s="2319"/>
      <c r="J40" s="837"/>
    </row>
    <row r="41" spans="1:10" ht="27.95" customHeight="1">
      <c r="A41" s="2337"/>
      <c r="B41" s="2338"/>
      <c r="C41" s="2341"/>
      <c r="D41" s="2320">
        <f>'BS old'!E25</f>
        <v>0</v>
      </c>
      <c r="E41" s="2320"/>
      <c r="F41" s="2320"/>
      <c r="G41" s="838"/>
      <c r="H41" s="2317">
        <f>'BS old'!G25</f>
        <v>0</v>
      </c>
      <c r="I41" s="2318"/>
      <c r="J41" s="2321"/>
    </row>
    <row r="42" spans="1:10" ht="27.95" customHeight="1">
      <c r="A42" s="2337" t="s">
        <v>544</v>
      </c>
      <c r="B42" s="2477" t="s">
        <v>1604</v>
      </c>
      <c r="C42" s="2341" t="s">
        <v>565</v>
      </c>
      <c r="D42" s="2320">
        <f>'BS old'!D26</f>
        <v>0</v>
      </c>
      <c r="E42" s="2320"/>
      <c r="F42" s="2320"/>
      <c r="G42" s="2317">
        <f>'BS old'!F26</f>
        <v>0</v>
      </c>
      <c r="H42" s="2318"/>
      <c r="I42" s="2319"/>
      <c r="J42" s="837"/>
    </row>
    <row r="43" spans="1:10" ht="27.95" customHeight="1">
      <c r="A43" s="2337"/>
      <c r="B43" s="2338"/>
      <c r="C43" s="2341"/>
      <c r="D43" s="2320">
        <f>'BS old'!E26</f>
        <v>0</v>
      </c>
      <c r="E43" s="2320"/>
      <c r="F43" s="2320"/>
      <c r="G43" s="838"/>
      <c r="H43" s="2317">
        <f>'BS old'!G26</f>
        <v>0</v>
      </c>
      <c r="I43" s="2318"/>
      <c r="J43" s="2321"/>
    </row>
    <row r="44" spans="1:10" ht="27.95" customHeight="1">
      <c r="A44" s="2337" t="s">
        <v>547</v>
      </c>
      <c r="B44" s="2477" t="s">
        <v>1605</v>
      </c>
      <c r="C44" s="2340" t="s">
        <v>567</v>
      </c>
      <c r="D44" s="2320">
        <f>'BS old'!D27</f>
        <v>0</v>
      </c>
      <c r="E44" s="2320"/>
      <c r="F44" s="2320"/>
      <c r="G44" s="2317">
        <f>'BS old'!F27</f>
        <v>0</v>
      </c>
      <c r="H44" s="2318"/>
      <c r="I44" s="2319"/>
      <c r="J44" s="837"/>
    </row>
    <row r="45" spans="1:10" ht="27.95" customHeight="1">
      <c r="A45" s="2337"/>
      <c r="B45" s="2338"/>
      <c r="C45" s="2341"/>
      <c r="D45" s="2320">
        <f>'BS old'!E27</f>
        <v>0</v>
      </c>
      <c r="E45" s="2320"/>
      <c r="F45" s="2320"/>
      <c r="G45" s="838"/>
      <c r="H45" s="2317">
        <f>'BS old'!G27</f>
        <v>0</v>
      </c>
      <c r="I45" s="2318"/>
      <c r="J45" s="2321"/>
    </row>
    <row r="46" spans="1:10" ht="27.95" customHeight="1">
      <c r="A46" s="2337" t="s">
        <v>568</v>
      </c>
      <c r="B46" s="2477" t="s">
        <v>1606</v>
      </c>
      <c r="C46" s="2341" t="s">
        <v>570</v>
      </c>
      <c r="D46" s="2320">
        <f>'BS old'!D28</f>
        <v>0</v>
      </c>
      <c r="E46" s="2320"/>
      <c r="F46" s="2320"/>
      <c r="G46" s="2317">
        <f>'BS old'!F28</f>
        <v>0</v>
      </c>
      <c r="H46" s="2318"/>
      <c r="I46" s="2319"/>
      <c r="J46" s="837"/>
    </row>
    <row r="47" spans="1:10" ht="27.95" customHeight="1">
      <c r="A47" s="2337"/>
      <c r="B47" s="2338"/>
      <c r="C47" s="2341"/>
      <c r="D47" s="2320">
        <f>'BS old'!E28</f>
        <v>0</v>
      </c>
      <c r="E47" s="2320"/>
      <c r="F47" s="2320"/>
      <c r="G47" s="838"/>
      <c r="H47" s="2317">
        <f>'BS old'!G28</f>
        <v>0</v>
      </c>
      <c r="I47" s="2318"/>
      <c r="J47" s="2321"/>
    </row>
    <row r="48" spans="1:10" ht="27.95" customHeight="1">
      <c r="A48" s="2337" t="s">
        <v>571</v>
      </c>
      <c r="B48" s="2477" t="s">
        <v>1607</v>
      </c>
      <c r="C48" s="2340" t="s">
        <v>573</v>
      </c>
      <c r="D48" s="2320">
        <f>'BS old'!D29</f>
        <v>0</v>
      </c>
      <c r="E48" s="2320"/>
      <c r="F48" s="2320"/>
      <c r="G48" s="2317">
        <f>'BS old'!F29</f>
        <v>0</v>
      </c>
      <c r="H48" s="2318"/>
      <c r="I48" s="2319"/>
      <c r="J48" s="837"/>
    </row>
    <row r="49" spans="1:10" ht="27.95" customHeight="1">
      <c r="A49" s="2337"/>
      <c r="B49" s="2338"/>
      <c r="C49" s="2341"/>
      <c r="D49" s="2320">
        <f>'BS old'!E29</f>
        <v>0</v>
      </c>
      <c r="E49" s="2320"/>
      <c r="F49" s="2320"/>
      <c r="G49" s="839"/>
      <c r="H49" s="2317">
        <f>'BS old'!G29</f>
        <v>0</v>
      </c>
      <c r="I49" s="2318"/>
      <c r="J49" s="2321"/>
    </row>
    <row r="50" spans="1:10" ht="27.95" customHeight="1">
      <c r="A50" s="2362" t="s">
        <v>574</v>
      </c>
      <c r="B50" s="2667" t="s">
        <v>1608</v>
      </c>
      <c r="C50" s="2341" t="s">
        <v>576</v>
      </c>
      <c r="D50" s="2320">
        <f>'BS old'!D30</f>
        <v>0</v>
      </c>
      <c r="E50" s="2320"/>
      <c r="F50" s="2320"/>
      <c r="G50" s="2317">
        <f>'BS old'!F30</f>
        <v>0</v>
      </c>
      <c r="H50" s="2318"/>
      <c r="I50" s="2319"/>
      <c r="J50" s="837"/>
    </row>
    <row r="51" spans="1:10" ht="27.95" customHeight="1">
      <c r="A51" s="2362"/>
      <c r="B51" s="2350"/>
      <c r="C51" s="2341"/>
      <c r="D51" s="2320">
        <f>'BS old'!E30</f>
        <v>0</v>
      </c>
      <c r="E51" s="2320"/>
      <c r="F51" s="2320"/>
      <c r="G51" s="839"/>
      <c r="H51" s="2317">
        <f>'BS old'!G30</f>
        <v>0</v>
      </c>
      <c r="I51" s="2318"/>
      <c r="J51" s="2321"/>
    </row>
    <row r="52" spans="1:10" s="450" customFormat="1" ht="27.95" customHeight="1">
      <c r="A52" s="2366" t="s">
        <v>577</v>
      </c>
      <c r="B52" s="2477" t="s">
        <v>1609</v>
      </c>
      <c r="C52" s="2340" t="s">
        <v>579</v>
      </c>
      <c r="D52" s="2320">
        <f>'BS old'!D31</f>
        <v>0</v>
      </c>
      <c r="E52" s="2320"/>
      <c r="F52" s="2320"/>
      <c r="G52" s="2317">
        <f>'BS old'!F31</f>
        <v>0</v>
      </c>
      <c r="H52" s="2318"/>
      <c r="I52" s="2319"/>
      <c r="J52" s="837"/>
    </row>
    <row r="53" spans="1:10" s="450" customFormat="1" ht="27.95" customHeight="1">
      <c r="A53" s="2366"/>
      <c r="B53" s="2338"/>
      <c r="C53" s="2341"/>
      <c r="D53" s="2320">
        <f>'BS old'!E31</f>
        <v>0</v>
      </c>
      <c r="E53" s="2320"/>
      <c r="F53" s="2320"/>
      <c r="G53" s="839"/>
      <c r="H53" s="2317">
        <f>'BS old'!G31</f>
        <v>0</v>
      </c>
      <c r="I53" s="2318"/>
      <c r="J53" s="2321"/>
    </row>
    <row r="54" spans="1:10" ht="27.95" customHeight="1">
      <c r="A54" s="2337" t="s">
        <v>532</v>
      </c>
      <c r="B54" s="2477" t="s">
        <v>1610</v>
      </c>
      <c r="C54" s="2341" t="s">
        <v>581</v>
      </c>
      <c r="D54" s="2320">
        <f>'BS old'!D32</f>
        <v>0</v>
      </c>
      <c r="E54" s="2320"/>
      <c r="F54" s="2320"/>
      <c r="G54" s="2317">
        <f>'BS old'!F32</f>
        <v>0</v>
      </c>
      <c r="H54" s="2318"/>
      <c r="I54" s="2319"/>
      <c r="J54" s="837"/>
    </row>
    <row r="55" spans="1:10" ht="27.95" customHeight="1">
      <c r="A55" s="2337"/>
      <c r="B55" s="2338"/>
      <c r="C55" s="2341"/>
      <c r="D55" s="2320">
        <f>'BS old'!E32</f>
        <v>0</v>
      </c>
      <c r="E55" s="2320"/>
      <c r="F55" s="2320"/>
      <c r="G55" s="839"/>
      <c r="H55" s="2317">
        <f>'BS old'!G32</f>
        <v>0</v>
      </c>
      <c r="I55" s="2318"/>
      <c r="J55" s="2321"/>
    </row>
    <row r="56" spans="1:10" ht="27.95" customHeight="1">
      <c r="A56" s="2337" t="s">
        <v>535</v>
      </c>
      <c r="B56" s="2477" t="s">
        <v>1611</v>
      </c>
      <c r="C56" s="2340" t="s">
        <v>583</v>
      </c>
      <c r="D56" s="2320">
        <f>'BS old'!D33</f>
        <v>0</v>
      </c>
      <c r="E56" s="2320"/>
      <c r="F56" s="2320"/>
      <c r="G56" s="2317">
        <f>'BS old'!F33</f>
        <v>0</v>
      </c>
      <c r="H56" s="2318"/>
      <c r="I56" s="2319"/>
      <c r="J56" s="837"/>
    </row>
    <row r="57" spans="1:10" ht="27.95" customHeight="1">
      <c r="A57" s="2337"/>
      <c r="B57" s="2338"/>
      <c r="C57" s="2341"/>
      <c r="D57" s="2320">
        <f>'BS old'!E33</f>
        <v>0</v>
      </c>
      <c r="E57" s="2320"/>
      <c r="F57" s="2320"/>
      <c r="G57" s="839"/>
      <c r="H57" s="2317">
        <f>'BS old'!G33</f>
        <v>0</v>
      </c>
      <c r="I57" s="2318"/>
      <c r="J57" s="2321"/>
    </row>
    <row r="58" spans="1:10" ht="27.95" customHeight="1">
      <c r="A58" s="2337" t="s">
        <v>538</v>
      </c>
      <c r="B58" s="2477" t="s">
        <v>1612</v>
      </c>
      <c r="C58" s="2341" t="s">
        <v>585</v>
      </c>
      <c r="D58" s="2320">
        <f>'BS old'!D34</f>
        <v>0</v>
      </c>
      <c r="E58" s="2320"/>
      <c r="F58" s="2320"/>
      <c r="G58" s="2317">
        <f>'BS old'!F34</f>
        <v>0</v>
      </c>
      <c r="H58" s="2318"/>
      <c r="I58" s="2319"/>
      <c r="J58" s="837"/>
    </row>
    <row r="59" spans="1:10" ht="27.95" customHeight="1">
      <c r="A59" s="2337"/>
      <c r="B59" s="2338"/>
      <c r="C59" s="2341"/>
      <c r="D59" s="2320">
        <f>'BS old'!E34</f>
        <v>0</v>
      </c>
      <c r="E59" s="2320"/>
      <c r="F59" s="2320"/>
      <c r="G59" s="839"/>
      <c r="H59" s="2317">
        <f>'BS old'!G34</f>
        <v>0</v>
      </c>
      <c r="I59" s="2318"/>
      <c r="J59" s="2321"/>
    </row>
    <row r="60" spans="1:10" ht="27.95" customHeight="1">
      <c r="A60" s="2337" t="s">
        <v>541</v>
      </c>
      <c r="B60" s="2477" t="s">
        <v>1613</v>
      </c>
      <c r="C60" s="2340" t="s">
        <v>587</v>
      </c>
      <c r="D60" s="2320">
        <f>'BS old'!D35</f>
        <v>0</v>
      </c>
      <c r="E60" s="2320"/>
      <c r="F60" s="2320"/>
      <c r="G60" s="2317">
        <f>'BS old'!F35</f>
        <v>0</v>
      </c>
      <c r="H60" s="2318"/>
      <c r="I60" s="2319"/>
      <c r="J60" s="837"/>
    </row>
    <row r="61" spans="1:10" ht="27.95" customHeight="1">
      <c r="A61" s="2337"/>
      <c r="B61" s="2338"/>
      <c r="C61" s="2341"/>
      <c r="D61" s="2320">
        <f>'BS old'!E35</f>
        <v>0</v>
      </c>
      <c r="E61" s="2320"/>
      <c r="F61" s="2320"/>
      <c r="G61" s="839"/>
      <c r="H61" s="2317">
        <f>'BS old'!G35</f>
        <v>0</v>
      </c>
      <c r="I61" s="2318"/>
      <c r="J61" s="2321"/>
    </row>
    <row r="62" spans="1:10" ht="27.95" customHeight="1">
      <c r="A62" s="2337" t="s">
        <v>544</v>
      </c>
      <c r="B62" s="2477" t="s">
        <v>1614</v>
      </c>
      <c r="C62" s="2341" t="s">
        <v>589</v>
      </c>
      <c r="D62" s="2320">
        <f>'BS old'!D36</f>
        <v>0</v>
      </c>
      <c r="E62" s="2320"/>
      <c r="F62" s="2320"/>
      <c r="G62" s="2317">
        <f>'BS old'!F36</f>
        <v>0</v>
      </c>
      <c r="H62" s="2318"/>
      <c r="I62" s="2319"/>
      <c r="J62" s="837"/>
    </row>
    <row r="63" spans="1:10" ht="27.95" customHeight="1" thickBot="1">
      <c r="A63" s="2337"/>
      <c r="B63" s="2338"/>
      <c r="C63" s="2341"/>
      <c r="D63" s="2320">
        <f>'BS old'!E36</f>
        <v>0</v>
      </c>
      <c r="E63" s="2320"/>
      <c r="F63" s="2320"/>
      <c r="G63" s="810"/>
      <c r="H63" s="2317">
        <f>'BS old'!G36</f>
        <v>0</v>
      </c>
      <c r="I63" s="2318"/>
      <c r="J63" s="2321"/>
    </row>
    <row r="64" spans="1:10" ht="11.25" customHeight="1">
      <c r="A64" s="2502" t="s">
        <v>1582</v>
      </c>
      <c r="B64" s="2503" t="s">
        <v>1583</v>
      </c>
      <c r="C64" s="2504" t="s">
        <v>1584</v>
      </c>
      <c r="D64" s="2322" t="s">
        <v>1585</v>
      </c>
      <c r="E64" s="2381"/>
      <c r="F64" s="2381"/>
      <c r="G64" s="2381"/>
      <c r="H64" s="2326"/>
      <c r="I64" s="2384" t="s">
        <v>1563</v>
      </c>
      <c r="J64" s="2385"/>
    </row>
    <row r="65" spans="1:10" ht="11.25" customHeight="1">
      <c r="A65" s="2471"/>
      <c r="B65" s="2472"/>
      <c r="C65" s="2473"/>
      <c r="D65" s="2364">
        <v>1</v>
      </c>
      <c r="E65" s="2332" t="s">
        <v>1586</v>
      </c>
      <c r="F65" s="2392"/>
      <c r="G65" s="2663" t="s">
        <v>1178</v>
      </c>
      <c r="H65" s="2664"/>
      <c r="I65" s="2324"/>
      <c r="J65" s="2325"/>
    </row>
    <row r="66" spans="1:10" ht="11.25" customHeight="1">
      <c r="A66" s="2334"/>
      <c r="B66" s="2342"/>
      <c r="C66" s="2344"/>
      <c r="D66" s="2474"/>
      <c r="E66" s="2332" t="s">
        <v>1587</v>
      </c>
      <c r="F66" s="2392"/>
      <c r="G66" s="2665"/>
      <c r="H66" s="2666"/>
      <c r="I66" s="2332" t="s">
        <v>1176</v>
      </c>
      <c r="J66" s="2333"/>
    </row>
    <row r="67" spans="1:10" ht="27.95" customHeight="1">
      <c r="A67" s="2337" t="s">
        <v>547</v>
      </c>
      <c r="B67" s="2477" t="s">
        <v>1615</v>
      </c>
      <c r="C67" s="2341" t="s">
        <v>888</v>
      </c>
      <c r="D67" s="2320">
        <f>'BS old'!D37</f>
        <v>0</v>
      </c>
      <c r="E67" s="2320"/>
      <c r="F67" s="2317"/>
      <c r="G67" s="2317">
        <f>'BS old'!F37</f>
        <v>0</v>
      </c>
      <c r="H67" s="2318"/>
      <c r="I67" s="2319"/>
      <c r="J67" s="837"/>
    </row>
    <row r="68" spans="1:10" ht="27.95" customHeight="1">
      <c r="A68" s="2337"/>
      <c r="B68" s="2338"/>
      <c r="C68" s="2341"/>
      <c r="D68" s="2320">
        <f>'BS old'!E37</f>
        <v>0</v>
      </c>
      <c r="E68" s="2320"/>
      <c r="F68" s="2320"/>
      <c r="G68" s="840"/>
      <c r="H68" s="2317">
        <f>'BS old'!G37</f>
        <v>0</v>
      </c>
      <c r="I68" s="2318"/>
      <c r="J68" s="2321"/>
    </row>
    <row r="69" spans="1:10" ht="27.95" customHeight="1">
      <c r="A69" s="2337" t="s">
        <v>568</v>
      </c>
      <c r="B69" s="2477" t="s">
        <v>1616</v>
      </c>
      <c r="C69" s="2341" t="s">
        <v>891</v>
      </c>
      <c r="D69" s="2320">
        <f>'BS old'!D38</f>
        <v>0</v>
      </c>
      <c r="E69" s="2320"/>
      <c r="F69" s="2317"/>
      <c r="G69" s="2317">
        <f>'BS old'!F38</f>
        <v>0</v>
      </c>
      <c r="H69" s="2318"/>
      <c r="I69" s="2319"/>
      <c r="J69" s="837"/>
    </row>
    <row r="70" spans="1:10" ht="27.95" customHeight="1">
      <c r="A70" s="2337"/>
      <c r="B70" s="2338"/>
      <c r="C70" s="2341"/>
      <c r="D70" s="2320">
        <f>'BS old'!E38</f>
        <v>0</v>
      </c>
      <c r="E70" s="2320"/>
      <c r="F70" s="2320"/>
      <c r="G70" s="840"/>
      <c r="H70" s="2317">
        <f>'BS old'!G38</f>
        <v>0</v>
      </c>
      <c r="I70" s="2318"/>
      <c r="J70" s="2321"/>
    </row>
    <row r="71" spans="1:10" ht="27.95" customHeight="1">
      <c r="A71" s="2349" t="s">
        <v>594</v>
      </c>
      <c r="B71" s="2667" t="s">
        <v>1617</v>
      </c>
      <c r="C71" s="2341" t="s">
        <v>894</v>
      </c>
      <c r="D71" s="2320">
        <f>'BS old'!D39</f>
        <v>0</v>
      </c>
      <c r="E71" s="2320"/>
      <c r="F71" s="2317"/>
      <c r="G71" s="2317">
        <f>'BS old'!F39</f>
        <v>0</v>
      </c>
      <c r="H71" s="2318"/>
      <c r="I71" s="2319"/>
      <c r="J71" s="837"/>
    </row>
    <row r="72" spans="1:10" ht="27.95" customHeight="1">
      <c r="A72" s="2349"/>
      <c r="B72" s="2350"/>
      <c r="C72" s="2341"/>
      <c r="D72" s="2320">
        <f>'BS old'!E39</f>
        <v>0</v>
      </c>
      <c r="E72" s="2320"/>
      <c r="F72" s="2320"/>
      <c r="G72" s="840"/>
      <c r="H72" s="2317">
        <f>'BS old'!G39</f>
        <v>0</v>
      </c>
      <c r="I72" s="2318"/>
      <c r="J72" s="2321"/>
    </row>
    <row r="73" spans="1:10" s="450" customFormat="1" ht="27.95" customHeight="1">
      <c r="A73" s="2362" t="s">
        <v>597</v>
      </c>
      <c r="B73" s="2667" t="s">
        <v>1618</v>
      </c>
      <c r="C73" s="2341" t="s">
        <v>897</v>
      </c>
      <c r="D73" s="2320">
        <f>'BS old'!D40</f>
        <v>0</v>
      </c>
      <c r="E73" s="2320"/>
      <c r="F73" s="2317"/>
      <c r="G73" s="2317">
        <f>'BS old'!F40</f>
        <v>0</v>
      </c>
      <c r="H73" s="2318"/>
      <c r="I73" s="2319"/>
      <c r="J73" s="837"/>
    </row>
    <row r="74" spans="1:10" s="450" customFormat="1" ht="27.95" customHeight="1">
      <c r="A74" s="2349"/>
      <c r="B74" s="2350"/>
      <c r="C74" s="2341"/>
      <c r="D74" s="2320">
        <f>'BS old'!E40</f>
        <v>0</v>
      </c>
      <c r="E74" s="2320"/>
      <c r="F74" s="2320"/>
      <c r="G74" s="840"/>
      <c r="H74" s="2317">
        <f>'BS old'!G40</f>
        <v>0</v>
      </c>
      <c r="I74" s="2318"/>
      <c r="J74" s="2321"/>
    </row>
    <row r="75" spans="1:10" s="450" customFormat="1" ht="27.95" customHeight="1">
      <c r="A75" s="2361" t="s">
        <v>600</v>
      </c>
      <c r="B75" s="2477" t="s">
        <v>1619</v>
      </c>
      <c r="C75" s="2341" t="s">
        <v>900</v>
      </c>
      <c r="D75" s="2320">
        <f>'BS old'!D41</f>
        <v>0</v>
      </c>
      <c r="E75" s="2320"/>
      <c r="F75" s="2317"/>
      <c r="G75" s="2317">
        <f>'BS old'!F41</f>
        <v>0</v>
      </c>
      <c r="H75" s="2318"/>
      <c r="I75" s="2319"/>
      <c r="J75" s="837"/>
    </row>
    <row r="76" spans="1:10" s="450" customFormat="1" ht="27.95" customHeight="1">
      <c r="A76" s="2348"/>
      <c r="B76" s="2338"/>
      <c r="C76" s="2341"/>
      <c r="D76" s="2320">
        <f>'BS old'!E41</f>
        <v>0</v>
      </c>
      <c r="E76" s="2320"/>
      <c r="F76" s="2320"/>
      <c r="G76" s="840"/>
      <c r="H76" s="2317">
        <f>'BS old'!G41</f>
        <v>0</v>
      </c>
      <c r="I76" s="2318"/>
      <c r="J76" s="2321"/>
    </row>
    <row r="77" spans="1:10" ht="27.95" customHeight="1">
      <c r="A77" s="2337" t="s">
        <v>532</v>
      </c>
      <c r="B77" s="2477" t="s">
        <v>1620</v>
      </c>
      <c r="C77" s="2341" t="s">
        <v>903</v>
      </c>
      <c r="D77" s="2320">
        <f>'BS old'!D42</f>
        <v>0</v>
      </c>
      <c r="E77" s="2320"/>
      <c r="F77" s="2317"/>
      <c r="G77" s="2317">
        <f>'BS old'!F42</f>
        <v>0</v>
      </c>
      <c r="H77" s="2318"/>
      <c r="I77" s="2319"/>
      <c r="J77" s="837"/>
    </row>
    <row r="78" spans="1:10" ht="27.95" customHeight="1">
      <c r="A78" s="2337"/>
      <c r="B78" s="2338"/>
      <c r="C78" s="2341"/>
      <c r="D78" s="2320">
        <f>'BS old'!E42</f>
        <v>0</v>
      </c>
      <c r="E78" s="2320"/>
      <c r="F78" s="2320"/>
      <c r="G78" s="840"/>
      <c r="H78" s="2317">
        <f>'BS old'!G42</f>
        <v>0</v>
      </c>
      <c r="I78" s="2318"/>
      <c r="J78" s="2321"/>
    </row>
    <row r="79" spans="1:10" ht="27.95" customHeight="1">
      <c r="A79" s="2337" t="s">
        <v>535</v>
      </c>
      <c r="B79" s="2477" t="s">
        <v>1621</v>
      </c>
      <c r="C79" s="2341" t="s">
        <v>906</v>
      </c>
      <c r="D79" s="2320">
        <f>'BS old'!D43</f>
        <v>0</v>
      </c>
      <c r="E79" s="2320"/>
      <c r="F79" s="2317"/>
      <c r="G79" s="2317">
        <f>'BS old'!F43</f>
        <v>0</v>
      </c>
      <c r="H79" s="2318"/>
      <c r="I79" s="2319"/>
      <c r="J79" s="837"/>
    </row>
    <row r="80" spans="1:10" ht="27.95" customHeight="1">
      <c r="A80" s="2337"/>
      <c r="B80" s="2338"/>
      <c r="C80" s="2341"/>
      <c r="D80" s="2320">
        <f>'BS old'!E43</f>
        <v>0</v>
      </c>
      <c r="E80" s="2320"/>
      <c r="F80" s="2320"/>
      <c r="G80" s="840"/>
      <c r="H80" s="2317">
        <f>'BS old'!G43</f>
        <v>0</v>
      </c>
      <c r="I80" s="2318"/>
      <c r="J80" s="2321"/>
    </row>
    <row r="81" spans="1:10" ht="27.95" customHeight="1">
      <c r="A81" s="2337" t="s">
        <v>538</v>
      </c>
      <c r="B81" s="2477" t="s">
        <v>1622</v>
      </c>
      <c r="C81" s="2341" t="s">
        <v>909</v>
      </c>
      <c r="D81" s="2320">
        <f>'BS old'!D44</f>
        <v>0</v>
      </c>
      <c r="E81" s="2320"/>
      <c r="F81" s="2317"/>
      <c r="G81" s="2317">
        <f>'BS old'!F44</f>
        <v>0</v>
      </c>
      <c r="H81" s="2318"/>
      <c r="I81" s="2319"/>
      <c r="J81" s="837"/>
    </row>
    <row r="82" spans="1:10" ht="27.95" customHeight="1">
      <c r="A82" s="2337"/>
      <c r="B82" s="2338"/>
      <c r="C82" s="2341"/>
      <c r="D82" s="2320">
        <f>'BS old'!E44</f>
        <v>0</v>
      </c>
      <c r="E82" s="2320"/>
      <c r="F82" s="2320"/>
      <c r="G82" s="840"/>
      <c r="H82" s="2317">
        <f>'BS old'!G44</f>
        <v>0</v>
      </c>
      <c r="I82" s="2318"/>
      <c r="J82" s="2321"/>
    </row>
    <row r="83" spans="1:10" ht="27.95" customHeight="1">
      <c r="A83" s="2337" t="s">
        <v>541</v>
      </c>
      <c r="B83" s="2477" t="s">
        <v>1623</v>
      </c>
      <c r="C83" s="2341" t="s">
        <v>912</v>
      </c>
      <c r="D83" s="2320">
        <f>'BS old'!D45</f>
        <v>0</v>
      </c>
      <c r="E83" s="2320"/>
      <c r="F83" s="2317"/>
      <c r="G83" s="2317">
        <f>'BS old'!F45</f>
        <v>0</v>
      </c>
      <c r="H83" s="2318"/>
      <c r="I83" s="2319"/>
      <c r="J83" s="837"/>
    </row>
    <row r="84" spans="1:10" ht="27.95" customHeight="1">
      <c r="A84" s="2337"/>
      <c r="B84" s="2338"/>
      <c r="C84" s="2341"/>
      <c r="D84" s="2320">
        <f>'BS old'!E45</f>
        <v>0</v>
      </c>
      <c r="E84" s="2320"/>
      <c r="F84" s="2320"/>
      <c r="G84" s="840"/>
      <c r="H84" s="2317">
        <f>'BS old'!G45</f>
        <v>0</v>
      </c>
      <c r="I84" s="2318"/>
      <c r="J84" s="2321"/>
    </row>
    <row r="85" spans="1:10" ht="27.95" customHeight="1">
      <c r="A85" s="2337" t="s">
        <v>544</v>
      </c>
      <c r="B85" s="2477" t="s">
        <v>1624</v>
      </c>
      <c r="C85" s="2341" t="s">
        <v>915</v>
      </c>
      <c r="D85" s="2320">
        <f>'BS old'!D46</f>
        <v>0</v>
      </c>
      <c r="E85" s="2320"/>
      <c r="F85" s="2317"/>
      <c r="G85" s="2317">
        <f>'BS old'!F46</f>
        <v>0</v>
      </c>
      <c r="H85" s="2318"/>
      <c r="I85" s="2319"/>
      <c r="J85" s="837"/>
    </row>
    <row r="86" spans="1:10" ht="27.95" customHeight="1">
      <c r="A86" s="2337"/>
      <c r="B86" s="2338"/>
      <c r="C86" s="2341"/>
      <c r="D86" s="2320">
        <f>'BS old'!E46</f>
        <v>0</v>
      </c>
      <c r="E86" s="2320"/>
      <c r="F86" s="2320"/>
      <c r="G86" s="840"/>
      <c r="H86" s="2317">
        <f>'BS old'!G46</f>
        <v>0</v>
      </c>
      <c r="I86" s="2318"/>
      <c r="J86" s="2321"/>
    </row>
    <row r="87" spans="1:10" ht="27.95" customHeight="1">
      <c r="A87" s="2362" t="s">
        <v>613</v>
      </c>
      <c r="B87" s="2662" t="s">
        <v>1625</v>
      </c>
      <c r="C87" s="2341" t="s">
        <v>918</v>
      </c>
      <c r="D87" s="2320">
        <f>'BS old'!D47</f>
        <v>0</v>
      </c>
      <c r="E87" s="2320"/>
      <c r="F87" s="2317"/>
      <c r="G87" s="2317">
        <f>'BS old'!F47</f>
        <v>0</v>
      </c>
      <c r="H87" s="2318"/>
      <c r="I87" s="2319"/>
      <c r="J87" s="837"/>
    </row>
    <row r="88" spans="1:10" ht="27.95" customHeight="1">
      <c r="A88" s="2349"/>
      <c r="B88" s="2496"/>
      <c r="C88" s="2341"/>
      <c r="D88" s="2320">
        <f>'BS old'!E47</f>
        <v>0</v>
      </c>
      <c r="E88" s="2320"/>
      <c r="F88" s="2320"/>
      <c r="G88" s="840"/>
      <c r="H88" s="2317">
        <f>'BS old'!G47</f>
        <v>0</v>
      </c>
      <c r="I88" s="2318"/>
      <c r="J88" s="2321"/>
    </row>
    <row r="89" spans="1:10" s="450" customFormat="1" ht="27.95" customHeight="1">
      <c r="A89" s="2361" t="s">
        <v>616</v>
      </c>
      <c r="B89" s="2477" t="s">
        <v>1626</v>
      </c>
      <c r="C89" s="2341" t="s">
        <v>921</v>
      </c>
      <c r="D89" s="2320">
        <f>'BS old'!D48</f>
        <v>0</v>
      </c>
      <c r="E89" s="2320"/>
      <c r="F89" s="2317"/>
      <c r="G89" s="2317">
        <f>'BS old'!F48</f>
        <v>0</v>
      </c>
      <c r="H89" s="2318"/>
      <c r="I89" s="2319"/>
      <c r="J89" s="837"/>
    </row>
    <row r="90" spans="1:10" s="450" customFormat="1" ht="27.95" customHeight="1">
      <c r="A90" s="2348"/>
      <c r="B90" s="2338"/>
      <c r="C90" s="2341"/>
      <c r="D90" s="2320">
        <f>'BS old'!E48</f>
        <v>0</v>
      </c>
      <c r="E90" s="2320"/>
      <c r="F90" s="2320"/>
      <c r="G90" s="840"/>
      <c r="H90" s="2317">
        <f>'BS old'!G48</f>
        <v>0</v>
      </c>
      <c r="I90" s="2318"/>
      <c r="J90" s="2321"/>
    </row>
    <row r="91" spans="1:10" s="450" customFormat="1" ht="27.95" customHeight="1">
      <c r="A91" s="2337" t="s">
        <v>532</v>
      </c>
      <c r="B91" s="2339" t="s">
        <v>1627</v>
      </c>
      <c r="C91" s="2341" t="s">
        <v>924</v>
      </c>
      <c r="D91" s="2320">
        <f>'BS old'!D49</f>
        <v>0</v>
      </c>
      <c r="E91" s="2320"/>
      <c r="F91" s="2317"/>
      <c r="G91" s="2317">
        <f>'BS old'!F49</f>
        <v>0</v>
      </c>
      <c r="H91" s="2318"/>
      <c r="I91" s="2319"/>
      <c r="J91" s="837"/>
    </row>
    <row r="92" spans="1:10" s="450" customFormat="1" ht="27.95" customHeight="1">
      <c r="A92" s="2337"/>
      <c r="B92" s="2339"/>
      <c r="C92" s="2341"/>
      <c r="D92" s="2320">
        <f>'BS old'!E49</f>
        <v>0</v>
      </c>
      <c r="E92" s="2320"/>
      <c r="F92" s="2320"/>
      <c r="G92" s="840"/>
      <c r="H92" s="2317">
        <f>'BS old'!G49</f>
        <v>0</v>
      </c>
      <c r="I92" s="2318"/>
      <c r="J92" s="2321"/>
    </row>
    <row r="93" spans="1:10" ht="27.95" customHeight="1">
      <c r="A93" s="2337" t="s">
        <v>535</v>
      </c>
      <c r="B93" s="2477" t="s">
        <v>1628</v>
      </c>
      <c r="C93" s="2341" t="s">
        <v>927</v>
      </c>
      <c r="D93" s="2320">
        <f>'BS old'!D50</f>
        <v>0</v>
      </c>
      <c r="E93" s="2320"/>
      <c r="F93" s="2317"/>
      <c r="G93" s="2317">
        <f>'BS old'!F50</f>
        <v>0</v>
      </c>
      <c r="H93" s="2318"/>
      <c r="I93" s="2319"/>
      <c r="J93" s="837"/>
    </row>
    <row r="94" spans="1:10" ht="27.95" customHeight="1" thickBot="1">
      <c r="A94" s="2337"/>
      <c r="B94" s="2338"/>
      <c r="C94" s="2341"/>
      <c r="D94" s="2320">
        <f>'BS old'!E50</f>
        <v>0</v>
      </c>
      <c r="E94" s="2320"/>
      <c r="F94" s="2320"/>
      <c r="G94" s="809"/>
      <c r="H94" s="2317">
        <f>'BS old'!G50</f>
        <v>0</v>
      </c>
      <c r="I94" s="2318"/>
      <c r="J94" s="2321"/>
    </row>
    <row r="95" spans="1:10" ht="11.25" customHeight="1">
      <c r="A95" s="2502" t="s">
        <v>1582</v>
      </c>
      <c r="B95" s="2503" t="s">
        <v>1583</v>
      </c>
      <c r="C95" s="2504" t="s">
        <v>1584</v>
      </c>
      <c r="D95" s="2322" t="s">
        <v>1585</v>
      </c>
      <c r="E95" s="2381"/>
      <c r="F95" s="2381"/>
      <c r="G95" s="2381"/>
      <c r="H95" s="2326"/>
      <c r="I95" s="2384" t="s">
        <v>1563</v>
      </c>
      <c r="J95" s="2385"/>
    </row>
    <row r="96" spans="1:10" ht="11.25" customHeight="1">
      <c r="A96" s="2471"/>
      <c r="B96" s="2472"/>
      <c r="C96" s="2473"/>
      <c r="D96" s="2364">
        <v>1</v>
      </c>
      <c r="E96" s="2332" t="s">
        <v>1586</v>
      </c>
      <c r="F96" s="2392"/>
      <c r="G96" s="2663" t="s">
        <v>1178</v>
      </c>
      <c r="H96" s="2664"/>
      <c r="I96" s="2324"/>
      <c r="J96" s="2325"/>
    </row>
    <row r="97" spans="1:12" ht="12" customHeight="1">
      <c r="A97" s="2334"/>
      <c r="B97" s="2342"/>
      <c r="C97" s="2344"/>
      <c r="D97" s="2474"/>
      <c r="E97" s="2332" t="s">
        <v>1587</v>
      </c>
      <c r="F97" s="2392"/>
      <c r="G97" s="2665"/>
      <c r="H97" s="2666"/>
      <c r="I97" s="2332" t="s">
        <v>1176</v>
      </c>
      <c r="J97" s="2333"/>
    </row>
    <row r="98" spans="1:12" ht="27.95" customHeight="1">
      <c r="A98" s="2337" t="s">
        <v>538</v>
      </c>
      <c r="B98" s="2477" t="s">
        <v>1629</v>
      </c>
      <c r="C98" s="2340" t="s">
        <v>930</v>
      </c>
      <c r="D98" s="2320">
        <f>'BS old'!D51</f>
        <v>0</v>
      </c>
      <c r="E98" s="2320"/>
      <c r="F98" s="2320"/>
      <c r="G98" s="2317">
        <f>'BS old'!F51</f>
        <v>0</v>
      </c>
      <c r="H98" s="2318"/>
      <c r="I98" s="2319"/>
      <c r="J98" s="837"/>
      <c r="L98" s="502" t="s">
        <v>1093</v>
      </c>
    </row>
    <row r="99" spans="1:12" ht="27.95" customHeight="1">
      <c r="A99" s="2337"/>
      <c r="B99" s="2338"/>
      <c r="C99" s="2341"/>
      <c r="D99" s="2320">
        <f>'BS old'!E51</f>
        <v>0</v>
      </c>
      <c r="E99" s="2320"/>
      <c r="F99" s="2320"/>
      <c r="G99" s="838"/>
      <c r="H99" s="2317">
        <f>'BS old'!G51</f>
        <v>0</v>
      </c>
      <c r="I99" s="2318"/>
      <c r="J99" s="2321"/>
    </row>
    <row r="100" spans="1:12" ht="27.95" customHeight="1">
      <c r="A100" s="2337" t="s">
        <v>541</v>
      </c>
      <c r="B100" s="2477" t="s">
        <v>1630</v>
      </c>
      <c r="C100" s="2341" t="s">
        <v>933</v>
      </c>
      <c r="D100" s="2320">
        <f>'BS old'!D52</f>
        <v>0</v>
      </c>
      <c r="E100" s="2320"/>
      <c r="F100" s="2320"/>
      <c r="G100" s="2317">
        <f>'BS old'!F52</f>
        <v>0</v>
      </c>
      <c r="H100" s="2318"/>
      <c r="I100" s="2319"/>
      <c r="J100" s="837"/>
    </row>
    <row r="101" spans="1:12" ht="27.95" customHeight="1">
      <c r="A101" s="2337"/>
      <c r="B101" s="2338"/>
      <c r="C101" s="2341"/>
      <c r="D101" s="2320">
        <f>'BS old'!E52</f>
        <v>0</v>
      </c>
      <c r="E101" s="2320"/>
      <c r="F101" s="2320"/>
      <c r="G101" s="838"/>
      <c r="H101" s="2317">
        <f>'BS old'!G52</f>
        <v>0</v>
      </c>
      <c r="I101" s="2318"/>
      <c r="J101" s="2321"/>
    </row>
    <row r="102" spans="1:12" ht="27.95" customHeight="1">
      <c r="A102" s="2337" t="s">
        <v>544</v>
      </c>
      <c r="B102" s="2477" t="s">
        <v>1631</v>
      </c>
      <c r="C102" s="2340" t="s">
        <v>936</v>
      </c>
      <c r="D102" s="2320">
        <f>'BS old'!D53</f>
        <v>0</v>
      </c>
      <c r="E102" s="2320"/>
      <c r="F102" s="2320"/>
      <c r="G102" s="2317">
        <f>'BS old'!F53</f>
        <v>0</v>
      </c>
      <c r="H102" s="2318"/>
      <c r="I102" s="2319"/>
      <c r="J102" s="837"/>
    </row>
    <row r="103" spans="1:12" ht="27.95" customHeight="1">
      <c r="A103" s="2337"/>
      <c r="B103" s="2338"/>
      <c r="C103" s="2341"/>
      <c r="D103" s="2320">
        <f>'BS old'!E53</f>
        <v>0</v>
      </c>
      <c r="E103" s="2320"/>
      <c r="F103" s="2320"/>
      <c r="G103" s="838"/>
      <c r="H103" s="2317">
        <f>'BS old'!G53</f>
        <v>0</v>
      </c>
      <c r="I103" s="2318"/>
      <c r="J103" s="2321"/>
    </row>
    <row r="104" spans="1:12" ht="27.95" customHeight="1">
      <c r="A104" s="2337" t="s">
        <v>547</v>
      </c>
      <c r="B104" s="2477" t="s">
        <v>1632</v>
      </c>
      <c r="C104" s="2341" t="s">
        <v>939</v>
      </c>
      <c r="D104" s="2320">
        <f>'BS old'!D54</f>
        <v>0</v>
      </c>
      <c r="E104" s="2320"/>
      <c r="F104" s="2320"/>
      <c r="G104" s="2317">
        <f>'BS old'!F54</f>
        <v>0</v>
      </c>
      <c r="H104" s="2318"/>
      <c r="I104" s="2319"/>
      <c r="J104" s="837"/>
    </row>
    <row r="105" spans="1:12" ht="27.95" customHeight="1">
      <c r="A105" s="2337"/>
      <c r="B105" s="2338"/>
      <c r="C105" s="2341"/>
      <c r="D105" s="2320">
        <f>'BS old'!E54</f>
        <v>0</v>
      </c>
      <c r="E105" s="2320"/>
      <c r="F105" s="2320"/>
      <c r="G105" s="838"/>
      <c r="H105" s="2317">
        <f>'BS old'!G54</f>
        <v>0</v>
      </c>
      <c r="I105" s="2318"/>
      <c r="J105" s="2321"/>
    </row>
    <row r="106" spans="1:12" ht="27.95" customHeight="1">
      <c r="A106" s="2355" t="s">
        <v>631</v>
      </c>
      <c r="B106" s="2667" t="s">
        <v>1633</v>
      </c>
      <c r="C106" s="2340" t="s">
        <v>941</v>
      </c>
      <c r="D106" s="2320">
        <f>'BS old'!D55</f>
        <v>0</v>
      </c>
      <c r="E106" s="2320"/>
      <c r="F106" s="2320"/>
      <c r="G106" s="2317">
        <f>'BS old'!F55</f>
        <v>0</v>
      </c>
      <c r="H106" s="2318"/>
      <c r="I106" s="2319"/>
      <c r="J106" s="837"/>
    </row>
    <row r="107" spans="1:12" ht="27.95" customHeight="1">
      <c r="A107" s="2353"/>
      <c r="B107" s="2350"/>
      <c r="C107" s="2341"/>
      <c r="D107" s="2320">
        <f>'BS old'!E55</f>
        <v>0</v>
      </c>
      <c r="E107" s="2320"/>
      <c r="F107" s="2320"/>
      <c r="G107" s="838"/>
      <c r="H107" s="2317">
        <f>'BS old'!G55</f>
        <v>0</v>
      </c>
      <c r="I107" s="2318"/>
      <c r="J107" s="2321"/>
    </row>
    <row r="108" spans="1:12" s="450" customFormat="1" ht="27.95" customHeight="1">
      <c r="A108" s="2365" t="s">
        <v>634</v>
      </c>
      <c r="B108" s="2477" t="s">
        <v>1634</v>
      </c>
      <c r="C108" s="2341" t="s">
        <v>944</v>
      </c>
      <c r="D108" s="2320">
        <f>'BS old'!D56</f>
        <v>0</v>
      </c>
      <c r="E108" s="2320"/>
      <c r="F108" s="2320"/>
      <c r="G108" s="2317">
        <f>'BS old'!F56</f>
        <v>0</v>
      </c>
      <c r="H108" s="2318"/>
      <c r="I108" s="2319"/>
      <c r="J108" s="837"/>
    </row>
    <row r="109" spans="1:12" s="450" customFormat="1" ht="27.95" customHeight="1">
      <c r="A109" s="2365"/>
      <c r="B109" s="2338"/>
      <c r="C109" s="2341"/>
      <c r="D109" s="2320">
        <f>'BS old'!E56</f>
        <v>0</v>
      </c>
      <c r="E109" s="2320"/>
      <c r="F109" s="2320"/>
      <c r="G109" s="838"/>
      <c r="H109" s="2317">
        <f>'BS old'!G56</f>
        <v>0</v>
      </c>
      <c r="I109" s="2318"/>
      <c r="J109" s="2321"/>
    </row>
    <row r="110" spans="1:12" s="450" customFormat="1" ht="27.95" customHeight="1">
      <c r="A110" s="2337" t="s">
        <v>532</v>
      </c>
      <c r="B110" s="2339" t="s">
        <v>1627</v>
      </c>
      <c r="C110" s="2340" t="s">
        <v>947</v>
      </c>
      <c r="D110" s="2320">
        <f>'BS old'!D57</f>
        <v>0</v>
      </c>
      <c r="E110" s="2320"/>
      <c r="F110" s="2320"/>
      <c r="G110" s="2317">
        <f>'BS old'!F57</f>
        <v>0</v>
      </c>
      <c r="H110" s="2318"/>
      <c r="I110" s="2319"/>
      <c r="J110" s="837"/>
    </row>
    <row r="111" spans="1:12" s="450" customFormat="1" ht="27.95" customHeight="1">
      <c r="A111" s="2337"/>
      <c r="B111" s="2339"/>
      <c r="C111" s="2341"/>
      <c r="D111" s="2320">
        <f>'BS old'!E57</f>
        <v>0</v>
      </c>
      <c r="E111" s="2320"/>
      <c r="F111" s="2320"/>
      <c r="G111" s="838"/>
      <c r="H111" s="2317">
        <f>'BS old'!G57</f>
        <v>0</v>
      </c>
      <c r="I111" s="2318"/>
      <c r="J111" s="2321"/>
    </row>
    <row r="112" spans="1:12" ht="27.95" customHeight="1">
      <c r="A112" s="2337" t="s">
        <v>535</v>
      </c>
      <c r="B112" s="2477" t="s">
        <v>1628</v>
      </c>
      <c r="C112" s="2341" t="s">
        <v>950</v>
      </c>
      <c r="D112" s="2320">
        <f>'BS old'!D58</f>
        <v>0</v>
      </c>
      <c r="E112" s="2320"/>
      <c r="F112" s="2320"/>
      <c r="G112" s="2317">
        <f>'BS old'!F58</f>
        <v>0</v>
      </c>
      <c r="H112" s="2318"/>
      <c r="I112" s="2319"/>
      <c r="J112" s="837"/>
    </row>
    <row r="113" spans="1:10" ht="27.95" customHeight="1">
      <c r="A113" s="2337"/>
      <c r="B113" s="2338"/>
      <c r="C113" s="2341"/>
      <c r="D113" s="2320">
        <f>'BS old'!E58</f>
        <v>0</v>
      </c>
      <c r="E113" s="2320"/>
      <c r="F113" s="2320"/>
      <c r="G113" s="838"/>
      <c r="H113" s="2317">
        <f>'BS old'!G58</f>
        <v>0</v>
      </c>
      <c r="I113" s="2318"/>
      <c r="J113" s="2321"/>
    </row>
    <row r="114" spans="1:10" ht="27.95" customHeight="1">
      <c r="A114" s="2337" t="s">
        <v>538</v>
      </c>
      <c r="B114" s="2477" t="s">
        <v>1629</v>
      </c>
      <c r="C114" s="2340" t="s">
        <v>952</v>
      </c>
      <c r="D114" s="2320">
        <f>'BS old'!D59</f>
        <v>0</v>
      </c>
      <c r="E114" s="2320"/>
      <c r="F114" s="2320"/>
      <c r="G114" s="2317">
        <f>'BS old'!F59</f>
        <v>0</v>
      </c>
      <c r="H114" s="2318"/>
      <c r="I114" s="2319"/>
      <c r="J114" s="837"/>
    </row>
    <row r="115" spans="1:10" ht="27.95" customHeight="1">
      <c r="A115" s="2337"/>
      <c r="B115" s="2338"/>
      <c r="C115" s="2341"/>
      <c r="D115" s="2320">
        <f>'BS old'!E59</f>
        <v>0</v>
      </c>
      <c r="E115" s="2320"/>
      <c r="F115" s="2320"/>
      <c r="G115" s="838"/>
      <c r="H115" s="2317">
        <f>'BS old'!G59</f>
        <v>0</v>
      </c>
      <c r="I115" s="2318"/>
      <c r="J115" s="2321"/>
    </row>
    <row r="116" spans="1:10" ht="27.95" customHeight="1">
      <c r="A116" s="2337" t="s">
        <v>541</v>
      </c>
      <c r="B116" s="2477" t="s">
        <v>1635</v>
      </c>
      <c r="C116" s="2341" t="s">
        <v>954</v>
      </c>
      <c r="D116" s="2320">
        <f>'BS old'!D60</f>
        <v>0</v>
      </c>
      <c r="E116" s="2320"/>
      <c r="F116" s="2320"/>
      <c r="G116" s="2317">
        <f>'BS old'!F60</f>
        <v>0</v>
      </c>
      <c r="H116" s="2318"/>
      <c r="I116" s="2319"/>
      <c r="J116" s="837"/>
    </row>
    <row r="117" spans="1:10" ht="27.95" customHeight="1">
      <c r="A117" s="2337"/>
      <c r="B117" s="2338"/>
      <c r="C117" s="2341"/>
      <c r="D117" s="2320">
        <f>'BS old'!E60</f>
        <v>0</v>
      </c>
      <c r="E117" s="2320"/>
      <c r="F117" s="2320"/>
      <c r="G117" s="838"/>
      <c r="H117" s="2317">
        <f>'BS old'!G60</f>
        <v>0</v>
      </c>
      <c r="I117" s="2318"/>
      <c r="J117" s="2321"/>
    </row>
    <row r="118" spans="1:10" ht="27.95" customHeight="1">
      <c r="A118" s="2337" t="s">
        <v>544</v>
      </c>
      <c r="B118" s="2477" t="s">
        <v>1636</v>
      </c>
      <c r="C118" s="2340" t="s">
        <v>957</v>
      </c>
      <c r="D118" s="2320">
        <f>'BS old'!D61</f>
        <v>0</v>
      </c>
      <c r="E118" s="2320"/>
      <c r="F118" s="2320"/>
      <c r="G118" s="2317">
        <f>'BS old'!F61</f>
        <v>0</v>
      </c>
      <c r="H118" s="2318"/>
      <c r="I118" s="2319"/>
      <c r="J118" s="837"/>
    </row>
    <row r="119" spans="1:10" ht="27.95" customHeight="1">
      <c r="A119" s="2337"/>
      <c r="B119" s="2338"/>
      <c r="C119" s="2341"/>
      <c r="D119" s="2320">
        <f>'BS old'!E61</f>
        <v>0</v>
      </c>
      <c r="E119" s="2320"/>
      <c r="F119" s="2320"/>
      <c r="G119" s="838"/>
      <c r="H119" s="2317">
        <f>'BS old'!G61</f>
        <v>0</v>
      </c>
      <c r="I119" s="2318"/>
      <c r="J119" s="2321"/>
    </row>
    <row r="120" spans="1:10" ht="27.95" customHeight="1">
      <c r="A120" s="2337" t="s">
        <v>547</v>
      </c>
      <c r="B120" s="2477" t="s">
        <v>1637</v>
      </c>
      <c r="C120" s="2341" t="s">
        <v>960</v>
      </c>
      <c r="D120" s="2320">
        <f>'BS old'!D62</f>
        <v>0</v>
      </c>
      <c r="E120" s="2320"/>
      <c r="F120" s="2320"/>
      <c r="G120" s="2317">
        <f>'BS old'!F62</f>
        <v>0</v>
      </c>
      <c r="H120" s="2318"/>
      <c r="I120" s="2319"/>
      <c r="J120" s="837"/>
    </row>
    <row r="121" spans="1:10" ht="27.95" customHeight="1">
      <c r="A121" s="2337"/>
      <c r="B121" s="2338"/>
      <c r="C121" s="2341"/>
      <c r="D121" s="2320">
        <f>'BS old'!E62</f>
        <v>0</v>
      </c>
      <c r="E121" s="2320"/>
      <c r="F121" s="2320"/>
      <c r="G121" s="838"/>
      <c r="H121" s="2317">
        <f>'BS old'!G62</f>
        <v>0</v>
      </c>
      <c r="I121" s="2318"/>
      <c r="J121" s="2321"/>
    </row>
    <row r="122" spans="1:10" ht="27.95" customHeight="1">
      <c r="A122" s="2337" t="s">
        <v>568</v>
      </c>
      <c r="B122" s="2477" t="s">
        <v>1631</v>
      </c>
      <c r="C122" s="2340" t="s">
        <v>962</v>
      </c>
      <c r="D122" s="2320">
        <f>'BS old'!D63</f>
        <v>0</v>
      </c>
      <c r="E122" s="2320"/>
      <c r="F122" s="2320"/>
      <c r="G122" s="2317">
        <f>'BS old'!F63</f>
        <v>0</v>
      </c>
      <c r="H122" s="2318"/>
      <c r="I122" s="2319"/>
      <c r="J122" s="837"/>
    </row>
    <row r="123" spans="1:10" ht="27.95" customHeight="1">
      <c r="A123" s="2337"/>
      <c r="B123" s="2338"/>
      <c r="C123" s="2341"/>
      <c r="D123" s="2320">
        <f>'BS old'!E63</f>
        <v>0</v>
      </c>
      <c r="E123" s="2320"/>
      <c r="F123" s="2320"/>
      <c r="G123" s="838"/>
      <c r="H123" s="2317">
        <f>'BS old'!G63</f>
        <v>0</v>
      </c>
      <c r="I123" s="2318"/>
      <c r="J123" s="2321"/>
    </row>
    <row r="124" spans="1:10" ht="27.95" customHeight="1">
      <c r="A124" s="2352" t="s">
        <v>649</v>
      </c>
      <c r="B124" s="2667" t="s">
        <v>1638</v>
      </c>
      <c r="C124" s="2341" t="s">
        <v>965</v>
      </c>
      <c r="D124" s="2476">
        <f>'BS old'!D64</f>
        <v>0</v>
      </c>
      <c r="E124" s="2476"/>
      <c r="F124" s="2476"/>
      <c r="G124" s="2317">
        <f>'BS old'!F64</f>
        <v>0</v>
      </c>
      <c r="H124" s="2318"/>
      <c r="I124" s="2319"/>
      <c r="J124" s="837"/>
    </row>
    <row r="125" spans="1:10" ht="27.95" customHeight="1">
      <c r="A125" s="2353"/>
      <c r="B125" s="2350"/>
      <c r="C125" s="2341"/>
      <c r="D125" s="2320">
        <f>'BS old'!E64</f>
        <v>0</v>
      </c>
      <c r="E125" s="2320"/>
      <c r="F125" s="2320"/>
      <c r="G125" s="838"/>
      <c r="H125" s="2317">
        <f>'BS old'!G64</f>
        <v>0</v>
      </c>
      <c r="I125" s="2318"/>
      <c r="J125" s="2321"/>
    </row>
    <row r="126" spans="1:10" s="450" customFormat="1" ht="27.95" customHeight="1">
      <c r="A126" s="2348" t="s">
        <v>652</v>
      </c>
      <c r="B126" s="2477" t="s">
        <v>1639</v>
      </c>
      <c r="C126" s="2340" t="s">
        <v>968</v>
      </c>
      <c r="D126" s="2320">
        <f>'BS old'!D65</f>
        <v>0</v>
      </c>
      <c r="E126" s="2320"/>
      <c r="F126" s="2320"/>
      <c r="G126" s="2317">
        <f>'BS old'!F65</f>
        <v>0</v>
      </c>
      <c r="H126" s="2318"/>
      <c r="I126" s="2319"/>
      <c r="J126" s="837"/>
    </row>
    <row r="127" spans="1:10" s="450" customFormat="1" ht="27.95" customHeight="1" thickBot="1">
      <c r="A127" s="2348"/>
      <c r="B127" s="2338"/>
      <c r="C127" s="2341"/>
      <c r="D127" s="2320">
        <f>'BS old'!E65</f>
        <v>0</v>
      </c>
      <c r="E127" s="2320"/>
      <c r="F127" s="2320"/>
      <c r="G127" s="810"/>
      <c r="H127" s="2317">
        <f>'BS old'!G65</f>
        <v>0</v>
      </c>
      <c r="I127" s="2318"/>
      <c r="J127" s="2321"/>
    </row>
    <row r="128" spans="1:10" ht="11.25" customHeight="1">
      <c r="A128" s="2502" t="s">
        <v>1582</v>
      </c>
      <c r="B128" s="2503" t="s">
        <v>1583</v>
      </c>
      <c r="C128" s="2504" t="s">
        <v>1584</v>
      </c>
      <c r="D128" s="2322" t="s">
        <v>1585</v>
      </c>
      <c r="E128" s="2381"/>
      <c r="F128" s="2381"/>
      <c r="G128" s="2381"/>
      <c r="H128" s="2326"/>
      <c r="I128" s="2384" t="s">
        <v>1563</v>
      </c>
      <c r="J128" s="2385"/>
    </row>
    <row r="129" spans="1:10" ht="11.25" customHeight="1">
      <c r="A129" s="2471"/>
      <c r="B129" s="2472"/>
      <c r="C129" s="2473"/>
      <c r="D129" s="2364">
        <v>1</v>
      </c>
      <c r="E129" s="2332" t="s">
        <v>1586</v>
      </c>
      <c r="F129" s="2392"/>
      <c r="G129" s="2663" t="s">
        <v>1178</v>
      </c>
      <c r="H129" s="2664"/>
      <c r="I129" s="2324"/>
      <c r="J129" s="2325"/>
    </row>
    <row r="130" spans="1:10" ht="11.25" customHeight="1">
      <c r="A130" s="2334"/>
      <c r="B130" s="2342"/>
      <c r="C130" s="2344"/>
      <c r="D130" s="2474"/>
      <c r="E130" s="2332" t="s">
        <v>1587</v>
      </c>
      <c r="F130" s="2392"/>
      <c r="G130" s="2665"/>
      <c r="H130" s="2666"/>
      <c r="I130" s="2332" t="s">
        <v>1176</v>
      </c>
      <c r="J130" s="2333"/>
    </row>
    <row r="131" spans="1:10" s="519" customFormat="1" ht="27.95" customHeight="1">
      <c r="A131" s="2337" t="s">
        <v>532</v>
      </c>
      <c r="B131" s="2477" t="s">
        <v>1640</v>
      </c>
      <c r="C131" s="2341" t="s">
        <v>656</v>
      </c>
      <c r="D131" s="2320">
        <f>'BS old'!D66</f>
        <v>0</v>
      </c>
      <c r="E131" s="2320"/>
      <c r="F131" s="2320"/>
      <c r="G131" s="2317">
        <f>'BS old'!F66</f>
        <v>0</v>
      </c>
      <c r="H131" s="2318"/>
      <c r="I131" s="2319"/>
      <c r="J131" s="520"/>
    </row>
    <row r="132" spans="1:10" s="519" customFormat="1" ht="27.95" customHeight="1">
      <c r="A132" s="2337"/>
      <c r="B132" s="2338"/>
      <c r="C132" s="2341"/>
      <c r="D132" s="2320">
        <f>'BS old'!E66</f>
        <v>0</v>
      </c>
      <c r="E132" s="2320"/>
      <c r="F132" s="2320"/>
      <c r="G132" s="839"/>
      <c r="H132" s="2317">
        <f>'BS old'!G66</f>
        <v>0</v>
      </c>
      <c r="I132" s="2318"/>
      <c r="J132" s="2321"/>
    </row>
    <row r="133" spans="1:10" s="519" customFormat="1" ht="27.95" customHeight="1">
      <c r="A133" s="2337" t="s">
        <v>535</v>
      </c>
      <c r="B133" s="2477" t="s">
        <v>1641</v>
      </c>
      <c r="C133" s="2341" t="s">
        <v>658</v>
      </c>
      <c r="D133" s="2320">
        <f>'BS old'!D67</f>
        <v>0</v>
      </c>
      <c r="E133" s="2320"/>
      <c r="F133" s="2320"/>
      <c r="G133" s="2317">
        <f>'BS old'!F67</f>
        <v>0</v>
      </c>
      <c r="H133" s="2318"/>
      <c r="I133" s="2319"/>
      <c r="J133" s="520"/>
    </row>
    <row r="134" spans="1:10" ht="27.95" customHeight="1">
      <c r="A134" s="2337"/>
      <c r="B134" s="2338"/>
      <c r="C134" s="2341"/>
      <c r="D134" s="2320">
        <f>'BS old'!E67</f>
        <v>0</v>
      </c>
      <c r="E134" s="2320"/>
      <c r="F134" s="2320"/>
      <c r="G134" s="839"/>
      <c r="H134" s="2317">
        <f>'BS old'!G67</f>
        <v>0</v>
      </c>
      <c r="I134" s="2318"/>
      <c r="J134" s="2321"/>
    </row>
    <row r="135" spans="1:10" ht="27.95" customHeight="1">
      <c r="A135" s="2337" t="s">
        <v>538</v>
      </c>
      <c r="B135" s="2477" t="s">
        <v>1642</v>
      </c>
      <c r="C135" s="2341" t="s">
        <v>660</v>
      </c>
      <c r="D135" s="2320">
        <f>'BS old'!D68</f>
        <v>0</v>
      </c>
      <c r="E135" s="2320"/>
      <c r="F135" s="2320"/>
      <c r="G135" s="2317">
        <f>'BS old'!F68</f>
        <v>0</v>
      </c>
      <c r="H135" s="2318"/>
      <c r="I135" s="2319"/>
      <c r="J135" s="837"/>
    </row>
    <row r="136" spans="1:10" ht="27.95" customHeight="1">
      <c r="A136" s="2337"/>
      <c r="B136" s="2338"/>
      <c r="C136" s="2341"/>
      <c r="D136" s="2320">
        <f>'BS old'!E68</f>
        <v>0</v>
      </c>
      <c r="E136" s="2320"/>
      <c r="F136" s="2320"/>
      <c r="G136" s="839"/>
      <c r="H136" s="2317">
        <f>'BS old'!G68</f>
        <v>0</v>
      </c>
      <c r="I136" s="2318"/>
      <c r="J136" s="2321"/>
    </row>
    <row r="137" spans="1:10" ht="27.95" customHeight="1">
      <c r="A137" s="2337" t="s">
        <v>541</v>
      </c>
      <c r="B137" s="2477" t="s">
        <v>1643</v>
      </c>
      <c r="C137" s="2341" t="s">
        <v>662</v>
      </c>
      <c r="D137" s="2320">
        <f>'BS old'!D69</f>
        <v>0</v>
      </c>
      <c r="E137" s="2320"/>
      <c r="F137" s="2320"/>
      <c r="G137" s="2317">
        <f>'BS old'!F69</f>
        <v>0</v>
      </c>
      <c r="H137" s="2318"/>
      <c r="I137" s="2319"/>
      <c r="J137" s="837"/>
    </row>
    <row r="138" spans="1:10" ht="27.95" customHeight="1">
      <c r="A138" s="2337"/>
      <c r="B138" s="2338"/>
      <c r="C138" s="2341"/>
      <c r="D138" s="2320">
        <f>'BS old'!E69</f>
        <v>0</v>
      </c>
      <c r="E138" s="2320"/>
      <c r="F138" s="2320"/>
      <c r="G138" s="839"/>
      <c r="H138" s="2317">
        <f>'BS old'!G69</f>
        <v>0</v>
      </c>
      <c r="I138" s="2318"/>
      <c r="J138" s="2321"/>
    </row>
    <row r="139" spans="1:10" ht="27.95" customHeight="1">
      <c r="A139" s="2349" t="s">
        <v>663</v>
      </c>
      <c r="B139" s="2662" t="s">
        <v>1644</v>
      </c>
      <c r="C139" s="2354" t="s">
        <v>665</v>
      </c>
      <c r="D139" s="2320">
        <f>'BS old'!D70</f>
        <v>0</v>
      </c>
      <c r="E139" s="2320"/>
      <c r="F139" s="2320"/>
      <c r="G139" s="2317">
        <f>'BS old'!F70</f>
        <v>0</v>
      </c>
      <c r="H139" s="2318"/>
      <c r="I139" s="2319"/>
      <c r="J139" s="837"/>
    </row>
    <row r="140" spans="1:10" ht="27.95" customHeight="1">
      <c r="A140" s="2349"/>
      <c r="B140" s="2496"/>
      <c r="C140" s="2354"/>
      <c r="D140" s="2320">
        <f>'BS old'!E70</f>
        <v>0</v>
      </c>
      <c r="E140" s="2320"/>
      <c r="F140" s="2320"/>
      <c r="G140" s="839"/>
      <c r="H140" s="2317">
        <f>'BS old'!G70</f>
        <v>0</v>
      </c>
      <c r="I140" s="2318"/>
      <c r="J140" s="2321"/>
    </row>
    <row r="141" spans="1:10" ht="27.95" customHeight="1">
      <c r="A141" s="2348" t="s">
        <v>666</v>
      </c>
      <c r="B141" s="2477" t="s">
        <v>1645</v>
      </c>
      <c r="C141" s="2341" t="s">
        <v>668</v>
      </c>
      <c r="D141" s="2320">
        <f>'BS old'!D71</f>
        <v>0</v>
      </c>
      <c r="E141" s="2320"/>
      <c r="F141" s="2320"/>
      <c r="G141" s="2317">
        <f>'BS old'!F71</f>
        <v>0</v>
      </c>
      <c r="H141" s="2318"/>
      <c r="I141" s="2319"/>
      <c r="J141" s="837"/>
    </row>
    <row r="142" spans="1:10" ht="27.95" customHeight="1">
      <c r="A142" s="2348"/>
      <c r="B142" s="2338"/>
      <c r="C142" s="2341"/>
      <c r="D142" s="2320">
        <f>'BS old'!E71</f>
        <v>0</v>
      </c>
      <c r="E142" s="2320"/>
      <c r="F142" s="2320"/>
      <c r="G142" s="839"/>
      <c r="H142" s="2317">
        <f>'BS old'!G71</f>
        <v>0</v>
      </c>
      <c r="I142" s="2318"/>
      <c r="J142" s="2321"/>
    </row>
    <row r="143" spans="1:10" ht="27.95" customHeight="1">
      <c r="A143" s="2337" t="s">
        <v>532</v>
      </c>
      <c r="B143" s="2477" t="s">
        <v>1646</v>
      </c>
      <c r="C143" s="2341" t="s">
        <v>670</v>
      </c>
      <c r="D143" s="2320">
        <f>'BS old'!D72</f>
        <v>0</v>
      </c>
      <c r="E143" s="2320"/>
      <c r="F143" s="2320"/>
      <c r="G143" s="2317">
        <f>'BS old'!F72</f>
        <v>0</v>
      </c>
      <c r="H143" s="2318"/>
      <c r="I143" s="2319"/>
      <c r="J143" s="837"/>
    </row>
    <row r="144" spans="1:10" s="450" customFormat="1" ht="27.95" customHeight="1">
      <c r="A144" s="2337"/>
      <c r="B144" s="2338"/>
      <c r="C144" s="2341"/>
      <c r="D144" s="2320">
        <f>'BS old'!E72</f>
        <v>0</v>
      </c>
      <c r="E144" s="2320"/>
      <c r="F144" s="2320"/>
      <c r="G144" s="839"/>
      <c r="H144" s="2317">
        <f>'BS old'!G72</f>
        <v>0</v>
      </c>
      <c r="I144" s="2318"/>
      <c r="J144" s="2321"/>
    </row>
    <row r="145" spans="1:10" s="450" customFormat="1" ht="27.95" customHeight="1">
      <c r="A145" s="2337" t="s">
        <v>535</v>
      </c>
      <c r="B145" s="2477" t="s">
        <v>1647</v>
      </c>
      <c r="C145" s="2341" t="s">
        <v>672</v>
      </c>
      <c r="D145" s="2320">
        <f>'BS old'!D73</f>
        <v>0</v>
      </c>
      <c r="E145" s="2320"/>
      <c r="F145" s="2320"/>
      <c r="G145" s="2317">
        <f>'BS old'!F73</f>
        <v>0</v>
      </c>
      <c r="H145" s="2318"/>
      <c r="I145" s="2319"/>
      <c r="J145" s="837"/>
    </row>
    <row r="146" spans="1:10" ht="27.95" customHeight="1">
      <c r="A146" s="2337"/>
      <c r="B146" s="2338"/>
      <c r="C146" s="2341"/>
      <c r="D146" s="2320">
        <f>'BS old'!E73</f>
        <v>0</v>
      </c>
      <c r="E146" s="2320"/>
      <c r="F146" s="2320"/>
      <c r="G146" s="839"/>
      <c r="H146" s="2317">
        <f>'BS old'!G73</f>
        <v>0</v>
      </c>
      <c r="I146" s="2318"/>
      <c r="J146" s="2321"/>
    </row>
    <row r="147" spans="1:10" ht="27.95" customHeight="1">
      <c r="A147" s="2337" t="s">
        <v>538</v>
      </c>
      <c r="B147" s="2477" t="s">
        <v>1648</v>
      </c>
      <c r="C147" s="2341" t="s">
        <v>674</v>
      </c>
      <c r="D147" s="2320">
        <f>'BS old'!D74</f>
        <v>0</v>
      </c>
      <c r="E147" s="2320"/>
      <c r="F147" s="2320"/>
      <c r="G147" s="2317">
        <f>'BS old'!F74</f>
        <v>0</v>
      </c>
      <c r="H147" s="2318"/>
      <c r="I147" s="2319"/>
      <c r="J147" s="837"/>
    </row>
    <row r="148" spans="1:10" s="515" customFormat="1" ht="27.95" customHeight="1">
      <c r="A148" s="2337"/>
      <c r="B148" s="2338"/>
      <c r="C148" s="2341"/>
      <c r="D148" s="2320">
        <f>'BS old'!E74</f>
        <v>0</v>
      </c>
      <c r="E148" s="2320"/>
      <c r="F148" s="2320"/>
      <c r="G148" s="810"/>
      <c r="H148" s="2317">
        <f>'BS old'!G74</f>
        <v>0</v>
      </c>
      <c r="I148" s="2318"/>
      <c r="J148" s="2321"/>
    </row>
    <row r="149" spans="1:10" s="515" customFormat="1" ht="30" customHeight="1">
      <c r="A149" s="518" t="s">
        <v>1582</v>
      </c>
      <c r="B149" s="2332" t="s">
        <v>1649</v>
      </c>
      <c r="C149" s="2391"/>
      <c r="D149" s="2391"/>
      <c r="E149" s="2392"/>
      <c r="F149" s="517" t="s">
        <v>1584</v>
      </c>
      <c r="G149" s="2332" t="s">
        <v>1650</v>
      </c>
      <c r="H149" s="2392"/>
      <c r="I149" s="2324" t="s">
        <v>1651</v>
      </c>
      <c r="J149" s="2325"/>
    </row>
    <row r="150" spans="1:10" s="515" customFormat="1" ht="27.75" customHeight="1">
      <c r="A150" s="516"/>
      <c r="B150" s="2459" t="s">
        <v>1652</v>
      </c>
      <c r="C150" s="2460"/>
      <c r="D150" s="2460"/>
      <c r="E150" s="2461"/>
      <c r="F150" s="814" t="s">
        <v>681</v>
      </c>
      <c r="G150" s="2317">
        <f>'BS old'!D81</f>
        <v>0</v>
      </c>
      <c r="H150" s="2319"/>
      <c r="I150" s="2317">
        <f>'BS old'!E81</f>
        <v>0</v>
      </c>
      <c r="J150" s="2321"/>
    </row>
    <row r="151" spans="1:10" s="515" customFormat="1" ht="27.75" customHeight="1">
      <c r="A151" s="813" t="s">
        <v>523</v>
      </c>
      <c r="B151" s="2459" t="s">
        <v>1653</v>
      </c>
      <c r="C151" s="2460"/>
      <c r="D151" s="2460"/>
      <c r="E151" s="2461"/>
      <c r="F151" s="814" t="s">
        <v>683</v>
      </c>
      <c r="G151" s="2317">
        <f>'BS old'!D82</f>
        <v>0</v>
      </c>
      <c r="H151" s="2319"/>
      <c r="I151" s="2317">
        <f>'BS old'!E82</f>
        <v>0</v>
      </c>
      <c r="J151" s="2321"/>
    </row>
    <row r="152" spans="1:10" ht="27.75" customHeight="1">
      <c r="A152" s="813" t="s">
        <v>526</v>
      </c>
      <c r="B152" s="2459" t="s">
        <v>1654</v>
      </c>
      <c r="C152" s="2460"/>
      <c r="D152" s="2460"/>
      <c r="E152" s="2461"/>
      <c r="F152" s="814" t="s">
        <v>685</v>
      </c>
      <c r="G152" s="2317">
        <f>'BS old'!D83</f>
        <v>0</v>
      </c>
      <c r="H152" s="2319"/>
      <c r="I152" s="2317">
        <f>'BS old'!E83</f>
        <v>0</v>
      </c>
      <c r="J152" s="2321"/>
    </row>
    <row r="153" spans="1:10" s="450" customFormat="1" ht="27.75" customHeight="1">
      <c r="A153" s="816" t="s">
        <v>529</v>
      </c>
      <c r="B153" s="2450" t="s">
        <v>1655</v>
      </c>
      <c r="C153" s="2451"/>
      <c r="D153" s="2451"/>
      <c r="E153" s="2452"/>
      <c r="F153" s="811" t="s">
        <v>687</v>
      </c>
      <c r="G153" s="2317">
        <f>'BS old'!D84</f>
        <v>0</v>
      </c>
      <c r="H153" s="2319"/>
      <c r="I153" s="2317">
        <f>'BS old'!E84</f>
        <v>0</v>
      </c>
      <c r="J153" s="2321"/>
    </row>
    <row r="154" spans="1:10" s="450" customFormat="1" ht="27.75" customHeight="1">
      <c r="A154" s="812" t="s">
        <v>532</v>
      </c>
      <c r="B154" s="2450" t="s">
        <v>1656</v>
      </c>
      <c r="C154" s="2451"/>
      <c r="D154" s="2451"/>
      <c r="E154" s="2452"/>
      <c r="F154" s="811" t="s">
        <v>689</v>
      </c>
      <c r="G154" s="2317">
        <f>'BS old'!D85</f>
        <v>0</v>
      </c>
      <c r="H154" s="2319"/>
      <c r="I154" s="2317">
        <f>'BS old'!E85</f>
        <v>0</v>
      </c>
      <c r="J154" s="2321"/>
    </row>
    <row r="155" spans="1:10" s="450" customFormat="1" ht="27.75" customHeight="1">
      <c r="A155" s="812" t="s">
        <v>535</v>
      </c>
      <c r="B155" s="2450" t="s">
        <v>1657</v>
      </c>
      <c r="C155" s="2451"/>
      <c r="D155" s="2451"/>
      <c r="E155" s="2452"/>
      <c r="F155" s="811" t="s">
        <v>691</v>
      </c>
      <c r="G155" s="2317">
        <f>'BS old'!D86</f>
        <v>0</v>
      </c>
      <c r="H155" s="2319"/>
      <c r="I155" s="2317">
        <f>'BS old'!E86</f>
        <v>0</v>
      </c>
      <c r="J155" s="2321"/>
    </row>
    <row r="156" spans="1:10" ht="27.75" customHeight="1">
      <c r="A156" s="812" t="s">
        <v>538</v>
      </c>
      <c r="B156" s="2450" t="s">
        <v>692</v>
      </c>
      <c r="C156" s="2451"/>
      <c r="D156" s="2451"/>
      <c r="E156" s="2452"/>
      <c r="F156" s="811" t="s">
        <v>693</v>
      </c>
      <c r="G156" s="2317">
        <f>'BS old'!D87</f>
        <v>0</v>
      </c>
      <c r="H156" s="2319"/>
      <c r="I156" s="2317">
        <f>'BS old'!E87</f>
        <v>0</v>
      </c>
      <c r="J156" s="2321"/>
    </row>
    <row r="157" spans="1:10" ht="27.75" customHeight="1">
      <c r="A157" s="813" t="s">
        <v>550</v>
      </c>
      <c r="B157" s="2459" t="s">
        <v>1658</v>
      </c>
      <c r="C157" s="2460"/>
      <c r="D157" s="2460"/>
      <c r="E157" s="2461"/>
      <c r="F157" s="814" t="s">
        <v>695</v>
      </c>
      <c r="G157" s="2317">
        <f>'BS old'!D88</f>
        <v>0</v>
      </c>
      <c r="H157" s="2319"/>
      <c r="I157" s="2317">
        <f>'BS old'!E88</f>
        <v>0</v>
      </c>
      <c r="J157" s="2321"/>
    </row>
    <row r="158" spans="1:10" ht="27.75" customHeight="1">
      <c r="A158" s="816" t="s">
        <v>553</v>
      </c>
      <c r="B158" s="2450" t="s">
        <v>1659</v>
      </c>
      <c r="C158" s="2451"/>
      <c r="D158" s="2451"/>
      <c r="E158" s="2452"/>
      <c r="F158" s="811" t="s">
        <v>697</v>
      </c>
      <c r="G158" s="2317">
        <f>'BS old'!D89</f>
        <v>0</v>
      </c>
      <c r="H158" s="2319"/>
      <c r="I158" s="2317">
        <f>'BS old'!E89</f>
        <v>0</v>
      </c>
      <c r="J158" s="2321"/>
    </row>
    <row r="159" spans="1:10" ht="27.75" customHeight="1">
      <c r="A159" s="812" t="s">
        <v>532</v>
      </c>
      <c r="B159" s="2450" t="s">
        <v>1660</v>
      </c>
      <c r="C159" s="2451"/>
      <c r="D159" s="2451"/>
      <c r="E159" s="2452"/>
      <c r="F159" s="811" t="s">
        <v>699</v>
      </c>
      <c r="G159" s="2317">
        <f>'BS old'!D90</f>
        <v>0</v>
      </c>
      <c r="H159" s="2319"/>
      <c r="I159" s="2317">
        <f>'BS old'!E90</f>
        <v>0</v>
      </c>
      <c r="J159" s="2321"/>
    </row>
    <row r="160" spans="1:10" s="450" customFormat="1" ht="27.75" customHeight="1">
      <c r="A160" s="812" t="s">
        <v>535</v>
      </c>
      <c r="B160" s="2450" t="s">
        <v>1661</v>
      </c>
      <c r="C160" s="2451"/>
      <c r="D160" s="2451"/>
      <c r="E160" s="2452"/>
      <c r="F160" s="811" t="s">
        <v>701</v>
      </c>
      <c r="G160" s="2317">
        <f>'BS old'!D91</f>
        <v>0</v>
      </c>
      <c r="H160" s="2319"/>
      <c r="I160" s="2317">
        <f>'BS old'!E91</f>
        <v>0</v>
      </c>
      <c r="J160" s="2321"/>
    </row>
    <row r="161" spans="1:10" ht="27.75" customHeight="1">
      <c r="A161" s="812" t="s">
        <v>538</v>
      </c>
      <c r="B161" s="2450" t="s">
        <v>1662</v>
      </c>
      <c r="C161" s="2451"/>
      <c r="D161" s="2451"/>
      <c r="E161" s="2452"/>
      <c r="F161" s="811" t="s">
        <v>703</v>
      </c>
      <c r="G161" s="2317">
        <f>'BS old'!D92</f>
        <v>0</v>
      </c>
      <c r="H161" s="2319"/>
      <c r="I161" s="2317">
        <f>'BS old'!E92</f>
        <v>0</v>
      </c>
      <c r="J161" s="2321"/>
    </row>
    <row r="162" spans="1:10" ht="27.75" customHeight="1">
      <c r="A162" s="812" t="s">
        <v>541</v>
      </c>
      <c r="B162" s="2450" t="s">
        <v>1663</v>
      </c>
      <c r="C162" s="2451"/>
      <c r="D162" s="2451"/>
      <c r="E162" s="2452"/>
      <c r="F162" s="811" t="s">
        <v>705</v>
      </c>
      <c r="G162" s="2317">
        <f>'BS old'!D93</f>
        <v>0</v>
      </c>
      <c r="H162" s="2319"/>
      <c r="I162" s="2317">
        <f>'BS old'!E93</f>
        <v>0</v>
      </c>
      <c r="J162" s="2321"/>
    </row>
    <row r="163" spans="1:10" ht="27.75" customHeight="1">
      <c r="A163" s="812" t="s">
        <v>544</v>
      </c>
      <c r="B163" s="2450" t="s">
        <v>1664</v>
      </c>
      <c r="C163" s="2451"/>
      <c r="D163" s="2451"/>
      <c r="E163" s="2452"/>
      <c r="F163" s="811" t="s">
        <v>707</v>
      </c>
      <c r="G163" s="2317">
        <f>'BS old'!D94</f>
        <v>0</v>
      </c>
      <c r="H163" s="2319"/>
      <c r="I163" s="2317">
        <f>'BS old'!E94</f>
        <v>0</v>
      </c>
      <c r="J163" s="2321"/>
    </row>
    <row r="164" spans="1:10" ht="27.75" customHeight="1">
      <c r="A164" s="813" t="s">
        <v>574</v>
      </c>
      <c r="B164" s="2459" t="s">
        <v>1665</v>
      </c>
      <c r="C164" s="2460"/>
      <c r="D164" s="2460"/>
      <c r="E164" s="2461"/>
      <c r="F164" s="814" t="s">
        <v>709</v>
      </c>
      <c r="G164" s="2317">
        <f>'BS old'!D95</f>
        <v>0</v>
      </c>
      <c r="H164" s="2319"/>
      <c r="I164" s="2317">
        <f>'BS old'!E95</f>
        <v>0</v>
      </c>
      <c r="J164" s="2321"/>
    </row>
    <row r="165" spans="1:10" ht="27.75" customHeight="1">
      <c r="A165" s="812" t="s">
        <v>577</v>
      </c>
      <c r="B165" s="2450" t="s">
        <v>1666</v>
      </c>
      <c r="C165" s="2451"/>
      <c r="D165" s="2451"/>
      <c r="E165" s="2452"/>
      <c r="F165" s="811" t="s">
        <v>711</v>
      </c>
      <c r="G165" s="2317">
        <f>'BS old'!D96</f>
        <v>0</v>
      </c>
      <c r="H165" s="2319"/>
      <c r="I165" s="2317">
        <f>'BS old'!E96</f>
        <v>0</v>
      </c>
      <c r="J165" s="2321"/>
    </row>
    <row r="166" spans="1:10" ht="27.75" customHeight="1">
      <c r="A166" s="812" t="s">
        <v>532</v>
      </c>
      <c r="B166" s="2450" t="s">
        <v>1667</v>
      </c>
      <c r="C166" s="2451"/>
      <c r="D166" s="2451"/>
      <c r="E166" s="2452"/>
      <c r="F166" s="811" t="s">
        <v>713</v>
      </c>
      <c r="G166" s="2317">
        <f>'BS old'!D97</f>
        <v>0</v>
      </c>
      <c r="H166" s="2319"/>
      <c r="I166" s="2317">
        <f>'BS old'!E97</f>
        <v>0</v>
      </c>
      <c r="J166" s="2321"/>
    </row>
    <row r="167" spans="1:10" s="450" customFormat="1" ht="27.75" customHeight="1">
      <c r="A167" s="812" t="s">
        <v>535</v>
      </c>
      <c r="B167" s="2450" t="s">
        <v>1668</v>
      </c>
      <c r="C167" s="2451"/>
      <c r="D167" s="2451"/>
      <c r="E167" s="2452"/>
      <c r="F167" s="811" t="s">
        <v>715</v>
      </c>
      <c r="G167" s="2317">
        <f>'BS old'!D98</f>
        <v>0</v>
      </c>
      <c r="H167" s="2319"/>
      <c r="I167" s="2317">
        <f>'BS old'!E98</f>
        <v>0</v>
      </c>
      <c r="J167" s="2321"/>
    </row>
    <row r="168" spans="1:10" ht="27.75" customHeight="1">
      <c r="A168" s="813" t="s">
        <v>716</v>
      </c>
      <c r="B168" s="2459" t="s">
        <v>1669</v>
      </c>
      <c r="C168" s="2460"/>
      <c r="D168" s="2460"/>
      <c r="E168" s="2461"/>
      <c r="F168" s="814" t="s">
        <v>718</v>
      </c>
      <c r="G168" s="2317">
        <f>'BS old'!D99</f>
        <v>0</v>
      </c>
      <c r="H168" s="2319"/>
      <c r="I168" s="2317">
        <f>'BS old'!E99</f>
        <v>0</v>
      </c>
      <c r="J168" s="2321"/>
    </row>
    <row r="169" spans="1:10" ht="27.75" customHeight="1">
      <c r="A169" s="514" t="s">
        <v>719</v>
      </c>
      <c r="B169" s="2450" t="s">
        <v>1670</v>
      </c>
      <c r="C169" s="2451"/>
      <c r="D169" s="2451"/>
      <c r="E169" s="2452"/>
      <c r="F169" s="811" t="s">
        <v>721</v>
      </c>
      <c r="G169" s="2317">
        <f>'BS old'!D100</f>
        <v>0</v>
      </c>
      <c r="H169" s="2319"/>
      <c r="I169" s="2317">
        <f>'BS old'!E100</f>
        <v>0</v>
      </c>
      <c r="J169" s="2321"/>
    </row>
    <row r="170" spans="1:10" ht="27.75" customHeight="1">
      <c r="A170" s="812" t="s">
        <v>532</v>
      </c>
      <c r="B170" s="2450" t="s">
        <v>1671</v>
      </c>
      <c r="C170" s="2451"/>
      <c r="D170" s="2451"/>
      <c r="E170" s="2452"/>
      <c r="F170" s="811" t="s">
        <v>723</v>
      </c>
      <c r="G170" s="2317">
        <f>'BS old'!D101</f>
        <v>0</v>
      </c>
      <c r="H170" s="2319"/>
      <c r="I170" s="2317">
        <f>'BS old'!E101</f>
        <v>0</v>
      </c>
      <c r="J170" s="2321"/>
    </row>
    <row r="171" spans="1:10" s="450" customFormat="1" ht="31.5" customHeight="1">
      <c r="A171" s="813" t="s">
        <v>724</v>
      </c>
      <c r="B171" s="2459" t="s">
        <v>1672</v>
      </c>
      <c r="C171" s="2460"/>
      <c r="D171" s="2460"/>
      <c r="E171" s="2461"/>
      <c r="F171" s="814" t="s">
        <v>726</v>
      </c>
      <c r="G171" s="2317">
        <f>'BS old'!D102</f>
        <v>0</v>
      </c>
      <c r="H171" s="2319"/>
      <c r="I171" s="2317">
        <f>'BS old'!E102</f>
        <v>0</v>
      </c>
      <c r="J171" s="2321"/>
    </row>
    <row r="172" spans="1:10" ht="27.75" customHeight="1">
      <c r="A172" s="813" t="s">
        <v>594</v>
      </c>
      <c r="B172" s="2459" t="s">
        <v>1673</v>
      </c>
      <c r="C172" s="2460"/>
      <c r="D172" s="2460"/>
      <c r="E172" s="2461"/>
      <c r="F172" s="814" t="s">
        <v>728</v>
      </c>
      <c r="G172" s="2317">
        <f>'BS old'!D103</f>
        <v>0</v>
      </c>
      <c r="H172" s="2319"/>
      <c r="I172" s="2317">
        <f>'BS old'!E103</f>
        <v>0</v>
      </c>
      <c r="J172" s="2321"/>
    </row>
    <row r="173" spans="1:10" ht="27.75" customHeight="1">
      <c r="A173" s="813" t="s">
        <v>597</v>
      </c>
      <c r="B173" s="2459" t="s">
        <v>1674</v>
      </c>
      <c r="C173" s="2460"/>
      <c r="D173" s="2460"/>
      <c r="E173" s="2461"/>
      <c r="F173" s="814" t="s">
        <v>730</v>
      </c>
      <c r="G173" s="2317">
        <f>'BS old'!D104</f>
        <v>0</v>
      </c>
      <c r="H173" s="2319"/>
      <c r="I173" s="2317">
        <f>'BS old'!E104</f>
        <v>0</v>
      </c>
      <c r="J173" s="2321"/>
    </row>
    <row r="174" spans="1:10" s="450" customFormat="1" ht="27.75" customHeight="1">
      <c r="A174" s="816" t="s">
        <v>600</v>
      </c>
      <c r="B174" s="2450" t="s">
        <v>1675</v>
      </c>
      <c r="C174" s="2451"/>
      <c r="D174" s="2451"/>
      <c r="E174" s="2452"/>
      <c r="F174" s="811" t="s">
        <v>732</v>
      </c>
      <c r="G174" s="2317">
        <f>'BS old'!D105</f>
        <v>0</v>
      </c>
      <c r="H174" s="2319"/>
      <c r="I174" s="2317">
        <f>'BS old'!E105</f>
        <v>0</v>
      </c>
      <c r="J174" s="2321"/>
    </row>
    <row r="175" spans="1:10" s="450" customFormat="1" ht="27.75" customHeight="1">
      <c r="A175" s="812" t="s">
        <v>532</v>
      </c>
      <c r="B175" s="2450" t="s">
        <v>1676</v>
      </c>
      <c r="C175" s="2451"/>
      <c r="D175" s="2451"/>
      <c r="E175" s="2452"/>
      <c r="F175" s="811" t="s">
        <v>734</v>
      </c>
      <c r="G175" s="2317">
        <f>'BS old'!D106</f>
        <v>0</v>
      </c>
      <c r="H175" s="2319"/>
      <c r="I175" s="2317">
        <f>'BS old'!E106</f>
        <v>0</v>
      </c>
      <c r="J175" s="2321"/>
    </row>
    <row r="176" spans="1:10" s="450" customFormat="1" ht="27.75" customHeight="1">
      <c r="A176" s="812" t="s">
        <v>535</v>
      </c>
      <c r="B176" s="2450" t="s">
        <v>1677</v>
      </c>
      <c r="C176" s="2451"/>
      <c r="D176" s="2451"/>
      <c r="E176" s="2452"/>
      <c r="F176" s="811" t="s">
        <v>736</v>
      </c>
      <c r="G176" s="2317">
        <f>'BS old'!D107</f>
        <v>0</v>
      </c>
      <c r="H176" s="2319"/>
      <c r="I176" s="2317">
        <f>'BS old'!E107</f>
        <v>0</v>
      </c>
      <c r="J176" s="2321"/>
    </row>
    <row r="177" spans="1:10" ht="27.75" customHeight="1">
      <c r="A177" s="812" t="s">
        <v>538</v>
      </c>
      <c r="B177" s="2450" t="s">
        <v>1678</v>
      </c>
      <c r="C177" s="2451"/>
      <c r="D177" s="2451"/>
      <c r="E177" s="2452"/>
      <c r="F177" s="811" t="s">
        <v>738</v>
      </c>
      <c r="G177" s="2317">
        <f>'BS old'!D108</f>
        <v>0</v>
      </c>
      <c r="H177" s="2319"/>
      <c r="I177" s="2317">
        <f>'BS old'!E108</f>
        <v>0</v>
      </c>
      <c r="J177" s="2321"/>
    </row>
    <row r="178" spans="1:10" ht="25.5" customHeight="1" thickBot="1">
      <c r="A178" s="512" t="s">
        <v>613</v>
      </c>
      <c r="B178" s="2668" t="s">
        <v>1679</v>
      </c>
      <c r="C178" s="2669"/>
      <c r="D178" s="2669"/>
      <c r="E178" s="2670"/>
      <c r="F178" s="511" t="s">
        <v>740</v>
      </c>
      <c r="G178" s="2456">
        <f>'BS old'!D109</f>
        <v>0</v>
      </c>
      <c r="H178" s="2457"/>
      <c r="I178" s="2456">
        <f>'BS old'!E109</f>
        <v>0</v>
      </c>
      <c r="J178" s="2458"/>
    </row>
    <row r="179" spans="1:10" ht="30" customHeight="1">
      <c r="A179" s="518" t="s">
        <v>1582</v>
      </c>
      <c r="B179" s="2332" t="s">
        <v>1649</v>
      </c>
      <c r="C179" s="2391"/>
      <c r="D179" s="2391"/>
      <c r="E179" s="2392"/>
      <c r="F179" s="517" t="s">
        <v>1584</v>
      </c>
      <c r="G179" s="2332" t="s">
        <v>1650</v>
      </c>
      <c r="H179" s="2392"/>
      <c r="I179" s="2324" t="s">
        <v>1651</v>
      </c>
      <c r="J179" s="2325"/>
    </row>
    <row r="180" spans="1:10" ht="27.75" customHeight="1">
      <c r="A180" s="816" t="s">
        <v>616</v>
      </c>
      <c r="B180" s="2450" t="s">
        <v>1680</v>
      </c>
      <c r="C180" s="2451"/>
      <c r="D180" s="2451"/>
      <c r="E180" s="2452"/>
      <c r="F180" s="811" t="s">
        <v>742</v>
      </c>
      <c r="G180" s="2317">
        <f>'BS old'!D110</f>
        <v>0</v>
      </c>
      <c r="H180" s="2319"/>
      <c r="I180" s="2317">
        <f>'BS old'!E110</f>
        <v>0</v>
      </c>
      <c r="J180" s="2321"/>
    </row>
    <row r="181" spans="1:10" ht="27.75" customHeight="1">
      <c r="A181" s="812" t="s">
        <v>532</v>
      </c>
      <c r="B181" s="2339" t="s">
        <v>1627</v>
      </c>
      <c r="C181" s="2375"/>
      <c r="D181" s="2375"/>
      <c r="E181" s="2375"/>
      <c r="F181" s="811" t="s">
        <v>743</v>
      </c>
      <c r="G181" s="2317">
        <f>'BS old'!D111</f>
        <v>0</v>
      </c>
      <c r="H181" s="2319"/>
      <c r="I181" s="2317">
        <f>'BS old'!E111</f>
        <v>0</v>
      </c>
      <c r="J181" s="2321"/>
    </row>
    <row r="182" spans="1:10" s="450" customFormat="1" ht="27.75" customHeight="1">
      <c r="A182" s="812" t="s">
        <v>535</v>
      </c>
      <c r="B182" s="2450" t="s">
        <v>1681</v>
      </c>
      <c r="C182" s="2451"/>
      <c r="D182" s="2451"/>
      <c r="E182" s="2452"/>
      <c r="F182" s="811" t="s">
        <v>745</v>
      </c>
      <c r="G182" s="2317">
        <f>'BS old'!D112</f>
        <v>0</v>
      </c>
      <c r="H182" s="2319"/>
      <c r="I182" s="2317">
        <f>'BS old'!E112</f>
        <v>0</v>
      </c>
      <c r="J182" s="2321"/>
    </row>
    <row r="183" spans="1:10" ht="27.75" customHeight="1">
      <c r="A183" s="812" t="s">
        <v>538</v>
      </c>
      <c r="B183" s="2450" t="s">
        <v>1682</v>
      </c>
      <c r="C183" s="2451"/>
      <c r="D183" s="2451"/>
      <c r="E183" s="2452"/>
      <c r="F183" s="811" t="s">
        <v>747</v>
      </c>
      <c r="G183" s="2317">
        <f>'BS old'!D113</f>
        <v>0</v>
      </c>
      <c r="H183" s="2319"/>
      <c r="I183" s="2317">
        <f>'BS old'!E113</f>
        <v>0</v>
      </c>
      <c r="J183" s="2321"/>
    </row>
    <row r="184" spans="1:10" ht="27.75" customHeight="1">
      <c r="A184" s="812" t="s">
        <v>541</v>
      </c>
      <c r="B184" s="2450" t="s">
        <v>1683</v>
      </c>
      <c r="C184" s="2451"/>
      <c r="D184" s="2451"/>
      <c r="E184" s="2452"/>
      <c r="F184" s="811" t="s">
        <v>749</v>
      </c>
      <c r="G184" s="2317">
        <f>'BS old'!D114</f>
        <v>0</v>
      </c>
      <c r="H184" s="2319"/>
      <c r="I184" s="2317">
        <f>'BS old'!E114</f>
        <v>0</v>
      </c>
      <c r="J184" s="2321"/>
    </row>
    <row r="185" spans="1:10" ht="27.75" customHeight="1">
      <c r="A185" s="812" t="s">
        <v>544</v>
      </c>
      <c r="B185" s="2450" t="s">
        <v>1684</v>
      </c>
      <c r="C185" s="2451"/>
      <c r="D185" s="2451"/>
      <c r="E185" s="2452"/>
      <c r="F185" s="811" t="s">
        <v>751</v>
      </c>
      <c r="G185" s="2317">
        <f>'BS old'!D115</f>
        <v>0</v>
      </c>
      <c r="H185" s="2319"/>
      <c r="I185" s="2317">
        <f>'BS old'!E115</f>
        <v>0</v>
      </c>
      <c r="J185" s="2321"/>
    </row>
    <row r="186" spans="1:10" ht="27.75" customHeight="1">
      <c r="A186" s="812" t="s">
        <v>547</v>
      </c>
      <c r="B186" s="2450" t="s">
        <v>1685</v>
      </c>
      <c r="C186" s="2451"/>
      <c r="D186" s="2451"/>
      <c r="E186" s="2452"/>
      <c r="F186" s="811" t="s">
        <v>753</v>
      </c>
      <c r="G186" s="2317">
        <f>'BS old'!D116</f>
        <v>0</v>
      </c>
      <c r="H186" s="2319"/>
      <c r="I186" s="2317">
        <f>'BS old'!E116</f>
        <v>0</v>
      </c>
      <c r="J186" s="2321"/>
    </row>
    <row r="187" spans="1:10" ht="27.75" customHeight="1">
      <c r="A187" s="812" t="s">
        <v>568</v>
      </c>
      <c r="B187" s="2450" t="s">
        <v>1686</v>
      </c>
      <c r="C187" s="2451"/>
      <c r="D187" s="2451"/>
      <c r="E187" s="2452"/>
      <c r="F187" s="811" t="s">
        <v>755</v>
      </c>
      <c r="G187" s="2317">
        <f>'BS old'!D117</f>
        <v>0</v>
      </c>
      <c r="H187" s="2319"/>
      <c r="I187" s="2317">
        <f>'BS old'!E117</f>
        <v>0</v>
      </c>
      <c r="J187" s="2321"/>
    </row>
    <row r="188" spans="1:10" ht="27.75" customHeight="1">
      <c r="A188" s="812" t="s">
        <v>571</v>
      </c>
      <c r="B188" s="2450" t="s">
        <v>1687</v>
      </c>
      <c r="C188" s="2451"/>
      <c r="D188" s="2451"/>
      <c r="E188" s="2452"/>
      <c r="F188" s="811" t="s">
        <v>757</v>
      </c>
      <c r="G188" s="2317">
        <f>'BS old'!D118</f>
        <v>0</v>
      </c>
      <c r="H188" s="2319"/>
      <c r="I188" s="2317">
        <f>'BS old'!E118</f>
        <v>0</v>
      </c>
      <c r="J188" s="2321"/>
    </row>
    <row r="189" spans="1:10" ht="27.75" customHeight="1">
      <c r="A189" s="812" t="s">
        <v>758</v>
      </c>
      <c r="B189" s="2450" t="s">
        <v>1688</v>
      </c>
      <c r="C189" s="2451"/>
      <c r="D189" s="2451"/>
      <c r="E189" s="2452"/>
      <c r="F189" s="811" t="s">
        <v>760</v>
      </c>
      <c r="G189" s="2317">
        <f>'BS old'!D119</f>
        <v>0</v>
      </c>
      <c r="H189" s="2319"/>
      <c r="I189" s="2317">
        <f>'BS old'!E119</f>
        <v>0</v>
      </c>
      <c r="J189" s="2321"/>
    </row>
    <row r="190" spans="1:10" ht="27.75" customHeight="1">
      <c r="A190" s="812" t="s">
        <v>761</v>
      </c>
      <c r="B190" s="2450" t="s">
        <v>1689</v>
      </c>
      <c r="C190" s="2451"/>
      <c r="D190" s="2451"/>
      <c r="E190" s="2452"/>
      <c r="F190" s="811" t="s">
        <v>763</v>
      </c>
      <c r="G190" s="2317">
        <f>'BS old'!D120</f>
        <v>0</v>
      </c>
      <c r="H190" s="2319"/>
      <c r="I190" s="2317">
        <f>'BS old'!E120</f>
        <v>0</v>
      </c>
      <c r="J190" s="2321"/>
    </row>
    <row r="191" spans="1:10" ht="27.75" customHeight="1">
      <c r="A191" s="813" t="s">
        <v>631</v>
      </c>
      <c r="B191" s="2459" t="s">
        <v>1690</v>
      </c>
      <c r="C191" s="2460"/>
      <c r="D191" s="2460"/>
      <c r="E191" s="2461"/>
      <c r="F191" s="811" t="s">
        <v>765</v>
      </c>
      <c r="G191" s="2317">
        <f>'BS old'!D121</f>
        <v>0</v>
      </c>
      <c r="H191" s="2319"/>
      <c r="I191" s="2317">
        <f>'BS old'!E121</f>
        <v>0</v>
      </c>
      <c r="J191" s="2321"/>
    </row>
    <row r="192" spans="1:10" ht="27.75" customHeight="1">
      <c r="A192" s="812" t="s">
        <v>634</v>
      </c>
      <c r="B192" s="2450" t="s">
        <v>1691</v>
      </c>
      <c r="C192" s="2451"/>
      <c r="D192" s="2451"/>
      <c r="E192" s="2452"/>
      <c r="F192" s="811" t="s">
        <v>767</v>
      </c>
      <c r="G192" s="2317">
        <f>'BS old'!D122</f>
        <v>0</v>
      </c>
      <c r="H192" s="2319"/>
      <c r="I192" s="2317">
        <f>'BS old'!E122</f>
        <v>0</v>
      </c>
      <c r="J192" s="2321"/>
    </row>
    <row r="193" spans="1:10" ht="27.75" customHeight="1">
      <c r="A193" s="812" t="s">
        <v>532</v>
      </c>
      <c r="B193" s="2339" t="s">
        <v>1627</v>
      </c>
      <c r="C193" s="2375"/>
      <c r="D193" s="2375"/>
      <c r="E193" s="2375"/>
      <c r="F193" s="811" t="s">
        <v>768</v>
      </c>
      <c r="G193" s="2317">
        <f>'BS old'!D123</f>
        <v>0</v>
      </c>
      <c r="H193" s="2319"/>
      <c r="I193" s="2317">
        <f>'BS old'!E123</f>
        <v>0</v>
      </c>
      <c r="J193" s="2321"/>
    </row>
    <row r="194" spans="1:10" ht="27.75" customHeight="1">
      <c r="A194" s="812" t="s">
        <v>535</v>
      </c>
      <c r="B194" s="2450" t="s">
        <v>1692</v>
      </c>
      <c r="C194" s="2451"/>
      <c r="D194" s="2451"/>
      <c r="E194" s="2452"/>
      <c r="F194" s="811" t="s">
        <v>770</v>
      </c>
      <c r="G194" s="2317">
        <f>'BS old'!D124</f>
        <v>0</v>
      </c>
      <c r="H194" s="2319"/>
      <c r="I194" s="2317">
        <f>'BS old'!E124</f>
        <v>0</v>
      </c>
      <c r="J194" s="2321"/>
    </row>
    <row r="195" spans="1:10" s="450" customFormat="1" ht="27.75" customHeight="1">
      <c r="A195" s="812" t="s">
        <v>538</v>
      </c>
      <c r="B195" s="2450" t="s">
        <v>1693</v>
      </c>
      <c r="C195" s="2451"/>
      <c r="D195" s="2451"/>
      <c r="E195" s="2452"/>
      <c r="F195" s="811" t="s">
        <v>772</v>
      </c>
      <c r="G195" s="2317">
        <f>'BS old'!D125</f>
        <v>0</v>
      </c>
      <c r="H195" s="2319"/>
      <c r="I195" s="2317">
        <f>'BS old'!E125</f>
        <v>0</v>
      </c>
      <c r="J195" s="2321"/>
    </row>
    <row r="196" spans="1:10" ht="27.75" customHeight="1">
      <c r="A196" s="812" t="s">
        <v>541</v>
      </c>
      <c r="B196" s="2450" t="s">
        <v>1694</v>
      </c>
      <c r="C196" s="2451"/>
      <c r="D196" s="2451"/>
      <c r="E196" s="2452"/>
      <c r="F196" s="811" t="s">
        <v>774</v>
      </c>
      <c r="G196" s="2317">
        <f>'BS old'!D126</f>
        <v>0</v>
      </c>
      <c r="H196" s="2319"/>
      <c r="I196" s="2317">
        <f>'BS old'!E126</f>
        <v>0</v>
      </c>
      <c r="J196" s="2321"/>
    </row>
    <row r="197" spans="1:10" ht="28.5" customHeight="1">
      <c r="A197" s="812" t="s">
        <v>544</v>
      </c>
      <c r="B197" s="2450" t="s">
        <v>1695</v>
      </c>
      <c r="C197" s="2451"/>
      <c r="D197" s="2451"/>
      <c r="E197" s="2452"/>
      <c r="F197" s="811" t="s">
        <v>776</v>
      </c>
      <c r="G197" s="2317">
        <f>'BS old'!D127</f>
        <v>0</v>
      </c>
      <c r="H197" s="2319"/>
      <c r="I197" s="2317">
        <f>'BS old'!E127</f>
        <v>0</v>
      </c>
      <c r="J197" s="2321"/>
    </row>
    <row r="198" spans="1:10" ht="27.75" customHeight="1">
      <c r="A198" s="812" t="s">
        <v>547</v>
      </c>
      <c r="B198" s="2450" t="s">
        <v>1696</v>
      </c>
      <c r="C198" s="2451"/>
      <c r="D198" s="2451"/>
      <c r="E198" s="2452"/>
      <c r="F198" s="811" t="s">
        <v>778</v>
      </c>
      <c r="G198" s="2317">
        <f>'BS old'!D128</f>
        <v>0</v>
      </c>
      <c r="H198" s="2319"/>
      <c r="I198" s="2317">
        <f>'BS old'!E128</f>
        <v>0</v>
      </c>
      <c r="J198" s="2321"/>
    </row>
    <row r="199" spans="1:10" ht="27.75" customHeight="1">
      <c r="A199" s="812" t="s">
        <v>568</v>
      </c>
      <c r="B199" s="2450" t="s">
        <v>1697</v>
      </c>
      <c r="C199" s="2451"/>
      <c r="D199" s="2451"/>
      <c r="E199" s="2452"/>
      <c r="F199" s="811" t="s">
        <v>780</v>
      </c>
      <c r="G199" s="2317">
        <f>'BS old'!D129</f>
        <v>0</v>
      </c>
      <c r="H199" s="2319"/>
      <c r="I199" s="2317">
        <f>'BS old'!E129</f>
        <v>0</v>
      </c>
      <c r="J199" s="2321"/>
    </row>
    <row r="200" spans="1:10" ht="27.75" customHeight="1">
      <c r="A200" s="812" t="s">
        <v>571</v>
      </c>
      <c r="B200" s="2450" t="s">
        <v>1698</v>
      </c>
      <c r="C200" s="2451"/>
      <c r="D200" s="2451"/>
      <c r="E200" s="2452"/>
      <c r="F200" s="811" t="s">
        <v>782</v>
      </c>
      <c r="G200" s="2317">
        <f>'BS old'!D130</f>
        <v>0</v>
      </c>
      <c r="H200" s="2319"/>
      <c r="I200" s="2317">
        <f>'BS old'!E130</f>
        <v>0</v>
      </c>
      <c r="J200" s="2321"/>
    </row>
    <row r="201" spans="1:10" ht="27.75" customHeight="1">
      <c r="A201" s="812" t="s">
        <v>758</v>
      </c>
      <c r="B201" s="2450" t="s">
        <v>1699</v>
      </c>
      <c r="C201" s="2451"/>
      <c r="D201" s="2451"/>
      <c r="E201" s="2452"/>
      <c r="F201" s="811" t="s">
        <v>784</v>
      </c>
      <c r="G201" s="2317">
        <f>'BS old'!D131</f>
        <v>0</v>
      </c>
      <c r="H201" s="2319"/>
      <c r="I201" s="2317">
        <f>'BS old'!E131</f>
        <v>0</v>
      </c>
      <c r="J201" s="2321"/>
    </row>
    <row r="202" spans="1:10" ht="27.75" customHeight="1">
      <c r="A202" s="813" t="s">
        <v>649</v>
      </c>
      <c r="B202" s="2459" t="s">
        <v>1700</v>
      </c>
      <c r="C202" s="2460"/>
      <c r="D202" s="2460"/>
      <c r="E202" s="2461"/>
      <c r="F202" s="811" t="s">
        <v>786</v>
      </c>
      <c r="G202" s="2317">
        <f>'BS old'!D132</f>
        <v>0</v>
      </c>
      <c r="H202" s="2319"/>
      <c r="I202" s="2317">
        <f>'BS old'!E132</f>
        <v>0</v>
      </c>
      <c r="J202" s="2321"/>
    </row>
    <row r="203" spans="1:10" ht="27.75" customHeight="1">
      <c r="A203" s="815" t="s">
        <v>787</v>
      </c>
      <c r="B203" s="2459" t="s">
        <v>1701</v>
      </c>
      <c r="C203" s="2460"/>
      <c r="D203" s="2460"/>
      <c r="E203" s="2461"/>
      <c r="F203" s="811" t="s">
        <v>789</v>
      </c>
      <c r="G203" s="2317">
        <f>'BS old'!D133</f>
        <v>0</v>
      </c>
      <c r="H203" s="2319"/>
      <c r="I203" s="2317">
        <f>'BS old'!E133</f>
        <v>0</v>
      </c>
      <c r="J203" s="2321"/>
    </row>
    <row r="204" spans="1:10" ht="27.75" customHeight="1">
      <c r="A204" s="812" t="s">
        <v>790</v>
      </c>
      <c r="B204" s="2450" t="s">
        <v>1702</v>
      </c>
      <c r="C204" s="2451"/>
      <c r="D204" s="2451"/>
      <c r="E204" s="2452"/>
      <c r="F204" s="811" t="s">
        <v>792</v>
      </c>
      <c r="G204" s="2317">
        <f>'BS old'!D134</f>
        <v>0</v>
      </c>
      <c r="H204" s="2319"/>
      <c r="I204" s="2317">
        <f>'BS old'!E134</f>
        <v>0</v>
      </c>
      <c r="J204" s="2321"/>
    </row>
    <row r="205" spans="1:10" s="450" customFormat="1" ht="27.75" customHeight="1">
      <c r="A205" s="812" t="s">
        <v>532</v>
      </c>
      <c r="B205" s="2450" t="s">
        <v>1703</v>
      </c>
      <c r="C205" s="2451"/>
      <c r="D205" s="2451"/>
      <c r="E205" s="2452"/>
      <c r="F205" s="811" t="s">
        <v>794</v>
      </c>
      <c r="G205" s="2317">
        <f>'BS old'!D135</f>
        <v>0</v>
      </c>
      <c r="H205" s="2319"/>
      <c r="I205" s="2317">
        <f>'BS old'!E135</f>
        <v>0</v>
      </c>
      <c r="J205" s="2321"/>
    </row>
    <row r="206" spans="1:10" ht="27.75" customHeight="1">
      <c r="A206" s="813" t="s">
        <v>663</v>
      </c>
      <c r="B206" s="2459" t="s">
        <v>1704</v>
      </c>
      <c r="C206" s="2460"/>
      <c r="D206" s="2460"/>
      <c r="E206" s="2461"/>
      <c r="F206" s="811" t="s">
        <v>796</v>
      </c>
      <c r="G206" s="2317">
        <f>'BS old'!D136</f>
        <v>0</v>
      </c>
      <c r="H206" s="2319"/>
      <c r="I206" s="2317">
        <f>'BS old'!E136</f>
        <v>0</v>
      </c>
      <c r="J206" s="2321"/>
    </row>
    <row r="207" spans="1:10" ht="27.75" customHeight="1">
      <c r="A207" s="816" t="s">
        <v>666</v>
      </c>
      <c r="B207" s="2450" t="s">
        <v>1705</v>
      </c>
      <c r="C207" s="2451"/>
      <c r="D207" s="2451"/>
      <c r="E207" s="2452"/>
      <c r="F207" s="811" t="s">
        <v>798</v>
      </c>
      <c r="G207" s="2317">
        <f>'BS old'!D137</f>
        <v>0</v>
      </c>
      <c r="H207" s="2319"/>
      <c r="I207" s="2317">
        <f>'BS old'!E137</f>
        <v>0</v>
      </c>
      <c r="J207" s="2321"/>
    </row>
    <row r="208" spans="1:10" ht="27.75" customHeight="1">
      <c r="A208" s="812" t="s">
        <v>532</v>
      </c>
      <c r="B208" s="2450" t="s">
        <v>1706</v>
      </c>
      <c r="C208" s="2451"/>
      <c r="D208" s="2451"/>
      <c r="E208" s="2452"/>
      <c r="F208" s="811" t="s">
        <v>800</v>
      </c>
      <c r="G208" s="2317">
        <f>'BS old'!D138</f>
        <v>0</v>
      </c>
      <c r="H208" s="2319"/>
      <c r="I208" s="2317">
        <f>'BS old'!E138</f>
        <v>0</v>
      </c>
      <c r="J208" s="2321"/>
    </row>
    <row r="209" spans="1:10" s="450" customFormat="1" ht="27.75" customHeight="1">
      <c r="A209" s="812" t="s">
        <v>535</v>
      </c>
      <c r="B209" s="2450" t="s">
        <v>1707</v>
      </c>
      <c r="C209" s="2451"/>
      <c r="D209" s="2451"/>
      <c r="E209" s="2452"/>
      <c r="F209" s="811" t="s">
        <v>802</v>
      </c>
      <c r="G209" s="2317">
        <f>'BS old'!D139</f>
        <v>0</v>
      </c>
      <c r="H209" s="2319"/>
      <c r="I209" s="2317">
        <f>'BS old'!E139</f>
        <v>0</v>
      </c>
      <c r="J209" s="2321"/>
    </row>
    <row r="210" spans="1:10" ht="27.75" customHeight="1" thickBot="1">
      <c r="A210" s="504" t="s">
        <v>538</v>
      </c>
      <c r="B210" s="2453" t="s">
        <v>1708</v>
      </c>
      <c r="C210" s="2454"/>
      <c r="D210" s="2454"/>
      <c r="E210" s="2455"/>
      <c r="F210" s="811" t="s">
        <v>804</v>
      </c>
      <c r="G210" s="2456">
        <f>'BS old'!D140</f>
        <v>0</v>
      </c>
      <c r="H210" s="2457"/>
      <c r="I210" s="2456">
        <f>'BS old'!E140</f>
        <v>0</v>
      </c>
      <c r="J210" s="2458"/>
    </row>
    <row r="211" spans="1:10" ht="24.75" customHeight="1"/>
    <row r="212" spans="1:10" ht="24.75" customHeight="1"/>
    <row r="213" spans="1:10" ht="24.75" customHeight="1"/>
  </sheetData>
  <mergeCells count="692">
    <mergeCell ref="B209:E209"/>
    <mergeCell ref="G209:H209"/>
    <mergeCell ref="I209:J209"/>
    <mergeCell ref="B210:E210"/>
    <mergeCell ref="G210:H210"/>
    <mergeCell ref="I210:J210"/>
    <mergeCell ref="B207:E207"/>
    <mergeCell ref="G207:H207"/>
    <mergeCell ref="I207:J207"/>
    <mergeCell ref="B208:E208"/>
    <mergeCell ref="G208:H208"/>
    <mergeCell ref="I208:J208"/>
    <mergeCell ref="B205:E205"/>
    <mergeCell ref="G205:H205"/>
    <mergeCell ref="I205:J205"/>
    <mergeCell ref="B206:E206"/>
    <mergeCell ref="G206:H206"/>
    <mergeCell ref="I206:J206"/>
    <mergeCell ref="B203:E203"/>
    <mergeCell ref="G203:H203"/>
    <mergeCell ref="I203:J203"/>
    <mergeCell ref="B204:E204"/>
    <mergeCell ref="G204:H204"/>
    <mergeCell ref="I204:J204"/>
    <mergeCell ref="B201:E201"/>
    <mergeCell ref="G201:H201"/>
    <mergeCell ref="I201:J201"/>
    <mergeCell ref="B202:E202"/>
    <mergeCell ref="G202:H202"/>
    <mergeCell ref="I202:J202"/>
    <mergeCell ref="B199:E199"/>
    <mergeCell ref="G199:H199"/>
    <mergeCell ref="I199:J199"/>
    <mergeCell ref="B200:E200"/>
    <mergeCell ref="G200:H200"/>
    <mergeCell ref="I200:J200"/>
    <mergeCell ref="B197:E197"/>
    <mergeCell ref="G197:H197"/>
    <mergeCell ref="I197:J197"/>
    <mergeCell ref="B198:E198"/>
    <mergeCell ref="G198:H198"/>
    <mergeCell ref="I198:J198"/>
    <mergeCell ref="B195:E195"/>
    <mergeCell ref="G195:H195"/>
    <mergeCell ref="I195:J195"/>
    <mergeCell ref="B196:E196"/>
    <mergeCell ref="G196:H196"/>
    <mergeCell ref="I196:J196"/>
    <mergeCell ref="B193:E193"/>
    <mergeCell ref="G193:H193"/>
    <mergeCell ref="I193:J193"/>
    <mergeCell ref="B194:E194"/>
    <mergeCell ref="G194:H194"/>
    <mergeCell ref="I194:J194"/>
    <mergeCell ref="B191:E191"/>
    <mergeCell ref="G191:H191"/>
    <mergeCell ref="I191:J191"/>
    <mergeCell ref="B192:E192"/>
    <mergeCell ref="G192:H192"/>
    <mergeCell ref="I192:J192"/>
    <mergeCell ref="B189:E189"/>
    <mergeCell ref="G189:H189"/>
    <mergeCell ref="I189:J189"/>
    <mergeCell ref="B190:E190"/>
    <mergeCell ref="G190:H190"/>
    <mergeCell ref="I190:J190"/>
    <mergeCell ref="B187:E187"/>
    <mergeCell ref="G187:H187"/>
    <mergeCell ref="I187:J187"/>
    <mergeCell ref="B188:E188"/>
    <mergeCell ref="G188:H188"/>
    <mergeCell ref="I188:J188"/>
    <mergeCell ref="B185:E185"/>
    <mergeCell ref="G185:H185"/>
    <mergeCell ref="I185:J185"/>
    <mergeCell ref="B186:E186"/>
    <mergeCell ref="G186:H186"/>
    <mergeCell ref="I186:J186"/>
    <mergeCell ref="B183:E183"/>
    <mergeCell ref="G183:H183"/>
    <mergeCell ref="I183:J183"/>
    <mergeCell ref="B184:E184"/>
    <mergeCell ref="G184:H184"/>
    <mergeCell ref="I184:J184"/>
    <mergeCell ref="B181:E181"/>
    <mergeCell ref="G181:H181"/>
    <mergeCell ref="I181:J181"/>
    <mergeCell ref="B182:E182"/>
    <mergeCell ref="G182:H182"/>
    <mergeCell ref="I182:J182"/>
    <mergeCell ref="B179:E179"/>
    <mergeCell ref="G179:H179"/>
    <mergeCell ref="I179:J179"/>
    <mergeCell ref="B180:E180"/>
    <mergeCell ref="G180:H180"/>
    <mergeCell ref="I180:J180"/>
    <mergeCell ref="B177:E177"/>
    <mergeCell ref="G177:H177"/>
    <mergeCell ref="I177:J177"/>
    <mergeCell ref="B178:E178"/>
    <mergeCell ref="G178:H178"/>
    <mergeCell ref="I178:J178"/>
    <mergeCell ref="B175:E175"/>
    <mergeCell ref="G175:H175"/>
    <mergeCell ref="I175:J175"/>
    <mergeCell ref="B176:E176"/>
    <mergeCell ref="G176:H176"/>
    <mergeCell ref="I176:J176"/>
    <mergeCell ref="B173:E173"/>
    <mergeCell ref="G173:H173"/>
    <mergeCell ref="I173:J173"/>
    <mergeCell ref="B174:E174"/>
    <mergeCell ref="G174:H174"/>
    <mergeCell ref="I174:J174"/>
    <mergeCell ref="B171:E171"/>
    <mergeCell ref="G171:H171"/>
    <mergeCell ref="I171:J171"/>
    <mergeCell ref="B172:E172"/>
    <mergeCell ref="G172:H172"/>
    <mergeCell ref="I172:J172"/>
    <mergeCell ref="B169:E169"/>
    <mergeCell ref="G169:H169"/>
    <mergeCell ref="I169:J169"/>
    <mergeCell ref="B170:E170"/>
    <mergeCell ref="G170:H170"/>
    <mergeCell ref="I170:J170"/>
    <mergeCell ref="B167:E167"/>
    <mergeCell ref="G167:H167"/>
    <mergeCell ref="I167:J167"/>
    <mergeCell ref="B168:E168"/>
    <mergeCell ref="G168:H168"/>
    <mergeCell ref="I168:J168"/>
    <mergeCell ref="B165:E165"/>
    <mergeCell ref="G165:H165"/>
    <mergeCell ref="I165:J165"/>
    <mergeCell ref="B166:E166"/>
    <mergeCell ref="G166:H166"/>
    <mergeCell ref="I166:J166"/>
    <mergeCell ref="B163:E163"/>
    <mergeCell ref="G163:H163"/>
    <mergeCell ref="I163:J163"/>
    <mergeCell ref="B164:E164"/>
    <mergeCell ref="G164:H164"/>
    <mergeCell ref="I164:J164"/>
    <mergeCell ref="B161:E161"/>
    <mergeCell ref="G161:H161"/>
    <mergeCell ref="I161:J161"/>
    <mergeCell ref="B162:E162"/>
    <mergeCell ref="G162:H162"/>
    <mergeCell ref="I162:J162"/>
    <mergeCell ref="B159:E159"/>
    <mergeCell ref="G159:H159"/>
    <mergeCell ref="I159:J159"/>
    <mergeCell ref="B160:E160"/>
    <mergeCell ref="G160:H160"/>
    <mergeCell ref="I160:J160"/>
    <mergeCell ref="B157:E157"/>
    <mergeCell ref="G157:H157"/>
    <mergeCell ref="I157:J157"/>
    <mergeCell ref="B158:E158"/>
    <mergeCell ref="G158:H158"/>
    <mergeCell ref="I158:J158"/>
    <mergeCell ref="B155:E155"/>
    <mergeCell ref="G155:H155"/>
    <mergeCell ref="I155:J155"/>
    <mergeCell ref="B156:E156"/>
    <mergeCell ref="G156:H156"/>
    <mergeCell ref="I156:J156"/>
    <mergeCell ref="B153:E153"/>
    <mergeCell ref="G153:H153"/>
    <mergeCell ref="I153:J153"/>
    <mergeCell ref="B154:E154"/>
    <mergeCell ref="G154:H154"/>
    <mergeCell ref="I154:J154"/>
    <mergeCell ref="B151:E151"/>
    <mergeCell ref="G151:H151"/>
    <mergeCell ref="I151:J151"/>
    <mergeCell ref="B152:E152"/>
    <mergeCell ref="G152:H152"/>
    <mergeCell ref="I152:J152"/>
    <mergeCell ref="B149:E149"/>
    <mergeCell ref="G149:H149"/>
    <mergeCell ref="I149:J149"/>
    <mergeCell ref="B150:E150"/>
    <mergeCell ref="G150:H150"/>
    <mergeCell ref="I150:J150"/>
    <mergeCell ref="A147:A148"/>
    <mergeCell ref="B147:B148"/>
    <mergeCell ref="C147:C148"/>
    <mergeCell ref="D147:F147"/>
    <mergeCell ref="G147:I147"/>
    <mergeCell ref="D148:F148"/>
    <mergeCell ref="H148:J148"/>
    <mergeCell ref="A145:A146"/>
    <mergeCell ref="B145:B146"/>
    <mergeCell ref="C145:C146"/>
    <mergeCell ref="D145:F145"/>
    <mergeCell ref="G145:I145"/>
    <mergeCell ref="D146:F146"/>
    <mergeCell ref="H146:J146"/>
    <mergeCell ref="A143:A144"/>
    <mergeCell ref="B143:B144"/>
    <mergeCell ref="C143:C144"/>
    <mergeCell ref="D143:F143"/>
    <mergeCell ref="G143:I143"/>
    <mergeCell ref="D144:F144"/>
    <mergeCell ref="H144:J144"/>
    <mergeCell ref="A141:A142"/>
    <mergeCell ref="B141:B142"/>
    <mergeCell ref="C141:C142"/>
    <mergeCell ref="D141:F141"/>
    <mergeCell ref="G141:I141"/>
    <mergeCell ref="D142:F142"/>
    <mergeCell ref="H142:J142"/>
    <mergeCell ref="A139:A140"/>
    <mergeCell ref="B139:B140"/>
    <mergeCell ref="C139:C140"/>
    <mergeCell ref="D139:F139"/>
    <mergeCell ref="G139:I139"/>
    <mergeCell ref="D140:F140"/>
    <mergeCell ref="H140:J140"/>
    <mergeCell ref="A137:A138"/>
    <mergeCell ref="B137:B138"/>
    <mergeCell ref="C137:C138"/>
    <mergeCell ref="D137:F137"/>
    <mergeCell ref="G137:I137"/>
    <mergeCell ref="D138:F138"/>
    <mergeCell ref="H138:J138"/>
    <mergeCell ref="A135:A136"/>
    <mergeCell ref="B135:B136"/>
    <mergeCell ref="C135:C136"/>
    <mergeCell ref="D135:F135"/>
    <mergeCell ref="G135:I135"/>
    <mergeCell ref="D136:F136"/>
    <mergeCell ref="H136:J136"/>
    <mergeCell ref="A133:A134"/>
    <mergeCell ref="B133:B134"/>
    <mergeCell ref="C133:C134"/>
    <mergeCell ref="D133:F133"/>
    <mergeCell ref="G133:I133"/>
    <mergeCell ref="D134:F134"/>
    <mergeCell ref="H134:J134"/>
    <mergeCell ref="A131:A132"/>
    <mergeCell ref="B131:B132"/>
    <mergeCell ref="C131:C132"/>
    <mergeCell ref="D131:F131"/>
    <mergeCell ref="G131:I131"/>
    <mergeCell ref="D132:F132"/>
    <mergeCell ref="H132:J132"/>
    <mergeCell ref="A128:A130"/>
    <mergeCell ref="B128:B130"/>
    <mergeCell ref="C128:C130"/>
    <mergeCell ref="D128:H128"/>
    <mergeCell ref="I128:J129"/>
    <mergeCell ref="D129:D130"/>
    <mergeCell ref="E129:F129"/>
    <mergeCell ref="G129:H130"/>
    <mergeCell ref="E130:F130"/>
    <mergeCell ref="I130:J130"/>
    <mergeCell ref="A126:A127"/>
    <mergeCell ref="B126:B127"/>
    <mergeCell ref="C126:C127"/>
    <mergeCell ref="D126:F126"/>
    <mergeCell ref="G126:I126"/>
    <mergeCell ref="D127:F127"/>
    <mergeCell ref="H127:J127"/>
    <mergeCell ref="A124:A125"/>
    <mergeCell ref="B124:B125"/>
    <mergeCell ref="C124:C125"/>
    <mergeCell ref="D124:F124"/>
    <mergeCell ref="G124:I124"/>
    <mergeCell ref="D125:F125"/>
    <mergeCell ref="H125:J125"/>
    <mergeCell ref="A122:A123"/>
    <mergeCell ref="B122:B123"/>
    <mergeCell ref="C122:C123"/>
    <mergeCell ref="D122:F122"/>
    <mergeCell ref="G122:I122"/>
    <mergeCell ref="D123:F123"/>
    <mergeCell ref="H123:J123"/>
    <mergeCell ref="A120:A121"/>
    <mergeCell ref="B120:B121"/>
    <mergeCell ref="C120:C121"/>
    <mergeCell ref="D120:F120"/>
    <mergeCell ref="G120:I120"/>
    <mergeCell ref="D121:F121"/>
    <mergeCell ref="H121:J121"/>
    <mergeCell ref="A118:A119"/>
    <mergeCell ref="B118:B119"/>
    <mergeCell ref="C118:C119"/>
    <mergeCell ref="D118:F118"/>
    <mergeCell ref="G118:I118"/>
    <mergeCell ref="D119:F119"/>
    <mergeCell ref="H119:J119"/>
    <mergeCell ref="A116:A117"/>
    <mergeCell ref="B116:B117"/>
    <mergeCell ref="C116:C117"/>
    <mergeCell ref="D116:F116"/>
    <mergeCell ref="G116:I116"/>
    <mergeCell ref="D117:F117"/>
    <mergeCell ref="H117:J117"/>
    <mergeCell ref="A114:A115"/>
    <mergeCell ref="B114:B115"/>
    <mergeCell ref="C114:C115"/>
    <mergeCell ref="D114:F114"/>
    <mergeCell ref="G114:I114"/>
    <mergeCell ref="D115:F115"/>
    <mergeCell ref="H115:J115"/>
    <mergeCell ref="A112:A113"/>
    <mergeCell ref="B112:B113"/>
    <mergeCell ref="C112:C113"/>
    <mergeCell ref="D112:F112"/>
    <mergeCell ref="G112:I112"/>
    <mergeCell ref="D113:F113"/>
    <mergeCell ref="H113:J113"/>
    <mergeCell ref="A110:A111"/>
    <mergeCell ref="B110:B111"/>
    <mergeCell ref="C110:C111"/>
    <mergeCell ref="D110:F110"/>
    <mergeCell ref="G110:I110"/>
    <mergeCell ref="D111:F111"/>
    <mergeCell ref="H111:J111"/>
    <mergeCell ref="A108:A109"/>
    <mergeCell ref="B108:B109"/>
    <mergeCell ref="C108:C109"/>
    <mergeCell ref="D108:F108"/>
    <mergeCell ref="G108:I108"/>
    <mergeCell ref="D109:F109"/>
    <mergeCell ref="H109:J109"/>
    <mergeCell ref="A106:A107"/>
    <mergeCell ref="B106:B107"/>
    <mergeCell ref="C106:C107"/>
    <mergeCell ref="D106:F106"/>
    <mergeCell ref="G106:I106"/>
    <mergeCell ref="D107:F107"/>
    <mergeCell ref="H107:J107"/>
    <mergeCell ref="A104:A105"/>
    <mergeCell ref="B104:B105"/>
    <mergeCell ref="C104:C105"/>
    <mergeCell ref="D104:F104"/>
    <mergeCell ref="G104:I104"/>
    <mergeCell ref="D105:F105"/>
    <mergeCell ref="H105:J105"/>
    <mergeCell ref="A102:A103"/>
    <mergeCell ref="B102:B103"/>
    <mergeCell ref="C102:C103"/>
    <mergeCell ref="D102:F102"/>
    <mergeCell ref="G102:I102"/>
    <mergeCell ref="D103:F103"/>
    <mergeCell ref="H103:J103"/>
    <mergeCell ref="A100:A101"/>
    <mergeCell ref="B100:B101"/>
    <mergeCell ref="C100:C101"/>
    <mergeCell ref="D100:F100"/>
    <mergeCell ref="G100:I100"/>
    <mergeCell ref="D101:F101"/>
    <mergeCell ref="H101:J101"/>
    <mergeCell ref="A98:A99"/>
    <mergeCell ref="B98:B99"/>
    <mergeCell ref="C98:C99"/>
    <mergeCell ref="D98:F98"/>
    <mergeCell ref="G98:I98"/>
    <mergeCell ref="D99:F99"/>
    <mergeCell ref="H99:J99"/>
    <mergeCell ref="A95:A97"/>
    <mergeCell ref="B95:B97"/>
    <mergeCell ref="C95:C97"/>
    <mergeCell ref="D95:H95"/>
    <mergeCell ref="I95:J96"/>
    <mergeCell ref="D96:D97"/>
    <mergeCell ref="E96:F96"/>
    <mergeCell ref="G96:H97"/>
    <mergeCell ref="E97:F97"/>
    <mergeCell ref="I97:J97"/>
    <mergeCell ref="A93:A94"/>
    <mergeCell ref="B93:B94"/>
    <mergeCell ref="C93:C94"/>
    <mergeCell ref="D93:F93"/>
    <mergeCell ref="G93:I93"/>
    <mergeCell ref="D94:F94"/>
    <mergeCell ref="H94:J94"/>
    <mergeCell ref="A91:A92"/>
    <mergeCell ref="B91:B92"/>
    <mergeCell ref="C91:C92"/>
    <mergeCell ref="D91:F91"/>
    <mergeCell ref="G91:I91"/>
    <mergeCell ref="D92:F92"/>
    <mergeCell ref="H92:J92"/>
    <mergeCell ref="A89:A90"/>
    <mergeCell ref="B89:B90"/>
    <mergeCell ref="C89:C90"/>
    <mergeCell ref="D89:F89"/>
    <mergeCell ref="G89:I89"/>
    <mergeCell ref="D90:F90"/>
    <mergeCell ref="H90:J90"/>
    <mergeCell ref="A87:A88"/>
    <mergeCell ref="B87:B88"/>
    <mergeCell ref="C87:C88"/>
    <mergeCell ref="D87:F87"/>
    <mergeCell ref="G87:I87"/>
    <mergeCell ref="D88:F88"/>
    <mergeCell ref="H88:J88"/>
    <mergeCell ref="A85:A86"/>
    <mergeCell ref="B85:B86"/>
    <mergeCell ref="C85:C86"/>
    <mergeCell ref="D85:F85"/>
    <mergeCell ref="G85:I85"/>
    <mergeCell ref="D86:F86"/>
    <mergeCell ref="H86:J86"/>
    <mergeCell ref="A83:A84"/>
    <mergeCell ref="B83:B84"/>
    <mergeCell ref="C83:C84"/>
    <mergeCell ref="D83:F83"/>
    <mergeCell ref="G83:I83"/>
    <mergeCell ref="D84:F84"/>
    <mergeCell ref="H84:J84"/>
    <mergeCell ref="A81:A82"/>
    <mergeCell ref="B81:B82"/>
    <mergeCell ref="C81:C82"/>
    <mergeCell ref="D81:F81"/>
    <mergeCell ref="G81:I81"/>
    <mergeCell ref="D82:F82"/>
    <mergeCell ref="H82:J82"/>
    <mergeCell ref="A79:A80"/>
    <mergeCell ref="B79:B80"/>
    <mergeCell ref="C79:C80"/>
    <mergeCell ref="D79:F79"/>
    <mergeCell ref="G79:I79"/>
    <mergeCell ref="D80:F80"/>
    <mergeCell ref="H80:J80"/>
    <mergeCell ref="A77:A78"/>
    <mergeCell ref="B77:B78"/>
    <mergeCell ref="C77:C78"/>
    <mergeCell ref="D77:F77"/>
    <mergeCell ref="G77:I77"/>
    <mergeCell ref="D78:F78"/>
    <mergeCell ref="H78:J78"/>
    <mergeCell ref="A75:A76"/>
    <mergeCell ref="B75:B76"/>
    <mergeCell ref="C75:C76"/>
    <mergeCell ref="D75:F75"/>
    <mergeCell ref="G75:I75"/>
    <mergeCell ref="D76:F76"/>
    <mergeCell ref="H76:J76"/>
    <mergeCell ref="A73:A74"/>
    <mergeCell ref="B73:B74"/>
    <mergeCell ref="C73:C74"/>
    <mergeCell ref="D73:F73"/>
    <mergeCell ref="G73:I73"/>
    <mergeCell ref="D74:F74"/>
    <mergeCell ref="H74:J74"/>
    <mergeCell ref="A71:A72"/>
    <mergeCell ref="B71:B72"/>
    <mergeCell ref="C71:C72"/>
    <mergeCell ref="D71:F71"/>
    <mergeCell ref="G71:I71"/>
    <mergeCell ref="D72:F72"/>
    <mergeCell ref="H72:J72"/>
    <mergeCell ref="A69:A70"/>
    <mergeCell ref="B69:B70"/>
    <mergeCell ref="C69:C70"/>
    <mergeCell ref="D69:F69"/>
    <mergeCell ref="G69:I69"/>
    <mergeCell ref="D70:F70"/>
    <mergeCell ref="H70:J70"/>
    <mergeCell ref="A67:A68"/>
    <mergeCell ref="B67:B68"/>
    <mergeCell ref="C67:C68"/>
    <mergeCell ref="D67:F67"/>
    <mergeCell ref="G67:I67"/>
    <mergeCell ref="D68:F68"/>
    <mergeCell ref="H68:J68"/>
    <mergeCell ref="A64:A66"/>
    <mergeCell ref="B64:B66"/>
    <mergeCell ref="C64:C66"/>
    <mergeCell ref="D64:H64"/>
    <mergeCell ref="I64:J65"/>
    <mergeCell ref="D65:D66"/>
    <mergeCell ref="E65:F65"/>
    <mergeCell ref="G65:H66"/>
    <mergeCell ref="E66:F66"/>
    <mergeCell ref="I66:J66"/>
    <mergeCell ref="A62:A63"/>
    <mergeCell ref="B62:B63"/>
    <mergeCell ref="C62:C63"/>
    <mergeCell ref="D62:F62"/>
    <mergeCell ref="G62:I62"/>
    <mergeCell ref="D63:F63"/>
    <mergeCell ref="H63:J63"/>
    <mergeCell ref="A60:A61"/>
    <mergeCell ref="B60:B61"/>
    <mergeCell ref="C60:C61"/>
    <mergeCell ref="D60:F60"/>
    <mergeCell ref="G60:I60"/>
    <mergeCell ref="D61:F61"/>
    <mergeCell ref="H61:J61"/>
    <mergeCell ref="A58:A59"/>
    <mergeCell ref="B58:B59"/>
    <mergeCell ref="C58:C59"/>
    <mergeCell ref="D58:F58"/>
    <mergeCell ref="G58:I58"/>
    <mergeCell ref="D59:F59"/>
    <mergeCell ref="H59:J59"/>
    <mergeCell ref="A56:A57"/>
    <mergeCell ref="B56:B57"/>
    <mergeCell ref="C56:C57"/>
    <mergeCell ref="D56:F56"/>
    <mergeCell ref="G56:I56"/>
    <mergeCell ref="D57:F57"/>
    <mergeCell ref="H57:J57"/>
    <mergeCell ref="A54:A55"/>
    <mergeCell ref="B54:B55"/>
    <mergeCell ref="C54:C55"/>
    <mergeCell ref="D54:F54"/>
    <mergeCell ref="G54:I54"/>
    <mergeCell ref="D55:F55"/>
    <mergeCell ref="H55:J55"/>
    <mergeCell ref="A52:A53"/>
    <mergeCell ref="B52:B53"/>
    <mergeCell ref="C52:C53"/>
    <mergeCell ref="D52:F52"/>
    <mergeCell ref="G52:I52"/>
    <mergeCell ref="D53:F53"/>
    <mergeCell ref="H53:J53"/>
    <mergeCell ref="A50:A51"/>
    <mergeCell ref="B50:B51"/>
    <mergeCell ref="C50:C51"/>
    <mergeCell ref="D50:F50"/>
    <mergeCell ref="G50:I50"/>
    <mergeCell ref="D51:F51"/>
    <mergeCell ref="H51:J51"/>
    <mergeCell ref="A48:A49"/>
    <mergeCell ref="B48:B49"/>
    <mergeCell ref="C48:C49"/>
    <mergeCell ref="D48:F48"/>
    <mergeCell ref="G48:I48"/>
    <mergeCell ref="D49:F49"/>
    <mergeCell ref="H49:J49"/>
    <mergeCell ref="A46:A47"/>
    <mergeCell ref="B46:B47"/>
    <mergeCell ref="C46:C47"/>
    <mergeCell ref="D46:F46"/>
    <mergeCell ref="G46:I46"/>
    <mergeCell ref="D47:F47"/>
    <mergeCell ref="H47:J47"/>
    <mergeCell ref="A44:A45"/>
    <mergeCell ref="B44:B45"/>
    <mergeCell ref="C44:C45"/>
    <mergeCell ref="D44:F44"/>
    <mergeCell ref="G44:I44"/>
    <mergeCell ref="D45:F45"/>
    <mergeCell ref="H45:J45"/>
    <mergeCell ref="A42:A43"/>
    <mergeCell ref="B42:B43"/>
    <mergeCell ref="C42:C43"/>
    <mergeCell ref="D42:F42"/>
    <mergeCell ref="G42:I42"/>
    <mergeCell ref="D43:F43"/>
    <mergeCell ref="H43:J43"/>
    <mergeCell ref="A40:A41"/>
    <mergeCell ref="B40:B41"/>
    <mergeCell ref="C40:C41"/>
    <mergeCell ref="D40:F40"/>
    <mergeCell ref="G40:I40"/>
    <mergeCell ref="D41:F41"/>
    <mergeCell ref="H41:J41"/>
    <mergeCell ref="A38:A39"/>
    <mergeCell ref="B38:B39"/>
    <mergeCell ref="C38:C39"/>
    <mergeCell ref="D38:F38"/>
    <mergeCell ref="G38:I38"/>
    <mergeCell ref="D39:F39"/>
    <mergeCell ref="H39:J39"/>
    <mergeCell ref="A36:A37"/>
    <mergeCell ref="B36:B37"/>
    <mergeCell ref="C36:C37"/>
    <mergeCell ref="D36:F36"/>
    <mergeCell ref="G36:I36"/>
    <mergeCell ref="D37:F37"/>
    <mergeCell ref="H37:J37"/>
    <mergeCell ref="A33:A35"/>
    <mergeCell ref="B33:B35"/>
    <mergeCell ref="C33:C35"/>
    <mergeCell ref="D33:H33"/>
    <mergeCell ref="I33:J34"/>
    <mergeCell ref="D34:D35"/>
    <mergeCell ref="E34:F34"/>
    <mergeCell ref="G34:H35"/>
    <mergeCell ref="E35:F35"/>
    <mergeCell ref="I35:J35"/>
    <mergeCell ref="A31:A32"/>
    <mergeCell ref="B31:B32"/>
    <mergeCell ref="C31:C32"/>
    <mergeCell ref="D31:F31"/>
    <mergeCell ref="G31:I31"/>
    <mergeCell ref="D32:F32"/>
    <mergeCell ref="H32:J32"/>
    <mergeCell ref="A29:A30"/>
    <mergeCell ref="B29:B30"/>
    <mergeCell ref="C29:C30"/>
    <mergeCell ref="D29:F29"/>
    <mergeCell ref="G29:I29"/>
    <mergeCell ref="D30:F30"/>
    <mergeCell ref="H30:J30"/>
    <mergeCell ref="A27:A28"/>
    <mergeCell ref="B27:B28"/>
    <mergeCell ref="C27:C28"/>
    <mergeCell ref="D27:F27"/>
    <mergeCell ref="G27:I27"/>
    <mergeCell ref="D28:F28"/>
    <mergeCell ref="H28:J28"/>
    <mergeCell ref="A25:A26"/>
    <mergeCell ref="B25:B26"/>
    <mergeCell ref="C25:C26"/>
    <mergeCell ref="D25:F25"/>
    <mergeCell ref="G25:I25"/>
    <mergeCell ref="D26:F26"/>
    <mergeCell ref="H26:J26"/>
    <mergeCell ref="A23:A24"/>
    <mergeCell ref="B23:B24"/>
    <mergeCell ref="C23:C24"/>
    <mergeCell ref="D23:F23"/>
    <mergeCell ref="G23:I23"/>
    <mergeCell ref="D24:F24"/>
    <mergeCell ref="H24:J24"/>
    <mergeCell ref="A21:A22"/>
    <mergeCell ref="B21:B22"/>
    <mergeCell ref="C21:C22"/>
    <mergeCell ref="D21:F21"/>
    <mergeCell ref="G21:I21"/>
    <mergeCell ref="D22:F22"/>
    <mergeCell ref="H22:J22"/>
    <mergeCell ref="A19:A20"/>
    <mergeCell ref="B19:B20"/>
    <mergeCell ref="C19:C20"/>
    <mergeCell ref="D19:F19"/>
    <mergeCell ref="G19:I19"/>
    <mergeCell ref="D20:F20"/>
    <mergeCell ref="H20:J20"/>
    <mergeCell ref="A17:A18"/>
    <mergeCell ref="B17:B18"/>
    <mergeCell ref="C17:C18"/>
    <mergeCell ref="D17:F17"/>
    <mergeCell ref="G17:I17"/>
    <mergeCell ref="D18:F18"/>
    <mergeCell ref="H18:J18"/>
    <mergeCell ref="A15:A16"/>
    <mergeCell ref="B15:B16"/>
    <mergeCell ref="C15:C16"/>
    <mergeCell ref="D15:F15"/>
    <mergeCell ref="G15:I15"/>
    <mergeCell ref="D16:F16"/>
    <mergeCell ref="H16:J16"/>
    <mergeCell ref="A13:A14"/>
    <mergeCell ref="B13:B14"/>
    <mergeCell ref="C13:C14"/>
    <mergeCell ref="D13:F13"/>
    <mergeCell ref="G13:I13"/>
    <mergeCell ref="D14:F14"/>
    <mergeCell ref="H14:J14"/>
    <mergeCell ref="A11:A12"/>
    <mergeCell ref="B11:B12"/>
    <mergeCell ref="C11:C12"/>
    <mergeCell ref="D11:F11"/>
    <mergeCell ref="G11:I11"/>
    <mergeCell ref="D12:F12"/>
    <mergeCell ref="H12:J12"/>
    <mergeCell ref="A9:A10"/>
    <mergeCell ref="B9:B10"/>
    <mergeCell ref="C9:C10"/>
    <mergeCell ref="D9:F9"/>
    <mergeCell ref="G9:I9"/>
    <mergeCell ref="D10:F10"/>
    <mergeCell ref="H10:J10"/>
    <mergeCell ref="I6:J6"/>
    <mergeCell ref="A7:A8"/>
    <mergeCell ref="B7:B8"/>
    <mergeCell ref="C7:C8"/>
    <mergeCell ref="D7:F7"/>
    <mergeCell ref="G7:I7"/>
    <mergeCell ref="D8:F8"/>
    <mergeCell ref="H8:J8"/>
    <mergeCell ref="B2:C2"/>
    <mergeCell ref="A4:A6"/>
    <mergeCell ref="B4:B6"/>
    <mergeCell ref="C4:C6"/>
    <mergeCell ref="D4:H4"/>
    <mergeCell ref="I4:J5"/>
    <mergeCell ref="D5:D6"/>
    <mergeCell ref="E5:F5"/>
    <mergeCell ref="G5:H6"/>
    <mergeCell ref="E6:F6"/>
  </mergeCells>
  <pageMargins left="0.74803149606299213" right="0.55118110236220474" top="0.31496062992125984" bottom="0.35433070866141736" header="0.31496062992125984" footer="0.15748031496062992"/>
  <pageSetup paperSize="9" scale="88" firstPageNumber="2" orientation="portrait" useFirstPageNumber="1" r:id="rId1"/>
  <headerFooter alignWithMargins="0">
    <oddFooter>&amp;LMF SR č. 25947/1/2010&amp;RSeite &amp;P</oddFooter>
  </headerFooter>
  <rowBreaks count="6" manualBreakCount="6">
    <brk id="32" max="16383" man="1"/>
    <brk id="63" max="16383" man="1"/>
    <brk id="94" max="16383" man="1"/>
    <brk id="127" max="16383" man="1"/>
    <brk id="148" max="16383" man="1"/>
    <brk id="178" max="16383" man="1"/>
  </rowBreaks>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outlinePr summaryBelow="0" summaryRight="0"/>
  </sheetPr>
  <dimension ref="A1:AM53"/>
  <sheetViews>
    <sheetView showGridLines="0" view="pageBreakPreview" zoomScaleNormal="100" zoomScaleSheetLayoutView="100" workbookViewId="0">
      <selection activeCell="AG5" sqref="AG5"/>
    </sheetView>
  </sheetViews>
  <sheetFormatPr defaultColWidth="9.140625" defaultRowHeight="12.75"/>
  <cols>
    <col min="1" max="10" width="2.5703125" style="818" customWidth="1"/>
    <col min="11" max="11" width="3.42578125" style="818" customWidth="1"/>
    <col min="12" max="36" width="2.5703125" style="818" customWidth="1"/>
    <col min="37" max="37" width="2.140625" style="818" customWidth="1"/>
    <col min="38" max="38" width="1.85546875" style="818" customWidth="1"/>
    <col min="39" max="39" width="2.140625" style="818" customWidth="1"/>
    <col min="40" max="45" width="2.5703125" style="818" customWidth="1"/>
    <col min="46" max="46" width="7.7109375" style="818" customWidth="1"/>
    <col min="47" max="61" width="2.5703125" style="818" customWidth="1"/>
    <col min="62" max="16384" width="9.140625" style="818"/>
  </cols>
  <sheetData>
    <row r="1" spans="1:38">
      <c r="B1" s="817" t="s">
        <v>1234</v>
      </c>
    </row>
    <row r="2" spans="1:38" s="500" customFormat="1" ht="18.75" thickBot="1">
      <c r="C2" s="817"/>
      <c r="N2" s="496" t="s">
        <v>1709</v>
      </c>
    </row>
    <row r="3" spans="1:38" s="397" customFormat="1" ht="21" customHeight="1" thickBot="1">
      <c r="B3" s="876" t="s">
        <v>1710</v>
      </c>
      <c r="C3" s="819"/>
      <c r="D3" s="820"/>
      <c r="E3" s="820"/>
      <c r="F3" s="820"/>
      <c r="G3" s="820"/>
      <c r="H3" s="820"/>
      <c r="I3" s="820"/>
      <c r="J3" s="821"/>
      <c r="K3" s="820"/>
      <c r="L3" s="822"/>
      <c r="N3" s="496" t="s">
        <v>1711</v>
      </c>
      <c r="Q3" s="496"/>
    </row>
    <row r="4" spans="1:38" ht="13.5" thickBot="1"/>
    <row r="5" spans="1:38" ht="28.5" customHeight="1" thickBot="1">
      <c r="K5" s="856" t="s">
        <v>1544</v>
      </c>
      <c r="L5" s="494" t="str">
        <f>+MID('Input data'!$B$11,1,1)</f>
        <v>3</v>
      </c>
      <c r="M5" s="494" t="str">
        <f>+MID('Input data'!$B$11,2,1)</f>
        <v>1</v>
      </c>
      <c r="N5" s="494" t="s">
        <v>1063</v>
      </c>
      <c r="O5" s="494" t="str">
        <f>LEFT('Input data'!B13,1)</f>
        <v>0</v>
      </c>
      <c r="P5" s="494" t="str">
        <f>RIGHT('Input data'!B13,1)</f>
        <v>3</v>
      </c>
      <c r="Q5" s="494" t="s">
        <v>1063</v>
      </c>
      <c r="R5" s="494" t="str">
        <f>+LEFT('Input data'!$B$14,1)</f>
        <v>2</v>
      </c>
      <c r="S5" s="494" t="str">
        <f>+MID('Input data'!$B$14,2,1)</f>
        <v>0</v>
      </c>
      <c r="T5" s="494" t="str">
        <f>+MID('Input data'!$B$14,3,1)</f>
        <v>1</v>
      </c>
      <c r="U5" s="494" t="str">
        <f>+MID('Input data'!$B$14,4,1)</f>
        <v>8</v>
      </c>
      <c r="V5" s="2659" t="s">
        <v>1545</v>
      </c>
      <c r="W5" s="2660"/>
      <c r="X5" s="2660"/>
      <c r="Y5" s="2660"/>
      <c r="Z5" s="2660"/>
      <c r="AA5" s="2661"/>
    </row>
    <row r="6" spans="1:38" ht="7.5" customHeight="1" thickBot="1"/>
    <row r="7" spans="1:38" s="487" customFormat="1" ht="14.25" customHeight="1">
      <c r="A7" s="490" t="s">
        <v>1546</v>
      </c>
      <c r="B7" s="490"/>
      <c r="C7" s="489"/>
      <c r="D7" s="489"/>
      <c r="E7" s="489"/>
      <c r="F7" s="489"/>
      <c r="G7" s="489"/>
      <c r="H7" s="489"/>
      <c r="I7" s="489"/>
      <c r="J7" s="489"/>
      <c r="K7" s="489"/>
      <c r="L7" s="489"/>
      <c r="M7" s="489"/>
      <c r="N7" s="489"/>
      <c r="O7" s="489"/>
      <c r="P7" s="489"/>
      <c r="Q7" s="489"/>
      <c r="R7" s="489"/>
      <c r="S7" s="488"/>
      <c r="T7" s="489"/>
      <c r="U7" s="489"/>
      <c r="V7" s="489"/>
      <c r="W7" s="489"/>
      <c r="X7" s="489"/>
      <c r="Y7" s="489"/>
      <c r="Z7" s="489"/>
      <c r="AA7" s="489"/>
      <c r="AB7" s="489"/>
      <c r="AC7" s="489"/>
      <c r="AD7" s="489"/>
      <c r="AE7" s="489"/>
      <c r="AF7" s="489"/>
      <c r="AG7" s="489"/>
      <c r="AH7" s="489"/>
      <c r="AI7" s="489"/>
      <c r="AJ7" s="489"/>
      <c r="AK7" s="489"/>
      <c r="AL7" s="488"/>
    </row>
    <row r="8" spans="1:38" s="487" customFormat="1" ht="14.25" customHeight="1">
      <c r="A8" s="857" t="s">
        <v>1547</v>
      </c>
      <c r="B8" s="857"/>
      <c r="C8" s="858"/>
      <c r="D8" s="858"/>
      <c r="E8" s="858"/>
      <c r="F8" s="858"/>
      <c r="G8" s="858"/>
      <c r="H8" s="858"/>
      <c r="I8" s="858"/>
      <c r="J8" s="858"/>
      <c r="K8" s="858"/>
      <c r="L8" s="858"/>
      <c r="M8" s="858"/>
      <c r="N8" s="858"/>
      <c r="O8" s="858"/>
      <c r="P8" s="858"/>
      <c r="Q8" s="858"/>
      <c r="R8" s="858"/>
      <c r="S8" s="858"/>
      <c r="T8" s="858"/>
      <c r="U8" s="858"/>
      <c r="V8" s="858"/>
      <c r="W8" s="858"/>
      <c r="X8" s="858"/>
      <c r="Y8" s="858"/>
      <c r="Z8" s="858"/>
      <c r="AA8" s="858"/>
      <c r="AB8" s="858"/>
      <c r="AC8" s="858"/>
      <c r="AD8" s="858"/>
      <c r="AE8" s="858"/>
      <c r="AF8" s="858"/>
      <c r="AG8" s="858"/>
      <c r="AH8" s="858"/>
      <c r="AI8" s="858"/>
      <c r="AJ8" s="858"/>
      <c r="AK8" s="858"/>
      <c r="AL8" s="859"/>
    </row>
    <row r="9" spans="1:38" s="863" customFormat="1" ht="15" customHeight="1">
      <c r="A9" s="860" t="s">
        <v>1548</v>
      </c>
      <c r="B9" s="860"/>
      <c r="C9" s="861"/>
      <c r="D9" s="861"/>
      <c r="E9" s="861"/>
      <c r="F9" s="861"/>
      <c r="G9" s="861"/>
      <c r="H9" s="861"/>
      <c r="I9" s="861"/>
      <c r="J9" s="861"/>
      <c r="K9" s="861"/>
      <c r="L9" s="861"/>
      <c r="M9" s="861"/>
      <c r="N9" s="861"/>
      <c r="O9" s="861"/>
      <c r="P9" s="861"/>
      <c r="Q9" s="861"/>
      <c r="R9" s="861"/>
      <c r="S9" s="862"/>
      <c r="T9" s="861"/>
      <c r="U9" s="861"/>
      <c r="V9" s="861"/>
      <c r="W9" s="861"/>
      <c r="X9" s="861"/>
      <c r="Y9" s="861"/>
      <c r="Z9" s="861"/>
      <c r="AA9" s="861"/>
      <c r="AB9" s="861"/>
      <c r="AC9" s="861"/>
      <c r="AD9" s="861"/>
      <c r="AE9" s="861"/>
      <c r="AF9" s="861"/>
      <c r="AG9" s="861"/>
      <c r="AH9" s="861"/>
      <c r="AI9" s="861"/>
      <c r="AJ9" s="861"/>
      <c r="AK9" s="861"/>
      <c r="AL9" s="859"/>
    </row>
    <row r="10" spans="1:38" s="482" customFormat="1" ht="18" customHeight="1" thickBot="1">
      <c r="A10" s="485" t="s">
        <v>1067</v>
      </c>
      <c r="B10" s="485"/>
      <c r="C10" s="484"/>
      <c r="D10" s="484"/>
      <c r="E10" s="485"/>
      <c r="F10" s="484"/>
      <c r="G10" s="484"/>
      <c r="H10" s="484"/>
      <c r="I10" s="484"/>
      <c r="J10" s="484"/>
      <c r="K10" s="484"/>
      <c r="L10" s="484"/>
      <c r="M10" s="484"/>
      <c r="N10" s="484"/>
      <c r="O10" s="484"/>
      <c r="P10" s="484"/>
      <c r="Q10" s="484"/>
      <c r="R10" s="484"/>
      <c r="S10" s="483"/>
      <c r="T10" s="484"/>
      <c r="U10" s="484"/>
      <c r="V10" s="484"/>
      <c r="W10" s="484"/>
      <c r="X10" s="484"/>
      <c r="Y10" s="484"/>
      <c r="Z10" s="484"/>
      <c r="AA10" s="484"/>
      <c r="AB10" s="484"/>
      <c r="AC10" s="484"/>
      <c r="AD10" s="484"/>
      <c r="AE10" s="484"/>
      <c r="AF10" s="484"/>
      <c r="AG10" s="484"/>
      <c r="AH10" s="484"/>
      <c r="AI10" s="484"/>
      <c r="AJ10" s="484"/>
      <c r="AK10" s="484"/>
      <c r="AL10" s="483"/>
    </row>
    <row r="11" spans="1:38" s="462" customFormat="1" ht="3.75" customHeight="1" thickBot="1"/>
    <row r="12" spans="1:38" s="462" customFormat="1" ht="14.25" customHeight="1">
      <c r="A12" s="464" t="s">
        <v>1550</v>
      </c>
      <c r="B12" s="463"/>
      <c r="C12" s="463"/>
      <c r="D12" s="463"/>
      <c r="E12" s="463"/>
      <c r="F12" s="463"/>
      <c r="G12" s="463"/>
      <c r="H12" s="463"/>
      <c r="I12" s="407"/>
      <c r="J12" s="841"/>
      <c r="K12" s="480" t="s">
        <v>1551</v>
      </c>
      <c r="L12" s="463"/>
      <c r="M12" s="481"/>
      <c r="N12" s="481"/>
      <c r="O12" s="481"/>
      <c r="P12" s="463"/>
      <c r="Q12" s="480" t="s">
        <v>1551</v>
      </c>
      <c r="R12" s="463"/>
      <c r="S12" s="407"/>
      <c r="T12" s="463"/>
      <c r="U12" s="463"/>
      <c r="V12" s="842"/>
      <c r="W12" s="463"/>
      <c r="X12" s="463"/>
      <c r="Y12" s="463"/>
      <c r="Z12" s="463"/>
      <c r="AA12" s="463"/>
      <c r="AB12" s="463"/>
      <c r="AC12" s="463"/>
      <c r="AD12" s="480" t="s">
        <v>1552</v>
      </c>
      <c r="AE12" s="480"/>
      <c r="AF12" s="480"/>
      <c r="AG12" s="480" t="s">
        <v>1553</v>
      </c>
      <c r="AH12" s="463"/>
      <c r="AI12" s="463"/>
      <c r="AJ12" s="463"/>
      <c r="AK12" s="463"/>
      <c r="AL12" s="479"/>
    </row>
    <row r="13" spans="1:38" s="462" customFormat="1" ht="19.5" customHeight="1">
      <c r="A13" s="476" t="str">
        <f>LEFT('Input data'!C24,1)</f>
        <v>2</v>
      </c>
      <c r="B13" s="441" t="str">
        <f>MID('Input data'!$C$24,2,1)</f>
        <v>0</v>
      </c>
      <c r="C13" s="441" t="str">
        <f>MID('Input data'!$C$24,3,1)</f>
        <v>2</v>
      </c>
      <c r="D13" s="441" t="str">
        <f>MID('Input data'!$C$24,4,1)</f>
        <v>0</v>
      </c>
      <c r="E13" s="441" t="str">
        <f>MID('Input data'!$C$24,5,1)</f>
        <v>3</v>
      </c>
      <c r="F13" s="441" t="str">
        <f>MID('Input data'!$C$24,6,1)</f>
        <v>1</v>
      </c>
      <c r="G13" s="441" t="str">
        <f>MID('Input data'!$C$24,7,1)</f>
        <v>9</v>
      </c>
      <c r="H13" s="441" t="str">
        <f>MID('Input data'!$C$24,8,1)</f>
        <v>8</v>
      </c>
      <c r="I13" s="441" t="str">
        <f>MID('Input data'!$C$24,9,1)</f>
        <v>2</v>
      </c>
      <c r="J13" s="843" t="str">
        <f>MID('Input data'!$C$24,10,1)</f>
        <v>9</v>
      </c>
      <c r="K13" s="844"/>
      <c r="L13" s="465"/>
      <c r="M13" s="465"/>
      <c r="N13" s="465"/>
      <c r="O13" s="465"/>
      <c r="P13" s="465"/>
      <c r="Q13" s="465"/>
      <c r="R13" s="465"/>
      <c r="S13" s="465"/>
      <c r="T13" s="465"/>
      <c r="U13" s="465"/>
      <c r="V13" s="845"/>
      <c r="W13" s="470" t="s">
        <v>1554</v>
      </c>
      <c r="X13" s="465"/>
      <c r="Y13" s="465"/>
      <c r="Z13" s="465"/>
      <c r="AA13" s="465"/>
      <c r="AB13" s="470" t="s">
        <v>1555</v>
      </c>
      <c r="AC13" s="465"/>
      <c r="AD13" s="441" t="str">
        <f>MID('Input data'!$B$8,1,1)</f>
        <v>0</v>
      </c>
      <c r="AE13" s="441" t="str">
        <f>MID('Input data'!$B$8,2,1)</f>
        <v>4</v>
      </c>
      <c r="AF13" s="441"/>
      <c r="AG13" s="441" t="str">
        <f>MID('Input data'!$B$9,1,1)</f>
        <v>2</v>
      </c>
      <c r="AH13" s="441" t="str">
        <f>MID('Input data'!$B$9,2,1)</f>
        <v>0</v>
      </c>
      <c r="AI13" s="441" t="str">
        <f>MID('Input data'!$B$9,3,1)</f>
        <v>1</v>
      </c>
      <c r="AJ13" s="441" t="str">
        <f>MID('Input data'!$B$9,4,1)</f>
        <v>7</v>
      </c>
      <c r="AK13" s="465"/>
      <c r="AL13" s="471"/>
    </row>
    <row r="14" spans="1:38" s="462" customFormat="1" ht="19.5" customHeight="1">
      <c r="A14" s="403" t="s">
        <v>1556</v>
      </c>
      <c r="B14" s="465"/>
      <c r="C14" s="465"/>
      <c r="D14" s="465"/>
      <c r="E14" s="465"/>
      <c r="F14" s="465"/>
      <c r="G14" s="465"/>
      <c r="H14" s="399"/>
      <c r="I14" s="399"/>
      <c r="J14" s="527"/>
      <c r="K14" s="478" t="str">
        <f>IF('Input data'!D7="x","x"," ")</f>
        <v>x</v>
      </c>
      <c r="L14" s="470" t="s">
        <v>1557</v>
      </c>
      <c r="N14" s="472"/>
      <c r="O14" s="472"/>
      <c r="P14" s="472"/>
      <c r="Q14" s="472"/>
      <c r="R14" s="478" t="str">
        <f>IF('Input data'!D17="x","x"," ")</f>
        <v>x</v>
      </c>
      <c r="S14" s="470" t="s">
        <v>1558</v>
      </c>
      <c r="T14" s="465"/>
      <c r="U14" s="465"/>
      <c r="V14" s="845"/>
      <c r="W14" s="825"/>
      <c r="X14" s="826"/>
      <c r="Y14" s="826"/>
      <c r="Z14" s="826"/>
      <c r="AA14" s="826"/>
      <c r="AB14" s="827" t="s">
        <v>1559</v>
      </c>
      <c r="AC14" s="826"/>
      <c r="AD14" s="828" t="str">
        <f>MID('Input data'!$B$13,1,1)</f>
        <v>0</v>
      </c>
      <c r="AE14" s="828" t="str">
        <f>MID('Input data'!$B$13,2,1)</f>
        <v>3</v>
      </c>
      <c r="AF14" s="828"/>
      <c r="AG14" s="828" t="str">
        <f>MID('Input data'!$B$14,1,1)</f>
        <v>2</v>
      </c>
      <c r="AH14" s="828" t="str">
        <f>MID('Input data'!$B$14,2,1)</f>
        <v>0</v>
      </c>
      <c r="AI14" s="828" t="str">
        <f>MID('Input data'!$B$14,3,1)</f>
        <v>1</v>
      </c>
      <c r="AJ14" s="828" t="str">
        <f>MID('Input data'!$B$14,4,1)</f>
        <v>8</v>
      </c>
      <c r="AK14" s="826"/>
      <c r="AL14" s="829"/>
    </row>
    <row r="15" spans="1:38" s="462" customFormat="1" ht="19.5" customHeight="1">
      <c r="A15" s="864" t="str">
        <f>LEFT('Input data'!C26,1)</f>
        <v>3</v>
      </c>
      <c r="B15" s="474" t="str">
        <f>MID('Input data'!$C$26,2,1)</f>
        <v>1</v>
      </c>
      <c r="C15" s="474" t="str">
        <f>MID('Input data'!$C$26,3,1)</f>
        <v>3</v>
      </c>
      <c r="D15" s="474" t="str">
        <f>MID('Input data'!$C$26,4,1)</f>
        <v>6</v>
      </c>
      <c r="E15" s="474" t="str">
        <f>MID('Input data'!$C$26,5,1)</f>
        <v>5</v>
      </c>
      <c r="F15" s="474" t="str">
        <f>MID('Input data'!$C$26,6,1)</f>
        <v>5</v>
      </c>
      <c r="G15" s="474" t="str">
        <f>MID('Input data'!$C$26,7,1)</f>
        <v>0</v>
      </c>
      <c r="H15" s="474" t="str">
        <f>MID('Input data'!$C$26,8,1)</f>
        <v>7</v>
      </c>
      <c r="I15" s="399"/>
      <c r="J15" s="527"/>
      <c r="K15" s="399" t="str">
        <f>IF('Input data'!D8="x","x", "")</f>
        <v/>
      </c>
      <c r="L15" s="470" t="s">
        <v>1560</v>
      </c>
      <c r="M15" s="470"/>
      <c r="N15" s="472"/>
      <c r="O15" s="472"/>
      <c r="P15" s="472"/>
      <c r="Q15" s="472"/>
      <c r="R15" s="472" t="str">
        <f>IF('Input data'!D18="x","x"," ")</f>
        <v xml:space="preserve"> </v>
      </c>
      <c r="S15" s="470" t="s">
        <v>1561</v>
      </c>
      <c r="T15" s="465"/>
      <c r="U15" s="465"/>
      <c r="V15" s="845"/>
      <c r="W15" s="470"/>
      <c r="X15" s="465"/>
      <c r="Y15" s="402"/>
      <c r="Z15" s="399"/>
      <c r="AA15" s="399"/>
      <c r="AB15" s="472"/>
      <c r="AC15" s="399"/>
      <c r="AD15" s="474"/>
      <c r="AE15" s="474"/>
      <c r="AF15" s="474"/>
      <c r="AG15" s="474"/>
      <c r="AH15" s="474"/>
      <c r="AI15" s="474"/>
      <c r="AJ15" s="474"/>
      <c r="AK15" s="399"/>
      <c r="AL15" s="471"/>
    </row>
    <row r="16" spans="1:38" s="462" customFormat="1" ht="19.5" customHeight="1">
      <c r="A16" s="403" t="s">
        <v>1081</v>
      </c>
      <c r="B16" s="465"/>
      <c r="C16" s="465"/>
      <c r="D16" s="465"/>
      <c r="E16" s="465"/>
      <c r="F16" s="418"/>
      <c r="G16" s="465"/>
      <c r="H16" s="465"/>
      <c r="I16" s="399"/>
      <c r="J16" s="527"/>
      <c r="K16" s="844"/>
      <c r="L16" s="399"/>
      <c r="M16" s="470"/>
      <c r="N16" s="472"/>
      <c r="O16" s="472"/>
      <c r="P16" s="472"/>
      <c r="Q16" s="472"/>
      <c r="R16" s="865" t="s">
        <v>1562</v>
      </c>
      <c r="S16" s="472"/>
      <c r="T16" s="465"/>
      <c r="U16" s="465"/>
      <c r="V16" s="845"/>
      <c r="W16" s="470" t="s">
        <v>1563</v>
      </c>
      <c r="X16" s="465"/>
      <c r="Y16" s="402"/>
      <c r="Z16" s="399"/>
      <c r="AA16" s="399"/>
      <c r="AB16" s="470" t="s">
        <v>1555</v>
      </c>
      <c r="AC16" s="399"/>
      <c r="AD16" s="441" t="str">
        <f>MID('Input data'!$B$18,1,1)</f>
        <v>0</v>
      </c>
      <c r="AE16" s="441" t="str">
        <f>MID('Input data'!$B$18,2,1)</f>
        <v>4</v>
      </c>
      <c r="AF16" s="441"/>
      <c r="AG16" s="441" t="str">
        <f>MID('Input data'!$B$19,1,1)</f>
        <v>2</v>
      </c>
      <c r="AH16" s="441" t="str">
        <f>MID('Input data'!$B$19,2,1)</f>
        <v>0</v>
      </c>
      <c r="AI16" s="441" t="str">
        <f>MID('Input data'!$B$19,3,1)</f>
        <v>1</v>
      </c>
      <c r="AJ16" s="441" t="str">
        <f>MID('Input data'!$B$19,4,1)</f>
        <v>6</v>
      </c>
      <c r="AK16" s="399"/>
      <c r="AL16" s="471"/>
    </row>
    <row r="17" spans="1:39" s="462" customFormat="1" ht="19.5" customHeight="1" thickBot="1">
      <c r="A17" s="469" t="str">
        <f>'SK Cover sheet'!A15</f>
        <v>2</v>
      </c>
      <c r="B17" s="394" t="str">
        <f>'SK Cover sheet'!B15</f>
        <v>7</v>
      </c>
      <c r="C17" s="467" t="s">
        <v>1063</v>
      </c>
      <c r="D17" s="394" t="str">
        <f>'SK Cover sheet'!D15</f>
        <v>3</v>
      </c>
      <c r="E17" s="394" t="str">
        <f>'SK Cover sheet'!E15</f>
        <v>1</v>
      </c>
      <c r="F17" s="467" t="s">
        <v>1063</v>
      </c>
      <c r="G17" s="394" t="str">
        <f>'SK Cover sheet'!G15</f>
        <v>0</v>
      </c>
      <c r="H17" s="394"/>
      <c r="I17" s="394"/>
      <c r="J17" s="847"/>
      <c r="K17" s="848"/>
      <c r="L17" s="394"/>
      <c r="M17" s="394"/>
      <c r="N17" s="394"/>
      <c r="O17" s="394"/>
      <c r="P17" s="394"/>
      <c r="Q17" s="394"/>
      <c r="R17" s="394"/>
      <c r="S17" s="394"/>
      <c r="T17" s="467"/>
      <c r="U17" s="467"/>
      <c r="V17" s="849"/>
      <c r="W17" s="466"/>
      <c r="X17" s="467"/>
      <c r="Y17" s="395"/>
      <c r="Z17" s="394"/>
      <c r="AA17" s="394"/>
      <c r="AB17" s="466" t="s">
        <v>1559</v>
      </c>
      <c r="AC17" s="394"/>
      <c r="AD17" s="439" t="str">
        <f>MID('Input data'!$B$21,1,1)</f>
        <v>0</v>
      </c>
      <c r="AE17" s="439" t="str">
        <f>MID('Input data'!$B$21,2,1)</f>
        <v>3</v>
      </c>
      <c r="AF17" s="439"/>
      <c r="AG17" s="439" t="str">
        <f>MID('Input data'!$B$22,1,1)</f>
        <v>2</v>
      </c>
      <c r="AH17" s="439" t="str">
        <f>MID('Input data'!$B$22,2,1)</f>
        <v>0</v>
      </c>
      <c r="AI17" s="439" t="str">
        <f>MID('Input data'!$B$22,3,1)</f>
        <v>1</v>
      </c>
      <c r="AJ17" s="439" t="str">
        <f>MID('Input data'!$B$22,4,1)</f>
        <v>7</v>
      </c>
      <c r="AK17" s="394"/>
      <c r="AL17" s="468"/>
    </row>
    <row r="18" spans="1:39" s="462" customFormat="1" ht="4.5" customHeight="1">
      <c r="A18" s="465"/>
      <c r="B18" s="465"/>
      <c r="C18" s="465"/>
      <c r="D18" s="465"/>
      <c r="E18" s="465"/>
      <c r="F18" s="465"/>
      <c r="G18" s="465"/>
      <c r="H18" s="399"/>
      <c r="I18" s="399"/>
      <c r="J18" s="399"/>
      <c r="K18" s="399"/>
      <c r="L18" s="399"/>
      <c r="M18" s="399"/>
      <c r="N18" s="399"/>
      <c r="O18" s="399"/>
      <c r="P18" s="399"/>
      <c r="Q18" s="399"/>
      <c r="R18" s="399"/>
      <c r="S18" s="399"/>
      <c r="T18" s="465"/>
      <c r="U18" s="465"/>
      <c r="V18" s="399"/>
      <c r="W18" s="399"/>
      <c r="X18" s="399"/>
      <c r="Y18" s="399"/>
      <c r="Z18" s="399"/>
      <c r="AA18" s="399"/>
      <c r="AB18" s="399"/>
      <c r="AC18" s="399"/>
      <c r="AD18" s="399"/>
      <c r="AE18" s="399"/>
      <c r="AF18" s="399"/>
      <c r="AG18" s="399"/>
      <c r="AH18" s="399"/>
      <c r="AI18" s="399"/>
      <c r="AJ18" s="399"/>
      <c r="AK18" s="399"/>
      <c r="AL18" s="465"/>
      <c r="AM18" s="465"/>
    </row>
    <row r="19" spans="1:39" s="462" customFormat="1" ht="3" customHeight="1" thickBot="1">
      <c r="A19" s="866"/>
      <c r="B19" s="465"/>
      <c r="C19" s="465"/>
      <c r="D19" s="465"/>
      <c r="E19" s="465"/>
      <c r="F19" s="465"/>
      <c r="G19" s="465"/>
      <c r="H19" s="399"/>
      <c r="I19" s="399"/>
      <c r="J19" s="399"/>
      <c r="K19" s="399"/>
      <c r="L19" s="399"/>
      <c r="M19" s="399"/>
      <c r="N19" s="399"/>
      <c r="O19" s="399"/>
      <c r="P19" s="399"/>
      <c r="Q19" s="399"/>
      <c r="R19" s="399"/>
      <c r="S19" s="399"/>
      <c r="T19" s="465"/>
      <c r="U19" s="465"/>
      <c r="V19" s="465"/>
      <c r="W19" s="399"/>
      <c r="X19" s="399"/>
      <c r="Y19" s="399"/>
      <c r="Z19" s="399"/>
      <c r="AA19" s="399"/>
      <c r="AB19" s="399"/>
      <c r="AC19" s="399"/>
      <c r="AD19" s="399"/>
      <c r="AE19" s="399"/>
      <c r="AF19" s="399"/>
      <c r="AG19" s="399"/>
      <c r="AH19" s="399"/>
      <c r="AI19" s="399"/>
      <c r="AJ19" s="399"/>
      <c r="AK19" s="399"/>
      <c r="AL19" s="465"/>
      <c r="AM19" s="465"/>
    </row>
    <row r="20" spans="1:39" s="462" customFormat="1" ht="16.5">
      <c r="A20" s="464" t="s">
        <v>1564</v>
      </c>
      <c r="B20" s="463"/>
      <c r="C20" s="463"/>
      <c r="D20" s="463"/>
      <c r="E20" s="463"/>
      <c r="F20" s="463"/>
      <c r="G20" s="463"/>
      <c r="H20" s="407"/>
      <c r="I20" s="407"/>
      <c r="J20" s="407"/>
      <c r="K20" s="407"/>
      <c r="L20" s="407"/>
      <c r="M20" s="407"/>
      <c r="N20" s="407"/>
      <c r="O20" s="407"/>
      <c r="P20" s="407"/>
      <c r="Q20" s="407"/>
      <c r="R20" s="407"/>
      <c r="S20" s="407"/>
      <c r="T20" s="463"/>
      <c r="U20" s="463"/>
      <c r="V20" s="463"/>
      <c r="W20" s="407"/>
      <c r="X20" s="407"/>
      <c r="Y20" s="407"/>
      <c r="Z20" s="407"/>
      <c r="AA20" s="407"/>
      <c r="AB20" s="407"/>
      <c r="AC20" s="407"/>
      <c r="AD20" s="407"/>
      <c r="AE20" s="407"/>
      <c r="AF20" s="407"/>
      <c r="AG20" s="407"/>
      <c r="AH20" s="407"/>
      <c r="AI20" s="407"/>
      <c r="AJ20" s="407"/>
      <c r="AK20" s="407"/>
      <c r="AL20" s="479"/>
    </row>
    <row r="21" spans="1:39" s="462" customFormat="1" ht="19.5" customHeight="1">
      <c r="A21" s="449" t="str">
        <f>+LEFT('Input data'!$F$3,1)</f>
        <v>F</v>
      </c>
      <c r="B21" s="441" t="str">
        <f>+MID('Input data'!$F$3,2,1)</f>
        <v>o</v>
      </c>
      <c r="C21" s="441" t="str">
        <f>+MID('Input data'!$F$3,3,1)</f>
        <v>s</v>
      </c>
      <c r="D21" s="441" t="str">
        <f>+MID('Input data'!$F$3,4,1)</f>
        <v>s</v>
      </c>
      <c r="E21" s="441" t="str">
        <f>+MID('Input data'!$F$3,5,1)</f>
        <v xml:space="preserve"> </v>
      </c>
      <c r="F21" s="441" t="str">
        <f>+MID('Input data'!$F$3,6,1)</f>
        <v>F</v>
      </c>
      <c r="G21" s="441" t="str">
        <f>+MID('Input data'!$F$3,7,1)</f>
        <v>i</v>
      </c>
      <c r="H21" s="441" t="str">
        <f>+MID('Input data'!$F$3,8,1)</f>
        <v>b</v>
      </c>
      <c r="I21" s="441" t="str">
        <f>+MID('Input data'!$F$3,9,1)</f>
        <v>r</v>
      </c>
      <c r="J21" s="441" t="str">
        <f>+MID('Input data'!$F$3,10,1)</f>
        <v>e</v>
      </c>
      <c r="K21" s="441" t="str">
        <f>+MID('Input data'!$F$3,11,1)</f>
        <v xml:space="preserve"> </v>
      </c>
      <c r="L21" s="441" t="str">
        <f>+MID('Input data'!$F$3,12,1)</f>
        <v>O</v>
      </c>
      <c r="M21" s="441" t="str">
        <f>+MID('Input data'!$F$3,13,1)</f>
        <v>p</v>
      </c>
      <c r="N21" s="441" t="str">
        <f>+MID('Input data'!$F$3,14,1)</f>
        <v>t</v>
      </c>
      <c r="O21" s="441" t="str">
        <f>+MID('Input data'!$F$3,15,1)</f>
        <v>i</v>
      </c>
      <c r="P21" s="441" t="str">
        <f>+MID('Input data'!$F$3,16,1)</f>
        <v>c</v>
      </c>
      <c r="Q21" s="441" t="str">
        <f>+MID('Input data'!$F$3,17,1)</f>
        <v>s</v>
      </c>
      <c r="R21" s="441" t="str">
        <f>+MID('Input data'!$F$3,18,1)</f>
        <v>,</v>
      </c>
      <c r="S21" s="441" t="str">
        <f>+MID('Input data'!$F$3,19,1)</f>
        <v xml:space="preserve"> </v>
      </c>
      <c r="T21" s="441" t="str">
        <f>+MID('Input data'!$F$3,20,1)</f>
        <v>s</v>
      </c>
      <c r="U21" s="441" t="str">
        <f>+MID('Input data'!$F$3,21,1)</f>
        <v>.</v>
      </c>
      <c r="V21" s="441" t="str">
        <f>+MID('Input data'!$F$3,22,1)</f>
        <v>r</v>
      </c>
      <c r="W21" s="441" t="str">
        <f>+MID('Input data'!$F$3,23,1)</f>
        <v>.</v>
      </c>
      <c r="X21" s="441" t="str">
        <f>+MID('Input data'!$F$3,24,1)</f>
        <v>o</v>
      </c>
      <c r="Y21" s="441" t="str">
        <f>+MID('Input data'!$F$3,25,1)</f>
        <v>.</v>
      </c>
      <c r="Z21" s="441" t="str">
        <f>+MID('Input data'!$F$3,26,1)</f>
        <v xml:space="preserve"> </v>
      </c>
      <c r="AA21" s="441" t="str">
        <f>+MID('Input data'!$F$3,27,1)</f>
        <v xml:space="preserve">
</v>
      </c>
      <c r="AB21" s="441" t="str">
        <f>+MID('Input data'!$F$3,28,1)</f>
        <v/>
      </c>
      <c r="AC21" s="441" t="str">
        <f>+MID('Input data'!$F$3,29,1)</f>
        <v/>
      </c>
      <c r="AD21" s="441" t="str">
        <f>+MID('Input data'!$F$3,30,1)</f>
        <v/>
      </c>
      <c r="AE21" s="441" t="str">
        <f>+MID('Input data'!$F$3,31,1)</f>
        <v/>
      </c>
      <c r="AF21" s="441" t="str">
        <f>+MID('Input data'!$F$3,32,1)</f>
        <v/>
      </c>
      <c r="AG21" s="441" t="str">
        <f>+MID('Input data'!$F$3,33,1)</f>
        <v/>
      </c>
      <c r="AH21" s="441" t="str">
        <f>+MID('Input data'!$F$3,34,1)</f>
        <v/>
      </c>
      <c r="AI21" s="441" t="str">
        <f>+MID('Input data'!$F$3,35,1)</f>
        <v/>
      </c>
      <c r="AJ21" s="441" t="str">
        <f>+MID('Input data'!$F$3,36,1)</f>
        <v/>
      </c>
      <c r="AK21" s="448" t="str">
        <f>+MID('Input data'!$F$3,37,1)</f>
        <v/>
      </c>
      <c r="AL21" s="471"/>
    </row>
    <row r="22" spans="1:39" ht="19.5" customHeight="1">
      <c r="A22" s="449" t="str">
        <f>+MID('Input data'!$F$3,38,1)</f>
        <v/>
      </c>
      <c r="B22" s="441" t="str">
        <f>+MID('Input data'!$F$3,39,1)</f>
        <v/>
      </c>
      <c r="C22" s="441" t="str">
        <f>+MID('Input data'!$F$3,40,1)</f>
        <v/>
      </c>
      <c r="D22" s="441" t="str">
        <f>+MID('Input data'!$F$3,41,1)</f>
        <v/>
      </c>
      <c r="E22" s="441" t="str">
        <f>+MID('Input data'!$F$3,42,1)</f>
        <v/>
      </c>
      <c r="F22" s="441" t="str">
        <f>+MID('Input data'!$F$3,43,1)</f>
        <v/>
      </c>
      <c r="G22" s="441" t="str">
        <f>+MID('Input data'!$F$3,44,1)</f>
        <v/>
      </c>
      <c r="H22" s="441" t="str">
        <f>+MID('Input data'!$F$3,45,1)</f>
        <v/>
      </c>
      <c r="I22" s="441" t="str">
        <f>+MID('Input data'!$F$3,46,1)</f>
        <v/>
      </c>
      <c r="J22" s="441" t="str">
        <f>+MID('Input data'!$F$3,47,1)</f>
        <v/>
      </c>
      <c r="K22" s="441" t="str">
        <f>+MID('Input data'!$F$3,48,1)</f>
        <v/>
      </c>
      <c r="L22" s="441" t="str">
        <f>+MID('Input data'!$F$3,49,1)</f>
        <v/>
      </c>
      <c r="M22" s="441" t="str">
        <f>+MID('Input data'!$F$3,50,1)</f>
        <v/>
      </c>
      <c r="N22" s="441" t="str">
        <f>+MID('Input data'!$F$3,51,1)</f>
        <v/>
      </c>
      <c r="O22" s="441" t="str">
        <f>+MID('Input data'!$F$3,52,1)</f>
        <v/>
      </c>
      <c r="P22" s="441" t="str">
        <f>+MID('Input data'!$F$3,53,1)</f>
        <v/>
      </c>
      <c r="Q22" s="441" t="str">
        <f>+MID('Input data'!$F$3,54,1)</f>
        <v/>
      </c>
      <c r="R22" s="441" t="str">
        <f>+MID('Input data'!$F$3,55,1)</f>
        <v/>
      </c>
      <c r="S22" s="441" t="str">
        <f>+MID('Input data'!$F$3,56,1)</f>
        <v/>
      </c>
      <c r="T22" s="441" t="str">
        <f>+MID('Input data'!$F$3,57,1)</f>
        <v/>
      </c>
      <c r="U22" s="441" t="str">
        <f>+MID('Input data'!$F$3,58,1)</f>
        <v/>
      </c>
      <c r="V22" s="441" t="str">
        <f>+MID('Input data'!$F$3,59,1)</f>
        <v/>
      </c>
      <c r="W22" s="441" t="str">
        <f>+MID('Input data'!$F$3,60,1)</f>
        <v/>
      </c>
      <c r="X22" s="441" t="str">
        <f>+MID('Input data'!$F$3,61,1)</f>
        <v/>
      </c>
      <c r="Y22" s="441" t="str">
        <f>+MID('Input data'!$F$3,62,1)</f>
        <v/>
      </c>
      <c r="Z22" s="441" t="str">
        <f>+MID('Input data'!$F$3,63,1)</f>
        <v/>
      </c>
      <c r="AA22" s="441" t="str">
        <f>+MID('Input data'!$F$3,64,1)</f>
        <v/>
      </c>
      <c r="AB22" s="441" t="str">
        <f>+MID('Input data'!$F$3,65,1)</f>
        <v/>
      </c>
      <c r="AC22" s="441" t="str">
        <f>+MID('Input data'!$F$3,66,1)</f>
        <v/>
      </c>
      <c r="AD22" s="441" t="str">
        <f>+MID('Input data'!$F$3,67,1)</f>
        <v/>
      </c>
      <c r="AE22" s="441" t="str">
        <f>+MID('Input data'!$F$3,68,1)</f>
        <v/>
      </c>
      <c r="AF22" s="441" t="str">
        <f>+MID('Input data'!$F$3,69,1)</f>
        <v/>
      </c>
      <c r="AG22" s="441" t="str">
        <f>+MID('Input data'!$F$3,70,1)</f>
        <v/>
      </c>
      <c r="AH22" s="441" t="str">
        <f>+MID('Input data'!$F$3,71,1)</f>
        <v/>
      </c>
      <c r="AI22" s="441" t="str">
        <f>+MID('Input data'!$F$3,72,1)</f>
        <v/>
      </c>
      <c r="AJ22" s="441" t="str">
        <f>+MID('Input data'!$F$3,73,1)</f>
        <v/>
      </c>
      <c r="AK22" s="448" t="str">
        <f>+MID('Input data'!$F$3,74,1)</f>
        <v/>
      </c>
      <c r="AL22" s="867"/>
    </row>
    <row r="23" spans="1:39" s="450" customFormat="1" ht="14.25" customHeight="1">
      <c r="A23" s="868" t="s">
        <v>1565</v>
      </c>
      <c r="B23" s="869"/>
      <c r="C23" s="869"/>
      <c r="D23" s="869"/>
      <c r="E23" s="869"/>
      <c r="F23" s="869"/>
      <c r="G23" s="869"/>
      <c r="H23" s="869"/>
      <c r="I23" s="869"/>
      <c r="J23" s="869"/>
      <c r="K23" s="869"/>
      <c r="L23" s="869"/>
      <c r="M23" s="869"/>
      <c r="N23" s="869"/>
      <c r="O23" s="869"/>
      <c r="P23" s="869"/>
      <c r="Q23" s="869"/>
      <c r="R23" s="869"/>
      <c r="S23" s="869"/>
      <c r="T23" s="869"/>
      <c r="U23" s="869"/>
      <c r="V23" s="869"/>
      <c r="W23" s="459"/>
      <c r="X23" s="459"/>
      <c r="Y23" s="459"/>
      <c r="Z23" s="459"/>
      <c r="AA23" s="459"/>
      <c r="AB23" s="459"/>
      <c r="AC23" s="459"/>
      <c r="AD23" s="459"/>
      <c r="AE23" s="459"/>
      <c r="AF23" s="459"/>
      <c r="AG23" s="459"/>
      <c r="AH23" s="459"/>
      <c r="AI23" s="459"/>
      <c r="AJ23" s="459"/>
      <c r="AK23" s="459"/>
      <c r="AL23" s="870"/>
    </row>
    <row r="24" spans="1:39">
      <c r="A24" s="446" t="s">
        <v>1566</v>
      </c>
      <c r="B24" s="823"/>
      <c r="C24" s="823"/>
      <c r="D24" s="823"/>
      <c r="E24" s="823"/>
      <c r="F24" s="823"/>
      <c r="G24" s="823"/>
      <c r="H24" s="823"/>
      <c r="I24" s="823"/>
      <c r="J24" s="823"/>
      <c r="K24" s="823"/>
      <c r="L24" s="823"/>
      <c r="M24" s="823"/>
      <c r="N24" s="823"/>
      <c r="O24" s="823"/>
      <c r="P24" s="823"/>
      <c r="Q24" s="823"/>
      <c r="R24" s="823"/>
      <c r="S24" s="823"/>
      <c r="T24" s="823"/>
      <c r="U24" s="823"/>
      <c r="V24" s="823"/>
      <c r="W24" s="399"/>
      <c r="X24" s="399"/>
      <c r="Y24" s="399"/>
      <c r="Z24" s="399"/>
      <c r="AA24" s="399"/>
      <c r="AB24" s="823"/>
      <c r="AC24" s="399"/>
      <c r="AD24" s="402" t="s">
        <v>1567</v>
      </c>
      <c r="AE24" s="399"/>
      <c r="AF24" s="399"/>
      <c r="AG24" s="399"/>
      <c r="AH24" s="399"/>
      <c r="AI24" s="399"/>
      <c r="AJ24" s="399"/>
      <c r="AK24" s="399"/>
      <c r="AL24" s="871"/>
    </row>
    <row r="25" spans="1:39" ht="19.5" customHeight="1">
      <c r="A25" s="449" t="str">
        <f>+LEFT('Input data'!$C$28,1)</f>
        <v>O</v>
      </c>
      <c r="B25" s="441" t="str">
        <f>+MID('Input data'!$C$28,2,1)</f>
        <v>d</v>
      </c>
      <c r="C25" s="441" t="str">
        <f>+MID('Input data'!$C$28,3,1)</f>
        <v>b</v>
      </c>
      <c r="D25" s="441" t="str">
        <f>+MID('Input data'!$C$28,4,1)</f>
        <v>o</v>
      </c>
      <c r="E25" s="441" t="str">
        <f>+MID('Input data'!$C$28,5,1)</f>
        <v>r</v>
      </c>
      <c r="F25" s="441" t="str">
        <f>+MID('Input data'!$C$28,6,1)</f>
        <v>á</v>
      </c>
      <c r="G25" s="441" t="str">
        <f>+MID('Input data'!$C$28,7,1)</f>
        <v>r</v>
      </c>
      <c r="H25" s="441" t="str">
        <f>+MID('Input data'!$C$28,8,1)</f>
        <v>s</v>
      </c>
      <c r="I25" s="441" t="str">
        <f>+MID('Input data'!$C$28,9,1)</f>
        <v>k</v>
      </c>
      <c r="J25" s="441" t="str">
        <f>+MID('Input data'!$C$28,10,1)</f>
        <v>a</v>
      </c>
      <c r="K25" s="441" t="str">
        <f>+MID('Input data'!$C$28,11,1)</f>
        <v/>
      </c>
      <c r="L25" s="441" t="str">
        <f>+MID('Input data'!$C$28,12,1)</f>
        <v/>
      </c>
      <c r="M25" s="441" t="str">
        <f>+MID('Input data'!$C$28,13,1)</f>
        <v/>
      </c>
      <c r="N25" s="441" t="str">
        <f>+MID('Input data'!$C$28,14,1)</f>
        <v/>
      </c>
      <c r="O25" s="441" t="str">
        <f>+MID('Input data'!$C$28,15,1)</f>
        <v/>
      </c>
      <c r="P25" s="441" t="str">
        <f>+MID('Input data'!$C$28,16,1)</f>
        <v/>
      </c>
      <c r="Q25" s="441" t="str">
        <f>+MID('Input data'!$C$28,17,1)</f>
        <v/>
      </c>
      <c r="R25" s="441" t="str">
        <f>+MID('Input data'!$C$28,18,1)</f>
        <v/>
      </c>
      <c r="S25" s="441" t="str">
        <f>+MID('Input data'!$C$28,19,1)</f>
        <v/>
      </c>
      <c r="T25" s="441" t="str">
        <f>+MID('Input data'!$C$28,20,1)</f>
        <v/>
      </c>
      <c r="U25" s="441" t="str">
        <f>+MID('Input data'!$C$28,21,1)</f>
        <v/>
      </c>
      <c r="V25" s="441" t="str">
        <f>+MID('Input data'!$C$28,22,1)</f>
        <v/>
      </c>
      <c r="W25" s="441" t="str">
        <f>+MID('Input data'!$C$28,23,1)</f>
        <v/>
      </c>
      <c r="X25" s="441" t="str">
        <f>+MID('Input data'!$C$28,24,1)</f>
        <v/>
      </c>
      <c r="Y25" s="441" t="str">
        <f>+MID('Input data'!$C$28,25,1)</f>
        <v/>
      </c>
      <c r="Z25" s="441" t="str">
        <f>+MID('Input data'!$C$28,26,1)</f>
        <v/>
      </c>
      <c r="AA25" s="441" t="str">
        <f>+MID('Input data'!$C$28,27,1)</f>
        <v/>
      </c>
      <c r="AB25" s="441" t="str">
        <f>+MID('Input data'!$C$28,28,1)</f>
        <v/>
      </c>
      <c r="AC25" s="443"/>
      <c r="AD25" s="441" t="str">
        <f>+LEFT('Input data'!$C$30,1)</f>
        <v>5</v>
      </c>
      <c r="AE25" s="441" t="str">
        <f>+MID('Input data'!$C$30,2,1)</f>
        <v>2</v>
      </c>
      <c r="AF25" s="441" t="str">
        <f>+MID('Input data'!$C$30,3,1)</f>
        <v/>
      </c>
      <c r="AG25" s="441" t="str">
        <f>+MID('Input data'!$C$30,4,1)</f>
        <v/>
      </c>
      <c r="AH25" s="441" t="str">
        <f>+MID('Input data'!$C$30,5,1)</f>
        <v/>
      </c>
      <c r="AI25" s="441" t="str">
        <f>+MID('Input data'!$C$30,6,1)</f>
        <v/>
      </c>
      <c r="AJ25" s="441" t="str">
        <f>+MID('Input data'!$C$30,7,1)</f>
        <v/>
      </c>
      <c r="AK25" s="441" t="str">
        <f>+MID('Input data'!$C$30,8,1)</f>
        <v/>
      </c>
      <c r="AL25" s="867"/>
    </row>
    <row r="26" spans="1:39">
      <c r="A26" s="446" t="s">
        <v>1568</v>
      </c>
      <c r="B26" s="823"/>
      <c r="C26" s="823"/>
      <c r="D26" s="823"/>
      <c r="E26" s="823"/>
      <c r="F26" s="823"/>
      <c r="G26" s="445" t="s">
        <v>1569</v>
      </c>
      <c r="H26" s="445"/>
      <c r="I26" s="445"/>
      <c r="J26" s="445"/>
      <c r="K26" s="445"/>
      <c r="L26" s="445"/>
      <c r="M26" s="445"/>
      <c r="N26" s="445"/>
      <c r="O26" s="445"/>
      <c r="P26" s="445"/>
      <c r="Q26" s="445"/>
      <c r="R26" s="445"/>
      <c r="S26" s="445"/>
      <c r="T26" s="445"/>
      <c r="U26" s="445"/>
      <c r="V26" s="445"/>
      <c r="W26" s="445"/>
      <c r="X26" s="445"/>
      <c r="Y26" s="445"/>
      <c r="Z26" s="445"/>
      <c r="AA26" s="445"/>
      <c r="AB26" s="445"/>
      <c r="AC26" s="445"/>
      <c r="AD26" s="445"/>
      <c r="AE26" s="399"/>
      <c r="AF26" s="399"/>
      <c r="AG26" s="399"/>
      <c r="AH26" s="399"/>
      <c r="AI26" s="399"/>
      <c r="AJ26" s="399"/>
      <c r="AK26" s="399"/>
      <c r="AL26" s="871"/>
    </row>
    <row r="27" spans="1:39" s="447" customFormat="1" ht="19.5" customHeight="1">
      <c r="A27" s="449" t="str">
        <f>+LEFT('Input data'!$C$32,1)</f>
        <v>8</v>
      </c>
      <c r="B27" s="441" t="str">
        <f>+MID('Input data'!$C$32,2,1)</f>
        <v>3</v>
      </c>
      <c r="C27" s="441" t="str">
        <f>+MID('Input data'!$C$32,3,1)</f>
        <v>1</v>
      </c>
      <c r="D27" s="441" t="str">
        <f>+MID('Input data'!$C$32,4,1)</f>
        <v xml:space="preserve"> </v>
      </c>
      <c r="E27" s="441" t="str">
        <f>+MID('Input data'!$C$32,5,1)</f>
        <v>0</v>
      </c>
      <c r="F27" s="441"/>
      <c r="G27" s="441" t="str">
        <f>+LEFT('Input data'!$C$34,1)</f>
        <v>B</v>
      </c>
      <c r="H27" s="441" t="str">
        <f>+MID('Input data'!$C$34,2,1)</f>
        <v>r</v>
      </c>
      <c r="I27" s="441" t="str">
        <f>+MID('Input data'!$C$34,3,1)</f>
        <v>a</v>
      </c>
      <c r="J27" s="441" t="str">
        <f>+MID('Input data'!$C$34,4,1)</f>
        <v>t</v>
      </c>
      <c r="K27" s="441" t="str">
        <f>+MID('Input data'!$C$34,5,1)</f>
        <v>i</v>
      </c>
      <c r="L27" s="441" t="str">
        <f>+MID('Input data'!$C$34,6,1)</f>
        <v>s</v>
      </c>
      <c r="M27" s="441" t="str">
        <f>+MID('Input data'!$C$34,7,1)</f>
        <v>l</v>
      </c>
      <c r="N27" s="441" t="str">
        <f>+MID('Input data'!$C$34,8,1)</f>
        <v>a</v>
      </c>
      <c r="O27" s="441" t="str">
        <f>+MID('Input data'!$C$34,9,1)</f>
        <v>v</v>
      </c>
      <c r="P27" s="441" t="str">
        <f>+MID('Input data'!$C$34,10,1)</f>
        <v>a</v>
      </c>
      <c r="Q27" s="441" t="str">
        <f>+MID('Input data'!$C$34,11,1)</f>
        <v xml:space="preserve"> </v>
      </c>
      <c r="R27" s="441" t="str">
        <f>+MID('Input data'!$C$34,12,1)</f>
        <v/>
      </c>
      <c r="S27" s="441" t="str">
        <f>+MID('Input data'!$C$34,13,1)</f>
        <v/>
      </c>
      <c r="T27" s="441" t="str">
        <f>+MID('Input data'!$C$34,14,1)</f>
        <v/>
      </c>
      <c r="U27" s="441" t="str">
        <f>+MID('Input data'!$C$34,15,1)</f>
        <v/>
      </c>
      <c r="V27" s="441" t="str">
        <f>+MID('Input data'!$C$34,16,1)</f>
        <v/>
      </c>
      <c r="W27" s="441" t="str">
        <f>+MID('Input data'!$C$34,17,1)</f>
        <v/>
      </c>
      <c r="X27" s="441" t="str">
        <f>+MID('Input data'!$C$34,18,1)</f>
        <v/>
      </c>
      <c r="Y27" s="441" t="str">
        <f>+MID('Input data'!$C$34,19,1)</f>
        <v/>
      </c>
      <c r="Z27" s="441" t="str">
        <f>+MID('Input data'!$C$34,20,1)</f>
        <v/>
      </c>
      <c r="AA27" s="441" t="str">
        <f>+MID('Input data'!$C$34,21,1)</f>
        <v/>
      </c>
      <c r="AB27" s="441" t="str">
        <f>+MID('Input data'!$C$34,22,1)</f>
        <v/>
      </c>
      <c r="AC27" s="441" t="str">
        <f>+MID('Input data'!$C$34,23,1)</f>
        <v/>
      </c>
      <c r="AD27" s="441" t="str">
        <f>+MID('Input data'!$C$34,24,1)</f>
        <v/>
      </c>
      <c r="AE27" s="441" t="str">
        <f>+MID('Input data'!$C$34,25,1)</f>
        <v/>
      </c>
      <c r="AF27" s="441" t="str">
        <f>+MID('Input data'!$C$34,26,1)</f>
        <v/>
      </c>
      <c r="AG27" s="441" t="str">
        <f>+MID('Input data'!$C$34,27,1)</f>
        <v/>
      </c>
      <c r="AH27" s="441" t="str">
        <f>+MID('Input data'!$C$34,28,1)</f>
        <v/>
      </c>
      <c r="AI27" s="441" t="str">
        <f>+MID('Input data'!$C$34,29,1)</f>
        <v/>
      </c>
      <c r="AJ27" s="441" t="str">
        <f>+MID('Input data'!$C$34,30,1)</f>
        <v/>
      </c>
      <c r="AK27" s="441" t="str">
        <f>+MID('Input data'!$C$34,31,1)</f>
        <v/>
      </c>
      <c r="AL27" s="867"/>
    </row>
    <row r="28" spans="1:39">
      <c r="A28" s="446" t="s">
        <v>1570</v>
      </c>
      <c r="B28" s="823"/>
      <c r="C28" s="823"/>
      <c r="D28" s="823"/>
      <c r="E28" s="823"/>
      <c r="F28" s="823"/>
      <c r="G28" s="445"/>
      <c r="H28" s="445"/>
      <c r="I28" s="445"/>
      <c r="J28" s="445"/>
      <c r="K28" s="445"/>
      <c r="L28" s="445"/>
      <c r="M28" s="445"/>
      <c r="N28" s="823"/>
      <c r="O28" s="445" t="s">
        <v>1571</v>
      </c>
      <c r="P28" s="445"/>
      <c r="Q28" s="445"/>
      <c r="R28" s="445"/>
      <c r="S28" s="445"/>
      <c r="T28" s="445"/>
      <c r="U28" s="445"/>
      <c r="V28" s="445"/>
      <c r="W28" s="445"/>
      <c r="X28" s="445"/>
      <c r="Y28" s="445"/>
      <c r="Z28" s="445"/>
      <c r="AA28" s="445"/>
      <c r="AB28" s="445"/>
      <c r="AC28" s="445"/>
      <c r="AD28" s="445"/>
      <c r="AE28" s="399"/>
      <c r="AF28" s="399"/>
      <c r="AG28" s="399"/>
      <c r="AH28" s="399"/>
      <c r="AI28" s="399"/>
      <c r="AJ28" s="399"/>
      <c r="AK28" s="399"/>
      <c r="AL28" s="871"/>
    </row>
    <row r="29" spans="1:39" ht="19.5" customHeight="1">
      <c r="A29" s="444">
        <v>0</v>
      </c>
      <c r="B29" s="441" t="str">
        <f>+LEFT('Input data'!$C$36,1)</f>
        <v>2</v>
      </c>
      <c r="C29" s="441" t="str">
        <f>+MID('Input data'!$C$36,2,1)</f>
        <v/>
      </c>
      <c r="D29" s="441" t="str">
        <f>+MID('Input data'!$C$36,3,1)</f>
        <v/>
      </c>
      <c r="E29" s="441" t="s">
        <v>1092</v>
      </c>
      <c r="F29" s="441" t="str">
        <f>+LEFT('Input data'!$C$38,1)</f>
        <v>4</v>
      </c>
      <c r="G29" s="441" t="str">
        <f>+MID('Input data'!$C$38,2,1)</f>
        <v>8</v>
      </c>
      <c r="H29" s="441" t="str">
        <f>+MID('Input data'!$C$38,3,1)</f>
        <v>2</v>
      </c>
      <c r="I29" s="441" t="str">
        <f>+MID('Input data'!$C$38,4,1)</f>
        <v>0</v>
      </c>
      <c r="J29" s="441" t="str">
        <f>+MID('Input data'!$C$38,5,1)</f>
        <v>5</v>
      </c>
      <c r="K29" s="441" t="str">
        <f>+MID('Input data'!$C$38,6,1)</f>
        <v>2</v>
      </c>
      <c r="L29" s="441" t="str">
        <f>+MID('Input data'!$C$38,7,1)</f>
        <v>1</v>
      </c>
      <c r="M29" s="441" t="str">
        <f>+MID('Input data'!$C$38,8,1)</f>
        <v>0</v>
      </c>
      <c r="N29" s="443"/>
      <c r="O29" s="442">
        <v>0</v>
      </c>
      <c r="P29" s="441" t="str">
        <f>+LEFT('Input data'!$C$36,1)</f>
        <v>2</v>
      </c>
      <c r="Q29" s="441" t="str">
        <f>+MID('Input data'!$C$36,2,1)</f>
        <v/>
      </c>
      <c r="R29" s="441" t="str">
        <f>+MID('Input data'!$C$36,3,1)</f>
        <v/>
      </c>
      <c r="S29" s="441" t="s">
        <v>1092</v>
      </c>
      <c r="T29" s="441" t="str">
        <f>+LEFT('Input data'!$C$40,1)</f>
        <v>4</v>
      </c>
      <c r="U29" s="441" t="str">
        <f>+MID('Input data'!$C$40,2,1)</f>
        <v>8</v>
      </c>
      <c r="V29" s="441" t="str">
        <f>+MID('Input data'!$C$40,3,1)</f>
        <v>2</v>
      </c>
      <c r="W29" s="441" t="str">
        <f>+MID('Input data'!$C$40,4,1)</f>
        <v>0</v>
      </c>
      <c r="X29" s="441" t="str">
        <f>+MID('Input data'!$C$40,5,1)</f>
        <v>5</v>
      </c>
      <c r="Y29" s="441" t="str">
        <f>+MID('Input data'!$C$40,6,1)</f>
        <v>2</v>
      </c>
      <c r="Z29" s="441" t="str">
        <f>+MID('Input data'!$C$40,7,1)</f>
        <v>3</v>
      </c>
      <c r="AA29" s="441" t="str">
        <f>+MID('Input data'!$C$40,8,1)</f>
        <v>1</v>
      </c>
      <c r="AB29" s="441"/>
      <c r="AC29" s="441"/>
      <c r="AD29" s="441"/>
      <c r="AE29" s="399"/>
      <c r="AF29" s="399"/>
      <c r="AG29" s="399"/>
      <c r="AH29" s="399"/>
      <c r="AI29" s="399"/>
      <c r="AJ29" s="399"/>
      <c r="AK29" s="399"/>
      <c r="AL29" s="867"/>
    </row>
    <row r="30" spans="1:39" s="391" customFormat="1">
      <c r="A30" s="403" t="s">
        <v>1572</v>
      </c>
      <c r="B30" s="402"/>
      <c r="C30" s="402"/>
      <c r="D30" s="402"/>
      <c r="E30" s="402"/>
      <c r="F30" s="402"/>
      <c r="G30" s="402"/>
      <c r="H30" s="402"/>
      <c r="I30" s="402"/>
      <c r="J30" s="402"/>
      <c r="K30" s="402"/>
      <c r="L30" s="402"/>
      <c r="M30" s="402"/>
      <c r="N30" s="402"/>
      <c r="O30" s="402"/>
      <c r="P30" s="402"/>
      <c r="Q30" s="402"/>
      <c r="R30" s="402"/>
      <c r="S30" s="402"/>
      <c r="T30" s="402"/>
      <c r="U30" s="402"/>
      <c r="V30" s="402"/>
      <c r="W30" s="399"/>
      <c r="X30" s="399"/>
      <c r="Y30" s="399"/>
      <c r="Z30" s="399"/>
      <c r="AA30" s="399"/>
      <c r="AB30" s="399"/>
      <c r="AC30" s="399"/>
      <c r="AD30" s="399"/>
      <c r="AE30" s="399"/>
      <c r="AF30" s="399"/>
      <c r="AG30" s="399"/>
      <c r="AH30" s="399"/>
      <c r="AI30" s="399"/>
      <c r="AJ30" s="399"/>
      <c r="AK30" s="399"/>
      <c r="AL30" s="486"/>
    </row>
    <row r="31" spans="1:39" ht="19.5" customHeight="1" thickBot="1">
      <c r="A31" s="440" t="str">
        <f>+LEFT('Input data'!$B$42,1)</f>
        <v>a</v>
      </c>
      <c r="B31" s="439" t="str">
        <f>+MID('Input data'!$B$42,2,1)</f>
        <v>c</v>
      </c>
      <c r="C31" s="439" t="str">
        <f>+MID('Input data'!$B$42,3,1)</f>
        <v>c</v>
      </c>
      <c r="D31" s="439" t="str">
        <f>+MID('Input data'!$B$42,4,1)</f>
        <v>o</v>
      </c>
      <c r="E31" s="439" t="str">
        <f>+MID('Input data'!$B$42,5,1)</f>
        <v>u</v>
      </c>
      <c r="F31" s="439" t="str">
        <f>+MID('Input data'!$B$42,6,1)</f>
        <v>n</v>
      </c>
      <c r="G31" s="439" t="str">
        <f>+MID('Input data'!$B$42,7,1)</f>
        <v>t</v>
      </c>
      <c r="H31" s="439" t="str">
        <f>+MID('Input data'!$B$42,8,1)</f>
        <v>i</v>
      </c>
      <c r="I31" s="439" t="str">
        <f>+MID('Input data'!$B$42,9,1)</f>
        <v>n</v>
      </c>
      <c r="J31" s="439" t="str">
        <f>+MID('Input data'!$B$42,10,1)</f>
        <v>g</v>
      </c>
      <c r="K31" s="439" t="str">
        <f>+MID('Input data'!$B$42,11,1)</f>
        <v>@</v>
      </c>
      <c r="L31" s="439" t="str">
        <f>+MID('Input data'!$B$42,12,1)</f>
        <v>o</v>
      </c>
      <c r="M31" s="439" t="str">
        <f>+MID('Input data'!$B$42,13,1)</f>
        <v>p</v>
      </c>
      <c r="N31" s="439" t="str">
        <f>+MID('Input data'!$B$42,14,1)</f>
        <v>t</v>
      </c>
      <c r="O31" s="439" t="str">
        <f>+MID('Input data'!$B$42,15,1)</f>
        <v>o</v>
      </c>
      <c r="P31" s="439" t="str">
        <f>+MID('Input data'!$B$42,16,1)</f>
        <v>c</v>
      </c>
      <c r="Q31" s="439" t="str">
        <f>+MID('Input data'!$B$42,17,1)</f>
        <v>o</v>
      </c>
      <c r="R31" s="439" t="str">
        <f>+MID('Input data'!$B$42,18,1)</f>
        <v>n</v>
      </c>
      <c r="S31" s="439" t="str">
        <f>+MID('Input data'!$B$42,19,1)</f>
        <v>.</v>
      </c>
      <c r="T31" s="439" t="str">
        <f>+MID('Input data'!$B$42,20,1)</f>
        <v>s</v>
      </c>
      <c r="U31" s="439" t="str">
        <f>+MID('Input data'!$B$42,21,1)</f>
        <v>k</v>
      </c>
      <c r="V31" s="439" t="str">
        <f>+MID('Input data'!$B$42,22,1)</f>
        <v/>
      </c>
      <c r="W31" s="439" t="str">
        <f>+MID('Input data'!$B$42,23,1)</f>
        <v/>
      </c>
      <c r="X31" s="439" t="str">
        <f>+MID('Input data'!$B$42,24,1)</f>
        <v/>
      </c>
      <c r="Y31" s="439" t="str">
        <f>+MID('Input data'!$B$42,25,1)</f>
        <v/>
      </c>
      <c r="Z31" s="439" t="str">
        <f>+MID('Input data'!$B$42,26,1)</f>
        <v/>
      </c>
      <c r="AA31" s="439" t="str">
        <f>+MID('Input data'!$B$42,27,1)</f>
        <v/>
      </c>
      <c r="AB31" s="439" t="str">
        <f>+MID('Input data'!$B$42,28,1)</f>
        <v/>
      </c>
      <c r="AC31" s="439" t="str">
        <f>+MID('Input data'!$B$42,29,1)</f>
        <v/>
      </c>
      <c r="AD31" s="439" t="str">
        <f>+MID('Input data'!$B$42,30,1)</f>
        <v/>
      </c>
      <c r="AE31" s="439" t="str">
        <f>+MID('Input data'!$B$42,31,1)</f>
        <v/>
      </c>
      <c r="AF31" s="439" t="str">
        <f>+MID('Input data'!$B$42,32,1)</f>
        <v/>
      </c>
      <c r="AG31" s="439" t="str">
        <f>+MID('Input data'!$B$42,33,1)</f>
        <v/>
      </c>
      <c r="AH31" s="439" t="str">
        <f>+MID('Input data'!$B$42,34,1)</f>
        <v/>
      </c>
      <c r="AI31" s="439" t="str">
        <f>+MID('Input data'!$B$42,35,1)</f>
        <v/>
      </c>
      <c r="AJ31" s="439" t="str">
        <f>+MID('Input data'!$B$42,36,1)</f>
        <v/>
      </c>
      <c r="AK31" s="439" t="str">
        <f>+MID('Input data'!$B$42,37,1)</f>
        <v/>
      </c>
      <c r="AL31" s="872"/>
    </row>
    <row r="32" spans="1:39" s="391" customFormat="1" ht="4.5" customHeight="1" thickBot="1">
      <c r="A32" s="402"/>
      <c r="B32" s="402"/>
      <c r="C32" s="402"/>
      <c r="D32" s="402"/>
      <c r="E32" s="402"/>
      <c r="F32" s="402"/>
      <c r="G32" s="402"/>
      <c r="H32" s="402"/>
      <c r="I32" s="402"/>
      <c r="J32" s="402"/>
      <c r="K32" s="402"/>
      <c r="L32" s="402"/>
      <c r="M32" s="402"/>
      <c r="N32" s="402"/>
      <c r="O32" s="402"/>
      <c r="P32" s="402"/>
      <c r="Q32" s="402"/>
      <c r="R32" s="402"/>
      <c r="S32" s="402"/>
      <c r="T32" s="402"/>
      <c r="U32" s="402"/>
      <c r="V32" s="402"/>
      <c r="W32" s="399"/>
      <c r="X32" s="399"/>
      <c r="Y32" s="399"/>
      <c r="Z32" s="399"/>
      <c r="AA32" s="399"/>
      <c r="AB32" s="399"/>
      <c r="AC32" s="399"/>
      <c r="AD32" s="399"/>
      <c r="AE32" s="399"/>
      <c r="AF32" s="399"/>
      <c r="AG32" s="399"/>
      <c r="AH32" s="399"/>
      <c r="AI32" s="399"/>
      <c r="AJ32" s="399"/>
      <c r="AK32" s="399"/>
      <c r="AL32" s="402"/>
      <c r="AM32" s="402"/>
    </row>
    <row r="33" spans="1:38" s="434" customFormat="1" ht="12.75" customHeight="1">
      <c r="A33" s="437" t="s">
        <v>1573</v>
      </c>
      <c r="B33" s="436"/>
      <c r="C33" s="436"/>
      <c r="D33" s="436"/>
      <c r="E33" s="436"/>
      <c r="F33" s="436"/>
      <c r="G33" s="436"/>
      <c r="H33" s="436"/>
      <c r="I33" s="436"/>
      <c r="J33" s="436"/>
      <c r="K33" s="830"/>
      <c r="L33" s="830"/>
      <c r="M33" s="2396" t="s">
        <v>1574</v>
      </c>
      <c r="N33" s="2397"/>
      <c r="O33" s="2397"/>
      <c r="P33" s="2397"/>
      <c r="Q33" s="2397"/>
      <c r="R33" s="2397"/>
      <c r="S33" s="2397"/>
      <c r="T33" s="2397"/>
      <c r="U33" s="2398"/>
      <c r="V33" s="2396" t="s">
        <v>1575</v>
      </c>
      <c r="W33" s="2397"/>
      <c r="X33" s="2397"/>
      <c r="Y33" s="2397"/>
      <c r="Z33" s="2397"/>
      <c r="AA33" s="2397"/>
      <c r="AB33" s="2397"/>
      <c r="AC33" s="2398"/>
      <c r="AD33" s="2396" t="s">
        <v>1576</v>
      </c>
      <c r="AE33" s="2397"/>
      <c r="AF33" s="2397"/>
      <c r="AG33" s="2397"/>
      <c r="AH33" s="2397"/>
      <c r="AI33" s="2397"/>
      <c r="AJ33" s="2397"/>
      <c r="AK33" s="2397"/>
      <c r="AL33" s="2402"/>
    </row>
    <row r="34" spans="1:38" s="391" customFormat="1" ht="19.5" customHeight="1">
      <c r="A34" s="420" t="str">
        <f>LEFT(TEXT('Input data'!F34,"dd.m.yyyy"),1)</f>
        <v>1</v>
      </c>
      <c r="B34" s="419" t="str">
        <f>MID(TEXT('Input data'!$F$34,"dd.mm.yyyy"),2,1)</f>
        <v>5</v>
      </c>
      <c r="C34" s="418" t="s">
        <v>1063</v>
      </c>
      <c r="D34" s="419" t="str">
        <f>MID(TEXT('Input data'!$F$34,"dd.mm.yyyy"),4,1)</f>
        <v>0</v>
      </c>
      <c r="E34" s="419" t="str">
        <f>MID(TEXT('Input data'!$F$34,"dd.mm.yyyy"),5,1)</f>
        <v>5</v>
      </c>
      <c r="F34" s="418" t="s">
        <v>1063</v>
      </c>
      <c r="G34" s="419" t="str">
        <f>MID(TEXT('Input data'!$F$34,"dd.mm.yyyy"),7,1)</f>
        <v>2</v>
      </c>
      <c r="H34" s="419" t="str">
        <f>MID(TEXT('Input data'!$F$34,"dd.mm.yyyy"),8,1)</f>
        <v>0</v>
      </c>
      <c r="I34" s="419" t="str">
        <f>MID(TEXT('Input data'!$F$34,"dd.mm.yyyy"),9,1)</f>
        <v>1</v>
      </c>
      <c r="J34" s="419" t="str">
        <f>MID(TEXT('Input data'!$F$34,"dd.mm.yyyy"),10,1)</f>
        <v>8</v>
      </c>
      <c r="K34" s="873"/>
      <c r="L34" s="426"/>
      <c r="M34" s="2399"/>
      <c r="N34" s="2400"/>
      <c r="O34" s="2400"/>
      <c r="P34" s="2400"/>
      <c r="Q34" s="2400"/>
      <c r="R34" s="2400"/>
      <c r="S34" s="2400"/>
      <c r="T34" s="2400"/>
      <c r="U34" s="2401"/>
      <c r="V34" s="2399"/>
      <c r="W34" s="2400"/>
      <c r="X34" s="2400"/>
      <c r="Y34" s="2400"/>
      <c r="Z34" s="2400"/>
      <c r="AA34" s="2400"/>
      <c r="AB34" s="2400"/>
      <c r="AC34" s="2401"/>
      <c r="AD34" s="2399"/>
      <c r="AE34" s="2400"/>
      <c r="AF34" s="2400"/>
      <c r="AG34" s="2400"/>
      <c r="AH34" s="2400"/>
      <c r="AI34" s="2400"/>
      <c r="AJ34" s="2400"/>
      <c r="AK34" s="2400"/>
      <c r="AL34" s="2403"/>
    </row>
    <row r="35" spans="1:38" s="391" customFormat="1" ht="12.75" customHeight="1">
      <c r="A35" s="432"/>
      <c r="B35" s="431"/>
      <c r="C35" s="431"/>
      <c r="D35" s="431"/>
      <c r="E35" s="431"/>
      <c r="F35" s="431"/>
      <c r="G35" s="431"/>
      <c r="H35" s="431"/>
      <c r="I35" s="431"/>
      <c r="J35" s="431"/>
      <c r="K35" s="832"/>
      <c r="L35" s="832"/>
      <c r="M35" s="2399"/>
      <c r="N35" s="2400"/>
      <c r="O35" s="2400"/>
      <c r="P35" s="2400"/>
      <c r="Q35" s="2400"/>
      <c r="R35" s="2400"/>
      <c r="S35" s="2400"/>
      <c r="T35" s="2400"/>
      <c r="U35" s="2401"/>
      <c r="V35" s="2399"/>
      <c r="W35" s="2400"/>
      <c r="X35" s="2400"/>
      <c r="Y35" s="2400"/>
      <c r="Z35" s="2400"/>
      <c r="AA35" s="2400"/>
      <c r="AB35" s="2400"/>
      <c r="AC35" s="2401"/>
      <c r="AD35" s="2399"/>
      <c r="AE35" s="2400"/>
      <c r="AF35" s="2400"/>
      <c r="AG35" s="2400"/>
      <c r="AH35" s="2400"/>
      <c r="AI35" s="2400"/>
      <c r="AJ35" s="2400"/>
      <c r="AK35" s="2400"/>
      <c r="AL35" s="2403"/>
    </row>
    <row r="36" spans="1:38" s="391" customFormat="1">
      <c r="A36" s="403" t="s">
        <v>1577</v>
      </c>
      <c r="B36" s="402"/>
      <c r="C36" s="402"/>
      <c r="D36" s="402"/>
      <c r="E36" s="402"/>
      <c r="F36" s="402"/>
      <c r="G36" s="402"/>
      <c r="H36" s="402"/>
      <c r="I36" s="402"/>
      <c r="J36" s="402"/>
      <c r="K36" s="426"/>
      <c r="L36" s="833"/>
      <c r="M36" s="426"/>
      <c r="N36" s="426"/>
      <c r="O36" s="426"/>
      <c r="P36" s="426"/>
      <c r="Q36" s="426"/>
      <c r="R36" s="426"/>
      <c r="S36" s="426"/>
      <c r="T36" s="402"/>
      <c r="U36" s="424"/>
      <c r="V36" s="425"/>
      <c r="W36" s="425"/>
      <c r="X36" s="425"/>
      <c r="Y36" s="425"/>
      <c r="Z36" s="425"/>
      <c r="AA36" s="399"/>
      <c r="AB36" s="425"/>
      <c r="AC36" s="424"/>
      <c r="AD36" s="423"/>
      <c r="AE36" s="422"/>
      <c r="AF36" s="422"/>
      <c r="AG36" s="422"/>
      <c r="AH36" s="422"/>
      <c r="AI36" s="422"/>
      <c r="AJ36" s="422"/>
      <c r="AK36" s="422"/>
      <c r="AL36" s="421"/>
    </row>
    <row r="37" spans="1:38" s="391" customFormat="1" ht="19.5" customHeight="1">
      <c r="A37" s="420" t="str">
        <f>IF('Input data'!$F$36="","",LEFT(TEXT('Input data'!$F$36,"dd.mm.yyyy"),1))</f>
        <v/>
      </c>
      <c r="B37" s="419" t="str">
        <f>IF('Input data'!$F$36="","",MID(TEXT('Input data'!$F$36,"dd.mm.yyyy"),2,1))</f>
        <v/>
      </c>
      <c r="C37" s="418" t="s">
        <v>1063</v>
      </c>
      <c r="D37" s="419" t="str">
        <f>IF('Input data'!$F$36="","",MID(TEXT('Input data'!$F$36,"dd.mm.yyyy"),4,1))</f>
        <v/>
      </c>
      <c r="E37" s="419" t="str">
        <f>IF('Input data'!$F$36="","",MID(TEXT('Input data'!$F$36,"dd.mm.yyyy"),5,1))</f>
        <v/>
      </c>
      <c r="F37" s="418" t="s">
        <v>1063</v>
      </c>
      <c r="G37" s="417" t="str">
        <f>IF('Input data'!$F$36="","",MID(TEXT('Input data'!$F$36,"dd.mm.yyyy"),7,1))</f>
        <v/>
      </c>
      <c r="H37" s="417" t="str">
        <f>IF('Input data'!$F$36="","",MID(TEXT('Input data'!$F$36,"dd.mm.yyyy"),8,1))</f>
        <v/>
      </c>
      <c r="I37" s="417" t="str">
        <f>IF('Input data'!$F$36="","",MID(TEXT('Input data'!$F$36,"dd.mm.yyyy"),9,1))</f>
        <v/>
      </c>
      <c r="J37" s="417" t="str">
        <f>IF('Input data'!$F$36="","",MID(TEXT('Input data'!$F$36,"dd.mm.yyyy"),10,1))</f>
        <v/>
      </c>
      <c r="K37" s="834"/>
      <c r="L37" s="528"/>
      <c r="M37" s="402"/>
      <c r="N37" s="402"/>
      <c r="O37" s="402"/>
      <c r="P37" s="402"/>
      <c r="Q37" s="402"/>
      <c r="R37" s="402"/>
      <c r="S37" s="402"/>
      <c r="T37" s="402"/>
      <c r="U37" s="528"/>
      <c r="V37" s="402"/>
      <c r="W37" s="399"/>
      <c r="X37" s="399"/>
      <c r="Y37" s="399"/>
      <c r="Z37" s="399"/>
      <c r="AA37" s="399"/>
      <c r="AB37" s="399"/>
      <c r="AC37" s="527"/>
      <c r="AD37" s="399"/>
      <c r="AE37" s="399"/>
      <c r="AF37" s="399"/>
      <c r="AG37" s="399"/>
      <c r="AH37" s="399"/>
      <c r="AI37" s="399"/>
      <c r="AJ37" s="399"/>
      <c r="AK37" s="399"/>
      <c r="AL37" s="398"/>
    </row>
    <row r="38" spans="1:38" s="397" customFormat="1" thickBot="1">
      <c r="A38" s="412"/>
      <c r="B38" s="411"/>
      <c r="C38" s="411"/>
      <c r="D38" s="411"/>
      <c r="E38" s="411"/>
      <c r="F38" s="411"/>
      <c r="G38" s="411"/>
      <c r="H38" s="411"/>
      <c r="I38" s="411"/>
      <c r="J38" s="411"/>
      <c r="K38" s="411"/>
      <c r="L38" s="410"/>
      <c r="M38" s="2301">
        <f>'Input data'!F40</f>
        <v>0</v>
      </c>
      <c r="N38" s="2302"/>
      <c r="O38" s="2302"/>
      <c r="P38" s="2302"/>
      <c r="Q38" s="2302"/>
      <c r="R38" s="2302"/>
      <c r="S38" s="2302"/>
      <c r="T38" s="2302"/>
      <c r="U38" s="2303"/>
      <c r="V38" s="2301" t="e">
        <f>'Input data'!#REF!</f>
        <v>#REF!</v>
      </c>
      <c r="W38" s="2302"/>
      <c r="X38" s="2302"/>
      <c r="Y38" s="2302"/>
      <c r="Z38" s="2302"/>
      <c r="AA38" s="2302"/>
      <c r="AB38" s="2302"/>
      <c r="AC38" s="2303"/>
      <c r="AD38" s="2304" t="e">
        <f>'Input data'!#REF!</f>
        <v>#REF!</v>
      </c>
      <c r="AE38" s="2302"/>
      <c r="AF38" s="2302"/>
      <c r="AG38" s="2302"/>
      <c r="AH38" s="2302"/>
      <c r="AI38" s="2302"/>
      <c r="AJ38" s="2302"/>
      <c r="AK38" s="2302"/>
      <c r="AL38" s="2305"/>
    </row>
    <row r="39" spans="1:38" s="397" customFormat="1">
      <c r="A39" s="400"/>
      <c r="B39" s="400"/>
      <c r="C39" s="400"/>
      <c r="D39" s="400"/>
      <c r="E39" s="400"/>
      <c r="F39" s="400"/>
      <c r="G39" s="400"/>
      <c r="H39" s="400"/>
      <c r="I39" s="400"/>
      <c r="J39" s="400"/>
      <c r="K39" s="400"/>
      <c r="L39" s="400"/>
      <c r="M39" s="874"/>
      <c r="N39" s="874"/>
      <c r="O39" s="874"/>
      <c r="P39" s="874"/>
      <c r="Q39" s="874"/>
      <c r="R39" s="874"/>
      <c r="S39" s="874"/>
      <c r="T39" s="874"/>
      <c r="U39" s="874"/>
      <c r="V39" s="400"/>
      <c r="W39" s="399"/>
      <c r="X39" s="399"/>
      <c r="Y39" s="399"/>
      <c r="Z39" s="399"/>
      <c r="AA39" s="399"/>
      <c r="AB39" s="399"/>
      <c r="AC39" s="399"/>
      <c r="AD39" s="400"/>
      <c r="AE39" s="400"/>
      <c r="AF39" s="400"/>
      <c r="AG39" s="400"/>
      <c r="AH39" s="400"/>
      <c r="AI39" s="400"/>
      <c r="AJ39" s="400"/>
      <c r="AK39" s="400"/>
      <c r="AL39" s="400"/>
    </row>
    <row r="40" spans="1:38" s="397" customFormat="1">
      <c r="A40" s="400"/>
      <c r="B40" s="400"/>
      <c r="C40" s="400"/>
      <c r="D40" s="400"/>
      <c r="E40" s="400"/>
      <c r="F40" s="400"/>
      <c r="G40" s="400"/>
      <c r="H40" s="400"/>
      <c r="I40" s="400"/>
      <c r="J40" s="400"/>
      <c r="K40" s="400"/>
      <c r="L40" s="400"/>
      <c r="M40" s="874"/>
      <c r="N40" s="874"/>
      <c r="O40" s="874"/>
      <c r="P40" s="874"/>
      <c r="Q40" s="874"/>
      <c r="R40" s="874"/>
      <c r="S40" s="874"/>
      <c r="T40" s="874"/>
      <c r="U40" s="874"/>
      <c r="V40" s="400"/>
      <c r="W40" s="399"/>
      <c r="X40" s="399"/>
      <c r="Y40" s="399"/>
      <c r="Z40" s="399"/>
      <c r="AA40" s="399"/>
      <c r="AB40" s="399"/>
      <c r="AC40" s="399"/>
      <c r="AD40" s="400"/>
      <c r="AE40" s="400"/>
      <c r="AF40" s="400"/>
      <c r="AG40" s="400"/>
      <c r="AH40" s="400"/>
      <c r="AI40" s="400"/>
      <c r="AJ40" s="400"/>
      <c r="AK40" s="400"/>
      <c r="AL40" s="400"/>
    </row>
    <row r="41" spans="1:38" s="397" customFormat="1">
      <c r="W41" s="392"/>
      <c r="X41" s="392"/>
      <c r="Y41" s="392"/>
      <c r="Z41" s="392"/>
      <c r="AA41" s="392"/>
      <c r="AB41" s="392"/>
      <c r="AC41" s="392"/>
      <c r="AD41" s="392"/>
      <c r="AE41" s="392"/>
      <c r="AF41" s="392"/>
      <c r="AG41" s="392"/>
      <c r="AH41" s="392"/>
      <c r="AI41" s="392"/>
      <c r="AJ41" s="392"/>
      <c r="AK41" s="392"/>
    </row>
    <row r="42" spans="1:38" ht="13.5" thickBot="1">
      <c r="W42" s="392"/>
      <c r="X42" s="392"/>
      <c r="Y42" s="392"/>
      <c r="Z42" s="392"/>
      <c r="AA42" s="392"/>
      <c r="AB42" s="392"/>
      <c r="AC42" s="392"/>
      <c r="AD42" s="392"/>
      <c r="AE42" s="392"/>
      <c r="AF42" s="392"/>
      <c r="AG42" s="392"/>
      <c r="AH42" s="392"/>
      <c r="AI42" s="392"/>
      <c r="AJ42" s="392"/>
      <c r="AK42" s="392"/>
    </row>
    <row r="43" spans="1:38" s="397" customFormat="1">
      <c r="B43" s="409" t="s">
        <v>1578</v>
      </c>
      <c r="C43" s="408"/>
      <c r="D43" s="408"/>
      <c r="E43" s="408"/>
      <c r="F43" s="408"/>
      <c r="G43" s="408"/>
      <c r="H43" s="408"/>
      <c r="I43" s="408"/>
      <c r="J43" s="408"/>
      <c r="K43" s="408"/>
      <c r="L43" s="408"/>
      <c r="M43" s="408"/>
      <c r="N43" s="408"/>
      <c r="O43" s="408"/>
      <c r="P43" s="408"/>
      <c r="Q43" s="408"/>
      <c r="R43" s="408"/>
      <c r="S43" s="408"/>
      <c r="T43" s="408"/>
      <c r="U43" s="408"/>
      <c r="V43" s="408"/>
      <c r="W43" s="407"/>
      <c r="X43" s="407"/>
      <c r="Y43" s="407"/>
      <c r="Z43" s="407"/>
      <c r="AA43" s="407"/>
      <c r="AB43" s="407"/>
      <c r="AC43" s="407"/>
      <c r="AD43" s="407"/>
      <c r="AE43" s="407"/>
      <c r="AF43" s="407"/>
      <c r="AG43" s="407"/>
      <c r="AH43" s="407"/>
      <c r="AI43" s="407"/>
      <c r="AJ43" s="406"/>
      <c r="AK43" s="392"/>
    </row>
    <row r="44" spans="1:38" s="397" customFormat="1">
      <c r="B44" s="401"/>
      <c r="C44" s="400"/>
      <c r="D44" s="400"/>
      <c r="E44" s="400"/>
      <c r="F44" s="400"/>
      <c r="G44" s="400"/>
      <c r="H44" s="400"/>
      <c r="I44" s="400"/>
      <c r="J44" s="400"/>
      <c r="K44" s="400"/>
      <c r="L44" s="400"/>
      <c r="M44" s="400"/>
      <c r="N44" s="400"/>
      <c r="O44" s="400"/>
      <c r="P44" s="400"/>
      <c r="Q44" s="400"/>
      <c r="R44" s="400"/>
      <c r="S44" s="400"/>
      <c r="T44" s="400"/>
      <c r="U44" s="400"/>
      <c r="V44" s="400"/>
      <c r="W44" s="399"/>
      <c r="X44" s="399"/>
      <c r="Y44" s="399"/>
      <c r="Z44" s="399"/>
      <c r="AA44" s="399"/>
      <c r="AB44" s="399"/>
      <c r="AC44" s="399"/>
      <c r="AD44" s="399"/>
      <c r="AE44" s="399"/>
      <c r="AF44" s="399"/>
      <c r="AG44" s="399"/>
      <c r="AH44" s="399"/>
      <c r="AI44" s="399"/>
      <c r="AJ44" s="398"/>
      <c r="AK44" s="392"/>
    </row>
    <row r="45" spans="1:38">
      <c r="B45" s="405"/>
      <c r="C45" s="823"/>
      <c r="D45" s="823"/>
      <c r="E45" s="823"/>
      <c r="F45" s="823"/>
      <c r="G45" s="823"/>
      <c r="H45" s="823"/>
      <c r="I45" s="823"/>
      <c r="J45" s="823"/>
      <c r="K45" s="823"/>
      <c r="L45" s="823"/>
      <c r="M45" s="823"/>
      <c r="N45" s="823"/>
      <c r="O45" s="823"/>
      <c r="P45" s="823"/>
      <c r="Q45" s="823"/>
      <c r="R45" s="823"/>
      <c r="S45" s="823"/>
      <c r="T45" s="823"/>
      <c r="U45" s="823"/>
      <c r="V45" s="823"/>
      <c r="W45" s="399"/>
      <c r="X45" s="399"/>
      <c r="Y45" s="399"/>
      <c r="Z45" s="399"/>
      <c r="AA45" s="399"/>
      <c r="AB45" s="399"/>
      <c r="AC45" s="399"/>
      <c r="AD45" s="399"/>
      <c r="AE45" s="399"/>
      <c r="AF45" s="399"/>
      <c r="AG45" s="399"/>
      <c r="AH45" s="399"/>
      <c r="AI45" s="399"/>
      <c r="AJ45" s="398"/>
      <c r="AK45" s="392"/>
    </row>
    <row r="46" spans="1:38" s="397" customFormat="1">
      <c r="B46" s="401"/>
      <c r="C46" s="400"/>
      <c r="D46" s="400"/>
      <c r="E46" s="400"/>
      <c r="F46" s="400"/>
      <c r="G46" s="400"/>
      <c r="H46" s="400"/>
      <c r="I46" s="400"/>
      <c r="J46" s="400"/>
      <c r="K46" s="400"/>
      <c r="L46" s="400"/>
      <c r="M46" s="400"/>
      <c r="N46" s="400"/>
      <c r="O46" s="400"/>
      <c r="P46" s="400"/>
      <c r="Q46" s="400"/>
      <c r="R46" s="400"/>
      <c r="S46" s="400"/>
      <c r="T46" s="400"/>
      <c r="U46" s="400"/>
      <c r="V46" s="400"/>
      <c r="W46" s="399"/>
      <c r="X46" s="399"/>
      <c r="Y46" s="399"/>
      <c r="Z46" s="399"/>
      <c r="AA46" s="399"/>
      <c r="AB46" s="399"/>
      <c r="AC46" s="399"/>
      <c r="AD46" s="399"/>
      <c r="AE46" s="399"/>
      <c r="AF46" s="399"/>
      <c r="AG46" s="399"/>
      <c r="AH46" s="399"/>
      <c r="AI46" s="399"/>
      <c r="AJ46" s="398"/>
      <c r="AK46" s="392"/>
    </row>
    <row r="47" spans="1:38" s="391" customFormat="1">
      <c r="B47" s="403"/>
      <c r="C47" s="402"/>
      <c r="D47" s="402"/>
      <c r="E47" s="402"/>
      <c r="F47" s="402"/>
      <c r="G47" s="402"/>
      <c r="H47" s="402"/>
      <c r="I47" s="402"/>
      <c r="J47" s="402"/>
      <c r="K47" s="402"/>
      <c r="L47" s="402"/>
      <c r="M47" s="402"/>
      <c r="N47" s="402"/>
      <c r="O47" s="402"/>
      <c r="P47" s="402"/>
      <c r="Q47" s="402"/>
      <c r="R47" s="402"/>
      <c r="S47" s="402"/>
      <c r="T47" s="402"/>
      <c r="U47" s="402"/>
      <c r="V47" s="402"/>
      <c r="W47" s="399"/>
      <c r="X47" s="399"/>
      <c r="Y47" s="399"/>
      <c r="Z47" s="399"/>
      <c r="AA47" s="399"/>
      <c r="AB47" s="399"/>
      <c r="AC47" s="399"/>
      <c r="AD47" s="399"/>
      <c r="AE47" s="399"/>
      <c r="AF47" s="399"/>
      <c r="AG47" s="399"/>
      <c r="AH47" s="399"/>
      <c r="AI47" s="399"/>
      <c r="AJ47" s="398"/>
      <c r="AK47" s="392"/>
    </row>
    <row r="48" spans="1:38" s="391" customFormat="1">
      <c r="B48" s="403"/>
      <c r="C48" s="402"/>
      <c r="D48" s="402"/>
      <c r="E48" s="402"/>
      <c r="F48" s="402"/>
      <c r="G48" s="402"/>
      <c r="H48" s="402"/>
      <c r="I48" s="402"/>
      <c r="J48" s="402"/>
      <c r="K48" s="402"/>
      <c r="L48" s="402"/>
      <c r="M48" s="402"/>
      <c r="N48" s="402"/>
      <c r="O48" s="402"/>
      <c r="P48" s="402"/>
      <c r="Q48" s="402"/>
      <c r="R48" s="402"/>
      <c r="S48" s="402"/>
      <c r="T48" s="402"/>
      <c r="U48" s="402"/>
      <c r="V48" s="402"/>
      <c r="W48" s="399"/>
      <c r="X48" s="399"/>
      <c r="Y48" s="399"/>
      <c r="Z48" s="399"/>
      <c r="AA48" s="399"/>
      <c r="AB48" s="399"/>
      <c r="AC48" s="399"/>
      <c r="AD48" s="399"/>
      <c r="AE48" s="399"/>
      <c r="AF48" s="399"/>
      <c r="AG48" s="399"/>
      <c r="AH48" s="399"/>
      <c r="AI48" s="399"/>
      <c r="AJ48" s="398"/>
      <c r="AK48" s="392"/>
    </row>
    <row r="49" spans="2:37" s="397" customFormat="1">
      <c r="B49" s="401"/>
      <c r="C49" s="400"/>
      <c r="D49" s="400"/>
      <c r="E49" s="400"/>
      <c r="F49" s="400"/>
      <c r="G49" s="400"/>
      <c r="H49" s="400"/>
      <c r="I49" s="400"/>
      <c r="J49" s="400"/>
      <c r="K49" s="400"/>
      <c r="L49" s="400"/>
      <c r="M49" s="400"/>
      <c r="N49" s="400"/>
      <c r="O49" s="400"/>
      <c r="P49" s="400"/>
      <c r="Q49" s="400"/>
      <c r="R49" s="400"/>
      <c r="S49" s="400"/>
      <c r="T49" s="400"/>
      <c r="U49" s="400"/>
      <c r="V49" s="400"/>
      <c r="W49" s="399"/>
      <c r="X49" s="399"/>
      <c r="Y49" s="399"/>
      <c r="Z49" s="399"/>
      <c r="AA49" s="399"/>
      <c r="AB49" s="399"/>
      <c r="AC49" s="399"/>
      <c r="AD49" s="399"/>
      <c r="AE49" s="399"/>
      <c r="AF49" s="399"/>
      <c r="AG49" s="399"/>
      <c r="AH49" s="399"/>
      <c r="AI49" s="399"/>
      <c r="AJ49" s="398"/>
      <c r="AK49" s="392"/>
    </row>
    <row r="50" spans="2:37" s="397" customFormat="1">
      <c r="B50" s="401"/>
      <c r="C50" s="400"/>
      <c r="D50" s="400"/>
      <c r="E50" s="400"/>
      <c r="F50" s="400"/>
      <c r="G50" s="400"/>
      <c r="H50" s="400"/>
      <c r="I50" s="400"/>
      <c r="J50" s="400"/>
      <c r="K50" s="400"/>
      <c r="L50" s="400"/>
      <c r="M50" s="400"/>
      <c r="N50" s="400"/>
      <c r="O50" s="400"/>
      <c r="P50" s="400"/>
      <c r="Q50" s="400"/>
      <c r="R50" s="400"/>
      <c r="S50" s="400"/>
      <c r="T50" s="400"/>
      <c r="U50" s="400"/>
      <c r="V50" s="400"/>
      <c r="W50" s="399"/>
      <c r="X50" s="399"/>
      <c r="Y50" s="399"/>
      <c r="Z50" s="399"/>
      <c r="AA50" s="399"/>
      <c r="AB50" s="399"/>
      <c r="AC50" s="399"/>
      <c r="AD50" s="399"/>
      <c r="AE50" s="399"/>
      <c r="AF50" s="399"/>
      <c r="AG50" s="399"/>
      <c r="AH50" s="399"/>
      <c r="AI50" s="399"/>
      <c r="AJ50" s="398"/>
      <c r="AK50" s="392"/>
    </row>
    <row r="51" spans="2:37" s="397" customFormat="1">
      <c r="B51" s="401"/>
      <c r="C51" s="400"/>
      <c r="D51" s="400"/>
      <c r="E51" s="400"/>
      <c r="F51" s="400"/>
      <c r="G51" s="400"/>
      <c r="H51" s="400"/>
      <c r="I51" s="400"/>
      <c r="J51" s="400"/>
      <c r="K51" s="400"/>
      <c r="L51" s="400"/>
      <c r="M51" s="400"/>
      <c r="N51" s="400"/>
      <c r="O51" s="400"/>
      <c r="P51" s="400"/>
      <c r="Q51" s="400"/>
      <c r="R51" s="400"/>
      <c r="S51" s="400"/>
      <c r="T51" s="400"/>
      <c r="U51" s="400"/>
      <c r="V51" s="400"/>
      <c r="W51" s="399"/>
      <c r="X51" s="399"/>
      <c r="Y51" s="399"/>
      <c r="Z51" s="399"/>
      <c r="AA51" s="399"/>
      <c r="AB51" s="399"/>
      <c r="AC51" s="399"/>
      <c r="AD51" s="399"/>
      <c r="AE51" s="399"/>
      <c r="AF51" s="399"/>
      <c r="AG51" s="399"/>
      <c r="AH51" s="399"/>
      <c r="AI51" s="399"/>
      <c r="AJ51" s="398"/>
      <c r="AK51" s="392"/>
    </row>
    <row r="52" spans="2:37" s="397" customFormat="1">
      <c r="B52" s="401"/>
      <c r="C52" s="400"/>
      <c r="D52" s="400"/>
      <c r="E52" s="400"/>
      <c r="F52" s="400"/>
      <c r="G52" s="400"/>
      <c r="H52" s="400"/>
      <c r="I52" s="400"/>
      <c r="J52" s="400"/>
      <c r="K52" s="400"/>
      <c r="L52" s="400"/>
      <c r="M52" s="400"/>
      <c r="N52" s="400"/>
      <c r="O52" s="400"/>
      <c r="P52" s="400"/>
      <c r="Q52" s="400"/>
      <c r="R52" s="400"/>
      <c r="S52" s="400"/>
      <c r="T52" s="400"/>
      <c r="U52" s="400"/>
      <c r="V52" s="400"/>
      <c r="W52" s="399"/>
      <c r="X52" s="399"/>
      <c r="Y52" s="399"/>
      <c r="Z52" s="399"/>
      <c r="AA52" s="399"/>
      <c r="AB52" s="399"/>
      <c r="AC52" s="399"/>
      <c r="AD52" s="399"/>
      <c r="AE52" s="399"/>
      <c r="AF52" s="399"/>
      <c r="AG52" s="399"/>
      <c r="AH52" s="399"/>
      <c r="AI52" s="399"/>
      <c r="AJ52" s="398"/>
      <c r="AK52" s="392"/>
    </row>
    <row r="53" spans="2:37" s="391" customFormat="1" ht="13.5" thickBot="1">
      <c r="B53" s="396"/>
      <c r="C53" s="395"/>
      <c r="D53" s="395"/>
      <c r="E53" s="395"/>
      <c r="F53" s="395"/>
      <c r="G53" s="395" t="s">
        <v>1579</v>
      </c>
      <c r="H53" s="395"/>
      <c r="I53" s="395"/>
      <c r="J53" s="395"/>
      <c r="K53" s="395"/>
      <c r="L53" s="395"/>
      <c r="M53" s="395"/>
      <c r="N53" s="395"/>
      <c r="O53" s="395"/>
      <c r="P53" s="395"/>
      <c r="Q53" s="395"/>
      <c r="R53" s="395"/>
      <c r="S53" s="395"/>
      <c r="T53" s="395"/>
      <c r="U53" s="395" t="s">
        <v>1580</v>
      </c>
      <c r="V53" s="395"/>
      <c r="W53" s="394"/>
      <c r="X53" s="394"/>
      <c r="Y53" s="394"/>
      <c r="Z53" s="394"/>
      <c r="AA53" s="394"/>
      <c r="AB53" s="394"/>
      <c r="AC53" s="394"/>
      <c r="AD53" s="394"/>
      <c r="AE53" s="394"/>
      <c r="AF53" s="394"/>
      <c r="AG53" s="394"/>
      <c r="AH53" s="394"/>
      <c r="AI53" s="394"/>
      <c r="AJ53" s="393"/>
      <c r="AK53" s="392"/>
    </row>
  </sheetData>
  <mergeCells count="7">
    <mergeCell ref="V5:AA5"/>
    <mergeCell ref="M33:U35"/>
    <mergeCell ref="V33:AC35"/>
    <mergeCell ref="AD33:AL35"/>
    <mergeCell ref="M38:U38"/>
    <mergeCell ref="V38:AC38"/>
    <mergeCell ref="AD38:AL38"/>
  </mergeCells>
  <pageMargins left="0.39370078740157483" right="0.39370078740157483" top="0.35433070866141736" bottom="0.35433070866141736" header="0.23622047244094491" footer="0.23622047244094491"/>
  <pageSetup scale="95" orientation="portrait" r:id="rId1"/>
  <headerFooter alignWithMargins="0">
    <oddFooter>&amp;LMF SR č. 24219/3/2008/1&amp;RSeite 1</odd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O252"/>
  <sheetViews>
    <sheetView showGridLines="0" view="pageBreakPreview" zoomScaleNormal="100" zoomScaleSheetLayoutView="100" workbookViewId="0">
      <selection activeCell="E8" sqref="E8:G8"/>
    </sheetView>
  </sheetViews>
  <sheetFormatPr defaultColWidth="9.140625" defaultRowHeight="11.25"/>
  <cols>
    <col min="1" max="1" width="5.5703125" style="1179" customWidth="1"/>
    <col min="2" max="2" width="16.85546875" style="1179" customWidth="1"/>
    <col min="3" max="3" width="0.85546875" style="1179" customWidth="1"/>
    <col min="4" max="4" width="6.28515625" style="1179" customWidth="1"/>
    <col min="5" max="5" width="3.5703125" style="1179" customWidth="1"/>
    <col min="6" max="6" width="12.42578125" style="1179" customWidth="1"/>
    <col min="7" max="7" width="12.140625" style="1179" customWidth="1"/>
    <col min="8" max="8" width="0.85546875" style="1179" customWidth="1"/>
    <col min="9" max="9" width="14.7109375" style="1179" customWidth="1"/>
    <col min="10" max="10" width="3.5703125" style="1179" customWidth="1"/>
    <col min="11" max="11" width="10.5703125" style="1179" customWidth="1"/>
    <col min="12" max="12" width="14.42578125" style="1179" customWidth="1"/>
    <col min="13" max="16384" width="9.140625" style="1179"/>
  </cols>
  <sheetData>
    <row r="1" spans="1:15" ht="15" customHeight="1">
      <c r="A1" s="1178"/>
      <c r="B1" s="502"/>
      <c r="C1" s="445"/>
      <c r="G1" s="1180"/>
      <c r="H1" s="1180"/>
      <c r="I1" s="1180"/>
      <c r="J1" s="1180"/>
      <c r="K1" s="1180"/>
    </row>
    <row r="2" spans="1:15" ht="21.75" customHeight="1">
      <c r="A2" s="1178"/>
      <c r="B2" s="1166" t="s">
        <v>2605</v>
      </c>
      <c r="C2" s="1169"/>
      <c r="D2" s="525" t="s">
        <v>1581</v>
      </c>
      <c r="E2" s="1409" t="str">
        <f>"  "&amp;'SK Cover sheet'!A11&amp;"  "&amp;'SK Cover sheet'!B11&amp;"  "&amp;'SK Cover sheet'!C11&amp;"  "&amp;'SK Cover sheet'!D11&amp;"  "&amp;'SK Cover sheet'!E11&amp;"  "&amp;'SK Cover sheet'!F11&amp;"  "&amp;'SK Cover sheet'!G11&amp;"  "&amp;'SK Cover sheet'!H11&amp;"  "&amp;'SK Cover sheet'!I11&amp;"  "&amp;'SK Cover sheet'!J11</f>
        <v xml:space="preserve">  2  0  2  0  3  1  9  8  2  9</v>
      </c>
      <c r="F2" s="523"/>
      <c r="G2" s="522"/>
      <c r="H2" s="1205"/>
      <c r="I2" s="1213" t="s">
        <v>2590</v>
      </c>
      <c r="J2" s="1210" t="str">
        <f>"  "&amp;'SK Cover sheet'!A13&amp;"  "&amp;'SK Cover sheet'!B13&amp;"  "&amp;'SK Cover sheet'!C13&amp;"  "&amp;'SK Cover sheet'!D13&amp;"  "&amp;'SK Cover sheet'!E13&amp;"  "&amp;'SK Cover sheet'!F13&amp;"  "&amp;'SK Cover sheet'!G13&amp;"  "&amp;'SK Cover sheet'!H13&amp;" "</f>
        <v xml:space="preserve">  3  1  3  6  5  5  0  7 </v>
      </c>
      <c r="K2" s="1211"/>
      <c r="L2" s="1212"/>
    </row>
    <row r="3" spans="1:15" ht="2.25" customHeight="1" thickBot="1">
      <c r="A3" s="1178"/>
      <c r="C3" s="1180"/>
    </row>
    <row r="4" spans="1:15" s="1181" customFormat="1" ht="11.25" customHeight="1">
      <c r="A4" s="2502" t="s">
        <v>1582</v>
      </c>
      <c r="B4" s="2503" t="s">
        <v>1583</v>
      </c>
      <c r="C4" s="1376"/>
      <c r="D4" s="2671" t="s">
        <v>1584</v>
      </c>
      <c r="E4" s="1638" t="s">
        <v>1585</v>
      </c>
      <c r="F4" s="1639"/>
      <c r="G4" s="1639"/>
      <c r="H4" s="1639"/>
      <c r="I4" s="1639"/>
      <c r="J4" s="1640"/>
      <c r="K4" s="2384" t="s">
        <v>1563</v>
      </c>
      <c r="L4" s="2385"/>
    </row>
    <row r="5" spans="1:15" s="1181" customFormat="1" ht="11.25" customHeight="1">
      <c r="A5" s="2471"/>
      <c r="B5" s="2472"/>
      <c r="C5" s="1317"/>
      <c r="D5" s="2372"/>
      <c r="E5" s="1645">
        <v>1</v>
      </c>
      <c r="F5" s="2332" t="s">
        <v>1586</v>
      </c>
      <c r="G5" s="2391"/>
      <c r="H5" s="1408"/>
      <c r="I5" s="2663" t="s">
        <v>1178</v>
      </c>
      <c r="J5" s="2664"/>
      <c r="K5" s="2324"/>
      <c r="L5" s="2325"/>
    </row>
    <row r="6" spans="1:15" s="1181" customFormat="1" ht="12" customHeight="1">
      <c r="A6" s="2334"/>
      <c r="B6" s="2342"/>
      <c r="C6" s="1377"/>
      <c r="D6" s="2374"/>
      <c r="E6" s="1645"/>
      <c r="F6" s="2332" t="s">
        <v>1587</v>
      </c>
      <c r="G6" s="2391"/>
      <c r="H6" s="1408"/>
      <c r="I6" s="2665"/>
      <c r="J6" s="2666"/>
      <c r="K6" s="2332" t="s">
        <v>1176</v>
      </c>
      <c r="L6" s="2333"/>
    </row>
    <row r="7" spans="1:15" s="1183" customFormat="1" ht="27.95" customHeight="1">
      <c r="A7" s="1622"/>
      <c r="B7" s="1623" t="s">
        <v>2606</v>
      </c>
      <c r="C7" s="1391"/>
      <c r="D7" s="1624" t="s">
        <v>522</v>
      </c>
      <c r="E7" s="1626">
        <f>BS!D10</f>
        <v>5888095</v>
      </c>
      <c r="F7" s="1626"/>
      <c r="G7" s="1627"/>
      <c r="H7" s="1384"/>
      <c r="I7" s="1628">
        <f>E7-E8</f>
        <v>4805868</v>
      </c>
      <c r="J7" s="1628"/>
      <c r="K7" s="1629"/>
      <c r="L7" s="1182"/>
    </row>
    <row r="8" spans="1:15" s="1183" customFormat="1" ht="27.95" customHeight="1">
      <c r="A8" s="1622"/>
      <c r="B8" s="1623"/>
      <c r="C8" s="1392"/>
      <c r="D8" s="1625"/>
      <c r="E8" s="1626">
        <f>BS!E10</f>
        <v>1082227</v>
      </c>
      <c r="F8" s="1626"/>
      <c r="G8" s="1627"/>
      <c r="H8" s="1384"/>
      <c r="I8" s="1384"/>
      <c r="J8" s="1627">
        <f>BS!G10</f>
        <v>4632339</v>
      </c>
      <c r="K8" s="1628"/>
      <c r="L8" s="1630"/>
      <c r="O8" s="1183" t="s">
        <v>1093</v>
      </c>
    </row>
    <row r="9" spans="1:15" s="1183" customFormat="1" ht="27.95" customHeight="1">
      <c r="A9" s="1622" t="s">
        <v>523</v>
      </c>
      <c r="B9" s="2667" t="s">
        <v>1589</v>
      </c>
      <c r="C9" s="1391"/>
      <c r="D9" s="1624" t="s">
        <v>525</v>
      </c>
      <c r="E9" s="1626">
        <f>BS!D11</f>
        <v>3096481</v>
      </c>
      <c r="F9" s="1626"/>
      <c r="G9" s="1627"/>
      <c r="H9" s="1384"/>
      <c r="I9" s="1628">
        <f>E9-E10</f>
        <v>2030208</v>
      </c>
      <c r="J9" s="1628"/>
      <c r="K9" s="1629"/>
      <c r="L9" s="1182"/>
    </row>
    <row r="10" spans="1:15" s="1183" customFormat="1" ht="27.95" customHeight="1">
      <c r="A10" s="1622"/>
      <c r="B10" s="2350"/>
      <c r="C10" s="1392"/>
      <c r="D10" s="1625"/>
      <c r="E10" s="1626">
        <f>BS!E11</f>
        <v>1066273</v>
      </c>
      <c r="F10" s="1626"/>
      <c r="G10" s="1627"/>
      <c r="H10" s="1384"/>
      <c r="I10" s="1384"/>
      <c r="J10" s="1627">
        <f>BS!G11</f>
        <v>2030475</v>
      </c>
      <c r="K10" s="1628"/>
      <c r="L10" s="1630"/>
    </row>
    <row r="11" spans="1:15" s="1183" customFormat="1" ht="27.95" customHeight="1">
      <c r="A11" s="1648" t="s">
        <v>526</v>
      </c>
      <c r="B11" s="2667" t="s">
        <v>1590</v>
      </c>
      <c r="C11" s="1214"/>
      <c r="D11" s="1624" t="s">
        <v>528</v>
      </c>
      <c r="E11" s="1626">
        <f>BS!D12</f>
        <v>2251280</v>
      </c>
      <c r="F11" s="1626"/>
      <c r="G11" s="1627"/>
      <c r="H11" s="1384"/>
      <c r="I11" s="1628">
        <f>E11-E12</f>
        <v>1524352</v>
      </c>
      <c r="J11" s="1628"/>
      <c r="K11" s="1629"/>
      <c r="L11" s="1182"/>
    </row>
    <row r="12" spans="1:15" s="1183" customFormat="1" ht="27.95" customHeight="1">
      <c r="A12" s="1649"/>
      <c r="B12" s="2350"/>
      <c r="C12" s="1215"/>
      <c r="D12" s="1625"/>
      <c r="E12" s="1626">
        <f>BS!E12</f>
        <v>726928</v>
      </c>
      <c r="F12" s="1626"/>
      <c r="G12" s="1627"/>
      <c r="H12" s="1384"/>
      <c r="I12" s="1384"/>
      <c r="J12" s="1627">
        <f>BS!G12</f>
        <v>1848316</v>
      </c>
      <c r="K12" s="1628"/>
      <c r="L12" s="1630"/>
    </row>
    <row r="13" spans="1:15" s="1181" customFormat="1" ht="27.95" customHeight="1">
      <c r="A13" s="1663" t="s">
        <v>529</v>
      </c>
      <c r="B13" s="2477" t="s">
        <v>1591</v>
      </c>
      <c r="C13" s="1388"/>
      <c r="D13" s="1656" t="s">
        <v>531</v>
      </c>
      <c r="E13" s="1658">
        <f>BS!D13</f>
        <v>39396</v>
      </c>
      <c r="F13" s="1658"/>
      <c r="G13" s="1659"/>
      <c r="H13" s="1374"/>
      <c r="I13" s="1660">
        <f>E13-E14</f>
        <v>23628</v>
      </c>
      <c r="J13" s="1660"/>
      <c r="K13" s="1661"/>
      <c r="L13" s="1185"/>
    </row>
    <row r="14" spans="1:15" s="1181" customFormat="1" ht="27.95" customHeight="1">
      <c r="A14" s="1664"/>
      <c r="B14" s="2338"/>
      <c r="C14" s="1389"/>
      <c r="D14" s="1657"/>
      <c r="E14" s="1658">
        <f>BS!E13</f>
        <v>15768</v>
      </c>
      <c r="F14" s="1658"/>
      <c r="G14" s="1659"/>
      <c r="H14" s="1374"/>
      <c r="I14" s="1374"/>
      <c r="J14" s="1659">
        <f>BS!G13</f>
        <v>31512</v>
      </c>
      <c r="K14" s="1660"/>
      <c r="L14" s="1662"/>
    </row>
    <row r="15" spans="1:15" s="1181" customFormat="1" ht="27.95" customHeight="1">
      <c r="A15" s="1652" t="s">
        <v>532</v>
      </c>
      <c r="B15" s="2477" t="s">
        <v>1592</v>
      </c>
      <c r="C15" s="1388"/>
      <c r="D15" s="1656" t="s">
        <v>534</v>
      </c>
      <c r="E15" s="1658">
        <f>BS!D14</f>
        <v>0</v>
      </c>
      <c r="F15" s="1658"/>
      <c r="G15" s="1659"/>
      <c r="H15" s="1374"/>
      <c r="I15" s="1660">
        <f>E15-E16</f>
        <v>0</v>
      </c>
      <c r="J15" s="1660"/>
      <c r="K15" s="1661"/>
      <c r="L15" s="1185"/>
    </row>
    <row r="16" spans="1:15" s="1181" customFormat="1" ht="27.95" customHeight="1">
      <c r="A16" s="1653"/>
      <c r="B16" s="2338"/>
      <c r="C16" s="1389"/>
      <c r="D16" s="1657"/>
      <c r="E16" s="1658">
        <f>BS!E14</f>
        <v>0</v>
      </c>
      <c r="F16" s="1658"/>
      <c r="G16" s="1659"/>
      <c r="H16" s="1374"/>
      <c r="I16" s="1374"/>
      <c r="J16" s="1659">
        <f>BS!G14</f>
        <v>0</v>
      </c>
      <c r="K16" s="1660"/>
      <c r="L16" s="1662"/>
    </row>
    <row r="17" spans="1:12" s="1181" customFormat="1" ht="27.95" customHeight="1">
      <c r="A17" s="1652" t="s">
        <v>535</v>
      </c>
      <c r="B17" s="2477" t="s">
        <v>1593</v>
      </c>
      <c r="C17" s="1388"/>
      <c r="D17" s="1656" t="s">
        <v>537</v>
      </c>
      <c r="E17" s="1658">
        <f>BS!D15</f>
        <v>0</v>
      </c>
      <c r="F17" s="1658"/>
      <c r="G17" s="1659"/>
      <c r="H17" s="1374"/>
      <c r="I17" s="1660">
        <f>E17-E18</f>
        <v>0</v>
      </c>
      <c r="J17" s="1660"/>
      <c r="K17" s="1661"/>
      <c r="L17" s="1185"/>
    </row>
    <row r="18" spans="1:12" s="1181" customFormat="1" ht="27.95" customHeight="1">
      <c r="A18" s="1653"/>
      <c r="B18" s="2338"/>
      <c r="C18" s="1389"/>
      <c r="D18" s="1657"/>
      <c r="E18" s="1658">
        <f>BS!E15</f>
        <v>0</v>
      </c>
      <c r="F18" s="1658"/>
      <c r="G18" s="1659"/>
      <c r="H18" s="1374"/>
      <c r="I18" s="1374"/>
      <c r="J18" s="1659">
        <f>BS!G15</f>
        <v>0</v>
      </c>
      <c r="K18" s="1660"/>
      <c r="L18" s="1662"/>
    </row>
    <row r="19" spans="1:12" s="1181" customFormat="1" ht="27.95" customHeight="1">
      <c r="A19" s="1652" t="s">
        <v>538</v>
      </c>
      <c r="B19" s="2477" t="s">
        <v>1594</v>
      </c>
      <c r="C19" s="1388"/>
      <c r="D19" s="1656" t="s">
        <v>540</v>
      </c>
      <c r="E19" s="1658">
        <f>BS!D16</f>
        <v>2211884</v>
      </c>
      <c r="F19" s="1658"/>
      <c r="G19" s="1659"/>
      <c r="H19" s="1374"/>
      <c r="I19" s="1660">
        <f>E19-E20</f>
        <v>1500724</v>
      </c>
      <c r="J19" s="1660"/>
      <c r="K19" s="1661"/>
      <c r="L19" s="1185"/>
    </row>
    <row r="20" spans="1:12" s="1181" customFormat="1" ht="27.95" customHeight="1">
      <c r="A20" s="1653"/>
      <c r="B20" s="2338"/>
      <c r="C20" s="1389"/>
      <c r="D20" s="1657"/>
      <c r="E20" s="1658">
        <f>BS!E16</f>
        <v>711160</v>
      </c>
      <c r="F20" s="1658"/>
      <c r="G20" s="1659"/>
      <c r="H20" s="1374"/>
      <c r="I20" s="1374"/>
      <c r="J20" s="1659">
        <f>BS!G16</f>
        <v>1816804</v>
      </c>
      <c r="K20" s="1660"/>
      <c r="L20" s="1662"/>
    </row>
    <row r="21" spans="1:12" s="1181" customFormat="1" ht="27.95" customHeight="1">
      <c r="A21" s="1652" t="s">
        <v>541</v>
      </c>
      <c r="B21" s="2477" t="s">
        <v>1595</v>
      </c>
      <c r="C21" s="1388"/>
      <c r="D21" s="1656" t="s">
        <v>543</v>
      </c>
      <c r="E21" s="1658">
        <f>BS!D17</f>
        <v>0</v>
      </c>
      <c r="F21" s="1658"/>
      <c r="G21" s="1659"/>
      <c r="H21" s="1374"/>
      <c r="I21" s="1660">
        <f>E21-E22</f>
        <v>0</v>
      </c>
      <c r="J21" s="1660"/>
      <c r="K21" s="1661"/>
      <c r="L21" s="1185"/>
    </row>
    <row r="22" spans="1:12" s="1181" customFormat="1" ht="27.95" customHeight="1">
      <c r="A22" s="1653"/>
      <c r="B22" s="2338"/>
      <c r="C22" s="1389"/>
      <c r="D22" s="1657"/>
      <c r="E22" s="1658">
        <f>BS!E17</f>
        <v>0</v>
      </c>
      <c r="F22" s="1658"/>
      <c r="G22" s="1659"/>
      <c r="H22" s="1374"/>
      <c r="I22" s="1374"/>
      <c r="J22" s="1659">
        <f>BS!G17</f>
        <v>0</v>
      </c>
      <c r="K22" s="1660"/>
      <c r="L22" s="1662"/>
    </row>
    <row r="23" spans="1:12" s="1181" customFormat="1" ht="27.95" customHeight="1">
      <c r="A23" s="1652" t="s">
        <v>544</v>
      </c>
      <c r="B23" s="2477" t="s">
        <v>1596</v>
      </c>
      <c r="C23" s="1388"/>
      <c r="D23" s="1656" t="s">
        <v>546</v>
      </c>
      <c r="E23" s="1658">
        <f>BS!D18</f>
        <v>0</v>
      </c>
      <c r="F23" s="1658"/>
      <c r="G23" s="1659"/>
      <c r="H23" s="1374"/>
      <c r="I23" s="1660">
        <f>E23-E24</f>
        <v>0</v>
      </c>
      <c r="J23" s="1660"/>
      <c r="K23" s="1661"/>
      <c r="L23" s="1185"/>
    </row>
    <row r="24" spans="1:12" s="1181" customFormat="1" ht="27.95" customHeight="1">
      <c r="A24" s="1653"/>
      <c r="B24" s="2338"/>
      <c r="C24" s="1389"/>
      <c r="D24" s="1657"/>
      <c r="E24" s="1658">
        <f>BS!E18</f>
        <v>0</v>
      </c>
      <c r="F24" s="1658"/>
      <c r="G24" s="1659"/>
      <c r="H24" s="1374"/>
      <c r="I24" s="1374"/>
      <c r="J24" s="1659">
        <f>BS!G18</f>
        <v>0</v>
      </c>
      <c r="K24" s="1660"/>
      <c r="L24" s="1662"/>
    </row>
    <row r="25" spans="1:12" s="1181" customFormat="1" ht="27.95" customHeight="1">
      <c r="A25" s="1652" t="s">
        <v>547</v>
      </c>
      <c r="B25" s="2477" t="s">
        <v>1597</v>
      </c>
      <c r="C25" s="1388"/>
      <c r="D25" s="1656" t="s">
        <v>549</v>
      </c>
      <c r="E25" s="1658">
        <f>BS!D19</f>
        <v>0</v>
      </c>
      <c r="F25" s="1658"/>
      <c r="G25" s="1659"/>
      <c r="H25" s="1374"/>
      <c r="I25" s="1660">
        <f>E25-E26</f>
        <v>0</v>
      </c>
      <c r="J25" s="1660"/>
      <c r="K25" s="1661"/>
      <c r="L25" s="1185"/>
    </row>
    <row r="26" spans="1:12" s="1181" customFormat="1" ht="27.95" customHeight="1">
      <c r="A26" s="1653"/>
      <c r="B26" s="2338"/>
      <c r="C26" s="1389"/>
      <c r="D26" s="1657"/>
      <c r="E26" s="1658">
        <f>BS!E19</f>
        <v>0</v>
      </c>
      <c r="F26" s="1658"/>
      <c r="G26" s="1659"/>
      <c r="H26" s="1374"/>
      <c r="I26" s="1374"/>
      <c r="J26" s="1659">
        <f>BS!G19</f>
        <v>0</v>
      </c>
      <c r="K26" s="1660"/>
      <c r="L26" s="1662"/>
    </row>
    <row r="27" spans="1:12" s="1183" customFormat="1" ht="27.95" customHeight="1">
      <c r="A27" s="1665" t="s">
        <v>550</v>
      </c>
      <c r="B27" s="2662" t="s">
        <v>1598</v>
      </c>
      <c r="C27" s="1391"/>
      <c r="D27" s="1624" t="s">
        <v>552</v>
      </c>
      <c r="E27" s="1626">
        <f>BS!D20</f>
        <v>845201</v>
      </c>
      <c r="F27" s="1626"/>
      <c r="G27" s="1627"/>
      <c r="H27" s="1384"/>
      <c r="I27" s="1628">
        <f>E27-E28</f>
        <v>505856</v>
      </c>
      <c r="J27" s="1628"/>
      <c r="K27" s="1629"/>
      <c r="L27" s="1182"/>
    </row>
    <row r="28" spans="1:12" s="1183" customFormat="1" ht="27.95" customHeight="1">
      <c r="A28" s="1666"/>
      <c r="B28" s="2496"/>
      <c r="C28" s="1392"/>
      <c r="D28" s="1625"/>
      <c r="E28" s="1626">
        <f>BS!E20</f>
        <v>339345</v>
      </c>
      <c r="F28" s="1626"/>
      <c r="G28" s="1627"/>
      <c r="H28" s="1384"/>
      <c r="I28" s="1384"/>
      <c r="J28" s="1627">
        <f>BS!G20</f>
        <v>182159</v>
      </c>
      <c r="K28" s="1628"/>
      <c r="L28" s="1630"/>
    </row>
    <row r="29" spans="1:12" s="1181" customFormat="1" ht="27.95" customHeight="1">
      <c r="A29" s="1663" t="s">
        <v>553</v>
      </c>
      <c r="B29" s="2477" t="s">
        <v>1599</v>
      </c>
      <c r="C29" s="1388"/>
      <c r="D29" s="1656" t="s">
        <v>555</v>
      </c>
      <c r="E29" s="1658">
        <f>BS!D21</f>
        <v>0</v>
      </c>
      <c r="F29" s="1658"/>
      <c r="G29" s="1659"/>
      <c r="H29" s="1374"/>
      <c r="I29" s="1660">
        <f>E29-E30</f>
        <v>0</v>
      </c>
      <c r="J29" s="1660"/>
      <c r="K29" s="1661"/>
      <c r="L29" s="1185"/>
    </row>
    <row r="30" spans="1:12" s="1181" customFormat="1" ht="27.95" customHeight="1">
      <c r="A30" s="1664"/>
      <c r="B30" s="2338"/>
      <c r="C30" s="1389"/>
      <c r="D30" s="1657"/>
      <c r="E30" s="1658">
        <f>BS!E21</f>
        <v>0</v>
      </c>
      <c r="F30" s="1658"/>
      <c r="G30" s="1659"/>
      <c r="H30" s="1374"/>
      <c r="I30" s="1374"/>
      <c r="J30" s="1659">
        <f>BS!G21</f>
        <v>0</v>
      </c>
      <c r="K30" s="1660"/>
      <c r="L30" s="1662"/>
    </row>
    <row r="31" spans="1:12" s="1181" customFormat="1" ht="27.95" customHeight="1">
      <c r="A31" s="1652" t="s">
        <v>532</v>
      </c>
      <c r="B31" s="2477" t="s">
        <v>1600</v>
      </c>
      <c r="C31" s="1388"/>
      <c r="D31" s="1656" t="s">
        <v>557</v>
      </c>
      <c r="E31" s="1658">
        <f>BS!D22</f>
        <v>364187</v>
      </c>
      <c r="F31" s="1658"/>
      <c r="G31" s="1659"/>
      <c r="H31" s="1374"/>
      <c r="I31" s="1660">
        <f>E31-E32</f>
        <v>358240</v>
      </c>
      <c r="J31" s="1660"/>
      <c r="K31" s="1661"/>
      <c r="L31" s="1185"/>
    </row>
    <row r="32" spans="1:12" s="1181" customFormat="1" ht="27.95" customHeight="1">
      <c r="A32" s="1653"/>
      <c r="B32" s="2338"/>
      <c r="C32" s="1389"/>
      <c r="D32" s="1657"/>
      <c r="E32" s="1658">
        <f>BS!E22</f>
        <v>5947</v>
      </c>
      <c r="F32" s="1658"/>
      <c r="G32" s="1659"/>
      <c r="H32" s="1374"/>
      <c r="I32" s="1374"/>
      <c r="J32" s="1659">
        <f>BS!G22</f>
        <v>0</v>
      </c>
      <c r="K32" s="1660"/>
      <c r="L32" s="1662"/>
    </row>
    <row r="33" spans="1:12" ht="27.95" customHeight="1">
      <c r="A33" s="1653" t="s">
        <v>535</v>
      </c>
      <c r="B33" s="2477" t="s">
        <v>1601</v>
      </c>
      <c r="C33" s="1388"/>
      <c r="D33" s="1656" t="s">
        <v>559</v>
      </c>
      <c r="E33" s="1658">
        <f>BS!D23</f>
        <v>481014</v>
      </c>
      <c r="F33" s="1658"/>
      <c r="G33" s="1659"/>
      <c r="H33" s="1374"/>
      <c r="I33" s="1660">
        <f>E33-E34</f>
        <v>147616</v>
      </c>
      <c r="J33" s="1660"/>
      <c r="K33" s="1661"/>
      <c r="L33" s="1185"/>
    </row>
    <row r="34" spans="1:12" ht="27.95" customHeight="1" thickBot="1">
      <c r="A34" s="1670"/>
      <c r="B34" s="2672"/>
      <c r="C34" s="1397"/>
      <c r="D34" s="1672"/>
      <c r="E34" s="1673">
        <f>BS!E23</f>
        <v>333398</v>
      </c>
      <c r="F34" s="1673"/>
      <c r="G34" s="1674"/>
      <c r="H34" s="1373"/>
      <c r="I34" s="1373"/>
      <c r="J34" s="1674">
        <f>BS!G23</f>
        <v>182159</v>
      </c>
      <c r="K34" s="1675"/>
      <c r="L34" s="1676"/>
    </row>
    <row r="35" spans="1:12" ht="11.25" customHeight="1">
      <c r="A35" s="2502" t="s">
        <v>1582</v>
      </c>
      <c r="B35" s="2503" t="s">
        <v>1583</v>
      </c>
      <c r="C35" s="1376"/>
      <c r="D35" s="2671" t="s">
        <v>1584</v>
      </c>
      <c r="E35" s="1638" t="s">
        <v>1585</v>
      </c>
      <c r="F35" s="1639"/>
      <c r="G35" s="1639"/>
      <c r="H35" s="1639"/>
      <c r="I35" s="1639"/>
      <c r="J35" s="1640"/>
      <c r="K35" s="2384" t="s">
        <v>1563</v>
      </c>
      <c r="L35" s="2385"/>
    </row>
    <row r="36" spans="1:12" ht="11.25" customHeight="1">
      <c r="A36" s="2471"/>
      <c r="B36" s="2472"/>
      <c r="C36" s="1317"/>
      <c r="D36" s="2372"/>
      <c r="E36" s="1645">
        <v>1</v>
      </c>
      <c r="F36" s="2332" t="s">
        <v>1586</v>
      </c>
      <c r="G36" s="2391"/>
      <c r="H36" s="1408"/>
      <c r="I36" s="2663" t="s">
        <v>1178</v>
      </c>
      <c r="J36" s="2664"/>
      <c r="K36" s="2324"/>
      <c r="L36" s="2325"/>
    </row>
    <row r="37" spans="1:12" ht="12" customHeight="1">
      <c r="A37" s="2334"/>
      <c r="B37" s="2342"/>
      <c r="C37" s="1377"/>
      <c r="D37" s="2374"/>
      <c r="E37" s="1645"/>
      <c r="F37" s="2332" t="s">
        <v>1587</v>
      </c>
      <c r="G37" s="2391"/>
      <c r="H37" s="1408"/>
      <c r="I37" s="2665"/>
      <c r="J37" s="2666"/>
      <c r="K37" s="2332" t="s">
        <v>1176</v>
      </c>
      <c r="L37" s="2333"/>
    </row>
    <row r="38" spans="1:12" ht="27.95" customHeight="1">
      <c r="A38" s="1669" t="s">
        <v>538</v>
      </c>
      <c r="B38" s="2477" t="s">
        <v>1602</v>
      </c>
      <c r="C38" s="1388"/>
      <c r="D38" s="1656" t="s">
        <v>561</v>
      </c>
      <c r="E38" s="1658">
        <f>BS!D24</f>
        <v>0</v>
      </c>
      <c r="F38" s="1658"/>
      <c r="G38" s="1659"/>
      <c r="H38" s="1394"/>
      <c r="I38" s="1659">
        <f>E38-E39</f>
        <v>0</v>
      </c>
      <c r="J38" s="1660"/>
      <c r="K38" s="1661"/>
      <c r="L38" s="1353"/>
    </row>
    <row r="39" spans="1:12" ht="27.95" customHeight="1">
      <c r="A39" s="1669"/>
      <c r="B39" s="2338"/>
      <c r="C39" s="1389"/>
      <c r="D39" s="1657"/>
      <c r="E39" s="1661">
        <f>BS!E24</f>
        <v>0</v>
      </c>
      <c r="F39" s="1658"/>
      <c r="G39" s="1659"/>
      <c r="H39" s="1374"/>
      <c r="I39" s="1379"/>
      <c r="J39" s="1659">
        <f>BS!G24</f>
        <v>0</v>
      </c>
      <c r="K39" s="1660"/>
      <c r="L39" s="1662"/>
    </row>
    <row r="40" spans="1:12" ht="27.95" customHeight="1">
      <c r="A40" s="1653" t="s">
        <v>541</v>
      </c>
      <c r="B40" s="2477" t="s">
        <v>1603</v>
      </c>
      <c r="C40" s="1388"/>
      <c r="D40" s="1656" t="s">
        <v>563</v>
      </c>
      <c r="E40" s="1661">
        <f>BS!D25</f>
        <v>0</v>
      </c>
      <c r="F40" s="1658"/>
      <c r="G40" s="1659"/>
      <c r="H40" s="1380"/>
      <c r="I40" s="1659">
        <f>E40-E41</f>
        <v>0</v>
      </c>
      <c r="J40" s="1660"/>
      <c r="K40" s="1661"/>
      <c r="L40" s="1185"/>
    </row>
    <row r="41" spans="1:12" ht="27.95" customHeight="1">
      <c r="A41" s="1669"/>
      <c r="B41" s="2338"/>
      <c r="C41" s="1389"/>
      <c r="D41" s="1657"/>
      <c r="E41" s="1661">
        <f>BS!E25</f>
        <v>0</v>
      </c>
      <c r="F41" s="1658"/>
      <c r="G41" s="1659"/>
      <c r="H41" s="1374"/>
      <c r="I41" s="1379"/>
      <c r="J41" s="1659">
        <f>BS!G25</f>
        <v>0</v>
      </c>
      <c r="K41" s="1660"/>
      <c r="L41" s="1662"/>
    </row>
    <row r="42" spans="1:12" ht="27.95" customHeight="1">
      <c r="A42" s="1653" t="s">
        <v>544</v>
      </c>
      <c r="B42" s="2477" t="s">
        <v>1604</v>
      </c>
      <c r="C42" s="1388"/>
      <c r="D42" s="1656" t="s">
        <v>565</v>
      </c>
      <c r="E42" s="1661">
        <f>BS!D26</f>
        <v>0</v>
      </c>
      <c r="F42" s="1658"/>
      <c r="G42" s="1659"/>
      <c r="H42" s="1380"/>
      <c r="I42" s="1659">
        <f>E42-E43</f>
        <v>0</v>
      </c>
      <c r="J42" s="1660"/>
      <c r="K42" s="1661"/>
      <c r="L42" s="1185"/>
    </row>
    <row r="43" spans="1:12" ht="27.95" customHeight="1">
      <c r="A43" s="1669"/>
      <c r="B43" s="2338"/>
      <c r="C43" s="1389"/>
      <c r="D43" s="1657"/>
      <c r="E43" s="1661">
        <f>BS!E26</f>
        <v>0</v>
      </c>
      <c r="F43" s="1658"/>
      <c r="G43" s="1659"/>
      <c r="H43" s="1374"/>
      <c r="I43" s="1379"/>
      <c r="J43" s="1659">
        <f>BS!G26</f>
        <v>0</v>
      </c>
      <c r="K43" s="1660"/>
      <c r="L43" s="1662"/>
    </row>
    <row r="44" spans="1:12" ht="27.95" customHeight="1">
      <c r="A44" s="1653" t="s">
        <v>547</v>
      </c>
      <c r="B44" s="2477" t="s">
        <v>1605</v>
      </c>
      <c r="C44" s="1388"/>
      <c r="D44" s="1656" t="s">
        <v>567</v>
      </c>
      <c r="E44" s="1661">
        <f>BS!D27</f>
        <v>0</v>
      </c>
      <c r="F44" s="1658"/>
      <c r="G44" s="1659"/>
      <c r="H44" s="1380"/>
      <c r="I44" s="1659">
        <f>E44-E45</f>
        <v>0</v>
      </c>
      <c r="J44" s="1660"/>
      <c r="K44" s="1661"/>
      <c r="L44" s="1185"/>
    </row>
    <row r="45" spans="1:12" ht="27.95" customHeight="1">
      <c r="A45" s="1669"/>
      <c r="B45" s="2338"/>
      <c r="C45" s="1389"/>
      <c r="D45" s="1657"/>
      <c r="E45" s="1661">
        <f>BS!E27</f>
        <v>0</v>
      </c>
      <c r="F45" s="1658"/>
      <c r="G45" s="1659"/>
      <c r="H45" s="1374"/>
      <c r="I45" s="1379"/>
      <c r="J45" s="1659">
        <f>BS!G27</f>
        <v>0</v>
      </c>
      <c r="K45" s="1660"/>
      <c r="L45" s="1662"/>
    </row>
    <row r="46" spans="1:12" ht="27.95" customHeight="1">
      <c r="A46" s="1653" t="s">
        <v>568</v>
      </c>
      <c r="B46" s="2477" t="s">
        <v>1606</v>
      </c>
      <c r="C46" s="1388"/>
      <c r="D46" s="1656" t="s">
        <v>570</v>
      </c>
      <c r="E46" s="1661">
        <f>BS!D28</f>
        <v>0</v>
      </c>
      <c r="F46" s="1658"/>
      <c r="G46" s="1659"/>
      <c r="H46" s="1380"/>
      <c r="I46" s="1659">
        <f>E46-E47</f>
        <v>0</v>
      </c>
      <c r="J46" s="1660"/>
      <c r="K46" s="1661"/>
      <c r="L46" s="1185"/>
    </row>
    <row r="47" spans="1:12" ht="27.95" customHeight="1">
      <c r="A47" s="1669"/>
      <c r="B47" s="2338"/>
      <c r="C47" s="1389"/>
      <c r="D47" s="1657"/>
      <c r="E47" s="1661">
        <f>BS!E28</f>
        <v>0</v>
      </c>
      <c r="F47" s="1658"/>
      <c r="G47" s="1659"/>
      <c r="H47" s="1374"/>
      <c r="I47" s="1379"/>
      <c r="J47" s="1659">
        <f>BS!G28</f>
        <v>0</v>
      </c>
      <c r="K47" s="1660"/>
      <c r="L47" s="1662"/>
    </row>
    <row r="48" spans="1:12" ht="27.95" customHeight="1">
      <c r="A48" s="1653" t="s">
        <v>571</v>
      </c>
      <c r="B48" s="2477" t="s">
        <v>1607</v>
      </c>
      <c r="C48" s="1388"/>
      <c r="D48" s="1656" t="s">
        <v>573</v>
      </c>
      <c r="E48" s="1661">
        <f>BS!D29</f>
        <v>0</v>
      </c>
      <c r="F48" s="1658"/>
      <c r="G48" s="1659"/>
      <c r="H48" s="1380"/>
      <c r="I48" s="1659">
        <f>E48-E49</f>
        <v>0</v>
      </c>
      <c r="J48" s="1660"/>
      <c r="K48" s="1661"/>
      <c r="L48" s="1185"/>
    </row>
    <row r="49" spans="1:12" ht="27.95" customHeight="1">
      <c r="A49" s="1669"/>
      <c r="B49" s="2338"/>
      <c r="C49" s="1389"/>
      <c r="D49" s="1657"/>
      <c r="E49" s="1661">
        <f>BS!E29</f>
        <v>0</v>
      </c>
      <c r="F49" s="1658"/>
      <c r="G49" s="1659"/>
      <c r="H49" s="1374"/>
      <c r="I49" s="1379"/>
      <c r="J49" s="1659">
        <f>BS!G29</f>
        <v>0</v>
      </c>
      <c r="K49" s="1660"/>
      <c r="L49" s="1662"/>
    </row>
    <row r="50" spans="1:12" ht="27.95" customHeight="1">
      <c r="A50" s="1680" t="s">
        <v>574</v>
      </c>
      <c r="B50" s="2667" t="s">
        <v>2607</v>
      </c>
      <c r="C50" s="1221"/>
      <c r="D50" s="1624" t="s">
        <v>576</v>
      </c>
      <c r="E50" s="1626">
        <f>BS!D30</f>
        <v>0</v>
      </c>
      <c r="F50" s="1626"/>
      <c r="G50" s="1627"/>
      <c r="H50" s="1383"/>
      <c r="I50" s="1627">
        <f>E50-E51</f>
        <v>0</v>
      </c>
      <c r="J50" s="1628"/>
      <c r="K50" s="1629"/>
      <c r="L50" s="1182"/>
    </row>
    <row r="51" spans="1:12" ht="27.95" customHeight="1">
      <c r="A51" s="1681"/>
      <c r="B51" s="2350"/>
      <c r="C51" s="1215"/>
      <c r="D51" s="1625"/>
      <c r="E51" s="1626">
        <f>BS!E30</f>
        <v>0</v>
      </c>
      <c r="F51" s="1626"/>
      <c r="G51" s="1627"/>
      <c r="H51" s="1384"/>
      <c r="I51" s="1382"/>
      <c r="J51" s="1627">
        <f>BS!G30</f>
        <v>0</v>
      </c>
      <c r="K51" s="1628"/>
      <c r="L51" s="1630"/>
    </row>
    <row r="52" spans="1:12" s="1187" customFormat="1" ht="27.95" customHeight="1">
      <c r="A52" s="1653" t="s">
        <v>577</v>
      </c>
      <c r="B52" s="2673" t="s">
        <v>2419</v>
      </c>
      <c r="C52" s="1388"/>
      <c r="D52" s="1656" t="s">
        <v>579</v>
      </c>
      <c r="E52" s="1658">
        <f>BS!D31</f>
        <v>0</v>
      </c>
      <c r="F52" s="1658"/>
      <c r="G52" s="1659"/>
      <c r="H52" s="1380"/>
      <c r="I52" s="1659">
        <f>E52-E53</f>
        <v>0</v>
      </c>
      <c r="J52" s="1660"/>
      <c r="K52" s="1661"/>
      <c r="L52" s="1185"/>
    </row>
    <row r="53" spans="1:12" s="1187" customFormat="1" ht="27.95" customHeight="1">
      <c r="A53" s="1669"/>
      <c r="B53" s="2674"/>
      <c r="C53" s="1389"/>
      <c r="D53" s="1657"/>
      <c r="E53" s="1658">
        <f>BS!E31</f>
        <v>0</v>
      </c>
      <c r="F53" s="1658"/>
      <c r="G53" s="1659"/>
      <c r="H53" s="1374"/>
      <c r="I53" s="1379"/>
      <c r="J53" s="1659">
        <f>BS!G31</f>
        <v>0</v>
      </c>
      <c r="K53" s="1660"/>
      <c r="L53" s="1662"/>
    </row>
    <row r="54" spans="1:12" ht="27.95" customHeight="1">
      <c r="A54" s="1653" t="s">
        <v>532</v>
      </c>
      <c r="B54" s="2673" t="s">
        <v>2420</v>
      </c>
      <c r="C54" s="1388"/>
      <c r="D54" s="1656" t="s">
        <v>581</v>
      </c>
      <c r="E54" s="1658">
        <f>BS!D32</f>
        <v>0</v>
      </c>
      <c r="F54" s="1658"/>
      <c r="G54" s="1659"/>
      <c r="H54" s="1380"/>
      <c r="I54" s="1659">
        <f>E54-E55</f>
        <v>0</v>
      </c>
      <c r="J54" s="1660"/>
      <c r="K54" s="1661"/>
      <c r="L54" s="1185"/>
    </row>
    <row r="55" spans="1:12" ht="27.95" customHeight="1">
      <c r="A55" s="1669"/>
      <c r="B55" s="2674"/>
      <c r="C55" s="1389"/>
      <c r="D55" s="1657"/>
      <c r="E55" s="1658">
        <f>BS!E32</f>
        <v>0</v>
      </c>
      <c r="F55" s="1658"/>
      <c r="G55" s="1659"/>
      <c r="H55" s="1374"/>
      <c r="I55" s="1379"/>
      <c r="J55" s="1659">
        <f>BS!G32</f>
        <v>0</v>
      </c>
      <c r="K55" s="1660"/>
      <c r="L55" s="1662"/>
    </row>
    <row r="56" spans="1:12" ht="27.95" customHeight="1">
      <c r="A56" s="1653" t="s">
        <v>535</v>
      </c>
      <c r="B56" s="2673" t="s">
        <v>2421</v>
      </c>
      <c r="C56" s="1388"/>
      <c r="D56" s="1656" t="s">
        <v>583</v>
      </c>
      <c r="E56" s="1658">
        <f>BS!D33</f>
        <v>0</v>
      </c>
      <c r="F56" s="1658"/>
      <c r="G56" s="1659"/>
      <c r="H56" s="1380"/>
      <c r="I56" s="1659">
        <f>E56-E57</f>
        <v>0</v>
      </c>
      <c r="J56" s="1660"/>
      <c r="K56" s="1661"/>
      <c r="L56" s="1185"/>
    </row>
    <row r="57" spans="1:12" ht="27.95" customHeight="1">
      <c r="A57" s="1669"/>
      <c r="B57" s="2674"/>
      <c r="C57" s="1389"/>
      <c r="D57" s="1657"/>
      <c r="E57" s="1658">
        <f>BS!E33</f>
        <v>0</v>
      </c>
      <c r="F57" s="1658"/>
      <c r="G57" s="1659"/>
      <c r="H57" s="1374"/>
      <c r="I57" s="1379"/>
      <c r="J57" s="1659">
        <f>BS!G33</f>
        <v>0</v>
      </c>
      <c r="K57" s="1660"/>
      <c r="L57" s="1662"/>
    </row>
    <row r="58" spans="1:12" ht="27.95" customHeight="1">
      <c r="A58" s="1653" t="s">
        <v>538</v>
      </c>
      <c r="B58" s="2673" t="s">
        <v>2422</v>
      </c>
      <c r="C58" s="1388"/>
      <c r="D58" s="1656" t="s">
        <v>585</v>
      </c>
      <c r="E58" s="1658">
        <f>BS!D34</f>
        <v>0</v>
      </c>
      <c r="F58" s="1658"/>
      <c r="G58" s="1659"/>
      <c r="H58" s="1380"/>
      <c r="I58" s="1659">
        <f>E58-E59</f>
        <v>0</v>
      </c>
      <c r="J58" s="1660"/>
      <c r="K58" s="1661"/>
      <c r="L58" s="1185"/>
    </row>
    <row r="59" spans="1:12" ht="27.95" customHeight="1">
      <c r="A59" s="1669"/>
      <c r="B59" s="2674"/>
      <c r="C59" s="1389"/>
      <c r="D59" s="1657"/>
      <c r="E59" s="1658">
        <f>BS!E34</f>
        <v>0</v>
      </c>
      <c r="F59" s="1658"/>
      <c r="G59" s="1659"/>
      <c r="H59" s="1374"/>
      <c r="I59" s="1379"/>
      <c r="J59" s="1659">
        <f>BS!G34</f>
        <v>0</v>
      </c>
      <c r="K59" s="1660"/>
      <c r="L59" s="1662"/>
    </row>
    <row r="60" spans="1:12" ht="27.95" customHeight="1">
      <c r="A60" s="1653" t="s">
        <v>541</v>
      </c>
      <c r="B60" s="2673" t="s">
        <v>2423</v>
      </c>
      <c r="C60" s="1388"/>
      <c r="D60" s="1656" t="s">
        <v>587</v>
      </c>
      <c r="E60" s="1658">
        <f>BS!D35</f>
        <v>0</v>
      </c>
      <c r="F60" s="1658"/>
      <c r="G60" s="1659"/>
      <c r="H60" s="1380"/>
      <c r="I60" s="1659">
        <f>E60-E61</f>
        <v>0</v>
      </c>
      <c r="J60" s="1660"/>
      <c r="K60" s="1661"/>
      <c r="L60" s="1185"/>
    </row>
    <row r="61" spans="1:12" ht="27.95" customHeight="1">
      <c r="A61" s="1669"/>
      <c r="B61" s="2674"/>
      <c r="C61" s="1389"/>
      <c r="D61" s="1657"/>
      <c r="E61" s="1658">
        <f>BS!E35</f>
        <v>0</v>
      </c>
      <c r="F61" s="1658"/>
      <c r="G61" s="1659"/>
      <c r="H61" s="1374"/>
      <c r="I61" s="1379"/>
      <c r="J61" s="1659">
        <f>BS!G35</f>
        <v>0</v>
      </c>
      <c r="K61" s="1660"/>
      <c r="L61" s="1662"/>
    </row>
    <row r="62" spans="1:12" ht="27.95" customHeight="1">
      <c r="A62" s="1653" t="s">
        <v>544</v>
      </c>
      <c r="B62" s="2673" t="s">
        <v>2424</v>
      </c>
      <c r="C62" s="1388"/>
      <c r="D62" s="1656" t="s">
        <v>589</v>
      </c>
      <c r="E62" s="1658">
        <f>BS!D36</f>
        <v>0</v>
      </c>
      <c r="F62" s="1658"/>
      <c r="G62" s="1659"/>
      <c r="H62" s="1380"/>
      <c r="I62" s="1659">
        <f>E62-E63</f>
        <v>0</v>
      </c>
      <c r="J62" s="1660"/>
      <c r="K62" s="1661"/>
      <c r="L62" s="1185"/>
    </row>
    <row r="63" spans="1:12" ht="27.95" customHeight="1">
      <c r="A63" s="1669"/>
      <c r="B63" s="2674"/>
      <c r="C63" s="1389"/>
      <c r="D63" s="1657"/>
      <c r="E63" s="1658">
        <f>BS!E36</f>
        <v>0</v>
      </c>
      <c r="F63" s="1658"/>
      <c r="G63" s="1659"/>
      <c r="H63" s="1374"/>
      <c r="I63" s="1379"/>
      <c r="J63" s="1659">
        <f>BS!G36</f>
        <v>0</v>
      </c>
      <c r="K63" s="1660"/>
      <c r="L63" s="1662"/>
    </row>
    <row r="64" spans="1:12" ht="27.95" customHeight="1">
      <c r="A64" s="1669" t="s">
        <v>547</v>
      </c>
      <c r="B64" s="2673" t="s">
        <v>2425</v>
      </c>
      <c r="C64" s="1388"/>
      <c r="D64" s="1656" t="s">
        <v>591</v>
      </c>
      <c r="E64" s="1658">
        <f>BS!D37</f>
        <v>0</v>
      </c>
      <c r="F64" s="1658"/>
      <c r="G64" s="1659"/>
      <c r="H64" s="1380"/>
      <c r="I64" s="1659">
        <f>E64-E65</f>
        <v>0</v>
      </c>
      <c r="J64" s="1660"/>
      <c r="K64" s="1661"/>
      <c r="L64" s="1185"/>
    </row>
    <row r="65" spans="1:12" ht="27.95" customHeight="1" thickBot="1">
      <c r="A65" s="1670"/>
      <c r="B65" s="2675"/>
      <c r="C65" s="1397"/>
      <c r="D65" s="1672"/>
      <c r="E65" s="1673">
        <f>BS!E37</f>
        <v>0</v>
      </c>
      <c r="F65" s="1673"/>
      <c r="G65" s="1674"/>
      <c r="H65" s="1373"/>
      <c r="I65" s="1381"/>
      <c r="J65" s="1674">
        <f>BS!G37</f>
        <v>0</v>
      </c>
      <c r="K65" s="1675"/>
      <c r="L65" s="1676"/>
    </row>
    <row r="66" spans="1:12" ht="11.25" customHeight="1">
      <c r="A66" s="2502" t="s">
        <v>1582</v>
      </c>
      <c r="B66" s="2503" t="s">
        <v>1583</v>
      </c>
      <c r="C66" s="1376"/>
      <c r="D66" s="2671" t="s">
        <v>1584</v>
      </c>
      <c r="E66" s="1638" t="s">
        <v>1585</v>
      </c>
      <c r="F66" s="1639"/>
      <c r="G66" s="1639"/>
      <c r="H66" s="1639"/>
      <c r="I66" s="1639"/>
      <c r="J66" s="1640"/>
      <c r="K66" s="2384" t="s">
        <v>1563</v>
      </c>
      <c r="L66" s="2385"/>
    </row>
    <row r="67" spans="1:12" ht="11.25" customHeight="1">
      <c r="A67" s="2471"/>
      <c r="B67" s="2472"/>
      <c r="C67" s="1317"/>
      <c r="D67" s="2372"/>
      <c r="E67" s="1645">
        <v>1</v>
      </c>
      <c r="F67" s="2332" t="s">
        <v>1586</v>
      </c>
      <c r="G67" s="2391"/>
      <c r="H67" s="1408"/>
      <c r="I67" s="2663" t="s">
        <v>1178</v>
      </c>
      <c r="J67" s="2664"/>
      <c r="K67" s="2324"/>
      <c r="L67" s="2325"/>
    </row>
    <row r="68" spans="1:12" ht="12" customHeight="1">
      <c r="A68" s="2334"/>
      <c r="B68" s="2342"/>
      <c r="C68" s="1377"/>
      <c r="D68" s="2374"/>
      <c r="E68" s="1645"/>
      <c r="F68" s="2332" t="s">
        <v>1587</v>
      </c>
      <c r="G68" s="2391"/>
      <c r="H68" s="1408"/>
      <c r="I68" s="2665"/>
      <c r="J68" s="2666"/>
      <c r="K68" s="2332" t="s">
        <v>1176</v>
      </c>
      <c r="L68" s="2333"/>
    </row>
    <row r="69" spans="1:12" ht="27.95" customHeight="1">
      <c r="A69" s="1669" t="s">
        <v>568</v>
      </c>
      <c r="B69" s="2673" t="s">
        <v>2426</v>
      </c>
      <c r="C69" s="1388"/>
      <c r="D69" s="1656" t="s">
        <v>593</v>
      </c>
      <c r="E69" s="1658">
        <f>BS!D38</f>
        <v>0</v>
      </c>
      <c r="F69" s="1658"/>
      <c r="G69" s="1659"/>
      <c r="H69" s="1380"/>
      <c r="I69" s="1659">
        <f>E69-E70</f>
        <v>0</v>
      </c>
      <c r="J69" s="1660"/>
      <c r="K69" s="1661"/>
      <c r="L69" s="1185"/>
    </row>
    <row r="70" spans="1:12" ht="27.95" customHeight="1">
      <c r="A70" s="1669"/>
      <c r="B70" s="2674"/>
      <c r="C70" s="1389"/>
      <c r="D70" s="1657"/>
      <c r="E70" s="1658">
        <f>BS!E38</f>
        <v>0</v>
      </c>
      <c r="F70" s="1658"/>
      <c r="G70" s="1659"/>
      <c r="H70" s="1374"/>
      <c r="I70" s="1379"/>
      <c r="J70" s="1659">
        <f>BS!G38</f>
        <v>0</v>
      </c>
      <c r="K70" s="1660"/>
      <c r="L70" s="1662"/>
    </row>
    <row r="71" spans="1:12" ht="27.95" customHeight="1">
      <c r="A71" s="1669" t="s">
        <v>571</v>
      </c>
      <c r="B71" s="2676" t="s">
        <v>2427</v>
      </c>
      <c r="C71" s="1245"/>
      <c r="D71" s="1656" t="s">
        <v>596</v>
      </c>
      <c r="E71" s="1658">
        <f>BS!D39</f>
        <v>0</v>
      </c>
      <c r="F71" s="1658"/>
      <c r="G71" s="1659"/>
      <c r="H71" s="1380"/>
      <c r="I71" s="1659">
        <f>E71-E72</f>
        <v>0</v>
      </c>
      <c r="J71" s="1660"/>
      <c r="K71" s="1661"/>
      <c r="L71" s="1185"/>
    </row>
    <row r="72" spans="1:12" ht="27.95" customHeight="1">
      <c r="A72" s="1669"/>
      <c r="B72" s="2677"/>
      <c r="C72" s="1246"/>
      <c r="D72" s="1657"/>
      <c r="E72" s="1658">
        <f>BS!E39</f>
        <v>0</v>
      </c>
      <c r="F72" s="1658"/>
      <c r="G72" s="1659"/>
      <c r="H72" s="1374"/>
      <c r="I72" s="1379"/>
      <c r="J72" s="1659">
        <f>BS!G39</f>
        <v>0</v>
      </c>
      <c r="K72" s="1660"/>
      <c r="L72" s="1662"/>
    </row>
    <row r="73" spans="1:12" s="1187" customFormat="1" ht="27.95" customHeight="1">
      <c r="A73" s="1669" t="s">
        <v>758</v>
      </c>
      <c r="B73" s="2676" t="s">
        <v>2428</v>
      </c>
      <c r="C73" s="1245"/>
      <c r="D73" s="1656" t="s">
        <v>599</v>
      </c>
      <c r="E73" s="1658">
        <f>BS!D40</f>
        <v>0</v>
      </c>
      <c r="F73" s="1658"/>
      <c r="G73" s="1659"/>
      <c r="H73" s="1380"/>
      <c r="I73" s="1659">
        <f>E73-E74</f>
        <v>0</v>
      </c>
      <c r="J73" s="1660"/>
      <c r="K73" s="1661"/>
      <c r="L73" s="1185"/>
    </row>
    <row r="74" spans="1:12" s="1187" customFormat="1" ht="27.95" customHeight="1">
      <c r="A74" s="1669"/>
      <c r="B74" s="2677"/>
      <c r="C74" s="1246"/>
      <c r="D74" s="1657"/>
      <c r="E74" s="1658">
        <f>BS!E40</f>
        <v>0</v>
      </c>
      <c r="F74" s="1658"/>
      <c r="G74" s="1659"/>
      <c r="H74" s="1374"/>
      <c r="I74" s="1379"/>
      <c r="J74" s="1659">
        <f>BS!G40</f>
        <v>0</v>
      </c>
      <c r="K74" s="1660"/>
      <c r="L74" s="1662"/>
    </row>
    <row r="75" spans="1:12" s="1187" customFormat="1" ht="27.95" customHeight="1">
      <c r="A75" s="1669" t="s">
        <v>761</v>
      </c>
      <c r="B75" s="2673" t="s">
        <v>2429</v>
      </c>
      <c r="C75" s="1388"/>
      <c r="D75" s="1656" t="s">
        <v>602</v>
      </c>
      <c r="E75" s="1658">
        <f>BS!D41</f>
        <v>0</v>
      </c>
      <c r="F75" s="1658"/>
      <c r="G75" s="1659"/>
      <c r="H75" s="1380"/>
      <c r="I75" s="1659">
        <f>E75-E76</f>
        <v>0</v>
      </c>
      <c r="J75" s="1660"/>
      <c r="K75" s="1661"/>
      <c r="L75" s="1185"/>
    </row>
    <row r="76" spans="1:12" s="1187" customFormat="1" ht="27.95" customHeight="1">
      <c r="A76" s="1669"/>
      <c r="B76" s="2674"/>
      <c r="C76" s="1389"/>
      <c r="D76" s="1657"/>
      <c r="E76" s="1658">
        <f>BS!E41</f>
        <v>0</v>
      </c>
      <c r="F76" s="1658"/>
      <c r="G76" s="1659"/>
      <c r="H76" s="1374"/>
      <c r="I76" s="1379"/>
      <c r="J76" s="1659">
        <f>BS!G41</f>
        <v>0</v>
      </c>
      <c r="K76" s="1660"/>
      <c r="L76" s="1662"/>
    </row>
    <row r="77" spans="1:12" ht="27.95" customHeight="1">
      <c r="A77" s="1681" t="s">
        <v>594</v>
      </c>
      <c r="B77" s="1650" t="s">
        <v>2608</v>
      </c>
      <c r="C77" s="1391"/>
      <c r="D77" s="1624" t="s">
        <v>604</v>
      </c>
      <c r="E77" s="1626">
        <f>BS!D42</f>
        <v>2785556</v>
      </c>
      <c r="F77" s="1626"/>
      <c r="G77" s="1627"/>
      <c r="H77" s="1383"/>
      <c r="I77" s="1627">
        <f>E77-E78</f>
        <v>2769602</v>
      </c>
      <c r="J77" s="1628"/>
      <c r="K77" s="1629"/>
      <c r="L77" s="1182"/>
    </row>
    <row r="78" spans="1:12" ht="27.95" customHeight="1">
      <c r="A78" s="1681"/>
      <c r="B78" s="1668"/>
      <c r="C78" s="1392"/>
      <c r="D78" s="1625"/>
      <c r="E78" s="1626">
        <f>BS!E42</f>
        <v>15954</v>
      </c>
      <c r="F78" s="1626"/>
      <c r="G78" s="1627"/>
      <c r="H78" s="1384"/>
      <c r="I78" s="1382"/>
      <c r="J78" s="1627">
        <f>BS!G42</f>
        <v>2597227</v>
      </c>
      <c r="K78" s="1628"/>
      <c r="L78" s="1630"/>
    </row>
    <row r="79" spans="1:12" ht="27.95" customHeight="1">
      <c r="A79" s="1681" t="s">
        <v>597</v>
      </c>
      <c r="B79" s="1650" t="s">
        <v>2609</v>
      </c>
      <c r="C79" s="1391"/>
      <c r="D79" s="1624" t="s">
        <v>606</v>
      </c>
      <c r="E79" s="1626">
        <f>BS!D43</f>
        <v>1035190</v>
      </c>
      <c r="F79" s="1626"/>
      <c r="G79" s="1627"/>
      <c r="H79" s="1383"/>
      <c r="I79" s="1627">
        <f>E79-E80</f>
        <v>1028966</v>
      </c>
      <c r="J79" s="1628"/>
      <c r="K79" s="1629"/>
      <c r="L79" s="1182"/>
    </row>
    <row r="80" spans="1:12" ht="27.95" customHeight="1">
      <c r="A80" s="1681"/>
      <c r="B80" s="1668"/>
      <c r="C80" s="1392"/>
      <c r="D80" s="1625"/>
      <c r="E80" s="1626">
        <f>BS!E43</f>
        <v>6224</v>
      </c>
      <c r="F80" s="1626"/>
      <c r="G80" s="1627"/>
      <c r="H80" s="1384"/>
      <c r="I80" s="1382"/>
      <c r="J80" s="1627">
        <f>BS!G43</f>
        <v>756698</v>
      </c>
      <c r="K80" s="1628"/>
      <c r="L80" s="1630"/>
    </row>
    <row r="81" spans="1:14" ht="27.95" customHeight="1">
      <c r="A81" s="1669" t="s">
        <v>600</v>
      </c>
      <c r="B81" s="1654" t="s">
        <v>2610</v>
      </c>
      <c r="C81" s="1388"/>
      <c r="D81" s="1656" t="s">
        <v>608</v>
      </c>
      <c r="E81" s="1658">
        <f>BS!D44</f>
        <v>493711</v>
      </c>
      <c r="F81" s="1658"/>
      <c r="G81" s="1659"/>
      <c r="H81" s="1380"/>
      <c r="I81" s="1659">
        <f>E81-E82</f>
        <v>487487</v>
      </c>
      <c r="J81" s="1660"/>
      <c r="K81" s="1661"/>
      <c r="L81" s="1185"/>
    </row>
    <row r="82" spans="1:14" ht="27.95" customHeight="1">
      <c r="A82" s="1669"/>
      <c r="B82" s="1655"/>
      <c r="C82" s="1389"/>
      <c r="D82" s="1657"/>
      <c r="E82" s="1658">
        <f>BS!E44</f>
        <v>6224</v>
      </c>
      <c r="F82" s="1658"/>
      <c r="G82" s="1659"/>
      <c r="H82" s="1374"/>
      <c r="I82" s="1379"/>
      <c r="J82" s="1659">
        <f>BS!G44</f>
        <v>286180</v>
      </c>
      <c r="K82" s="1660"/>
      <c r="L82" s="1662"/>
    </row>
    <row r="83" spans="1:14" ht="27.95" customHeight="1">
      <c r="A83" s="1669" t="s">
        <v>532</v>
      </c>
      <c r="B83" s="1654" t="s">
        <v>2611</v>
      </c>
      <c r="C83" s="1388"/>
      <c r="D83" s="1656" t="s">
        <v>610</v>
      </c>
      <c r="E83" s="1658">
        <f>BS!D45</f>
        <v>3950</v>
      </c>
      <c r="F83" s="1658"/>
      <c r="G83" s="1659"/>
      <c r="H83" s="1380"/>
      <c r="I83" s="1659">
        <f>E83-E84</f>
        <v>3950</v>
      </c>
      <c r="J83" s="1660"/>
      <c r="K83" s="1661"/>
      <c r="L83" s="1185"/>
    </row>
    <row r="84" spans="1:14" ht="27.95" customHeight="1">
      <c r="A84" s="1669"/>
      <c r="B84" s="1655"/>
      <c r="C84" s="1389"/>
      <c r="D84" s="1657"/>
      <c r="E84" s="1658">
        <f>BS!E45</f>
        <v>0</v>
      </c>
      <c r="F84" s="1658"/>
      <c r="G84" s="1659"/>
      <c r="H84" s="1374"/>
      <c r="I84" s="1379"/>
      <c r="J84" s="1659">
        <f>BS!G45</f>
        <v>3887</v>
      </c>
      <c r="K84" s="1660"/>
      <c r="L84" s="1662"/>
    </row>
    <row r="85" spans="1:14" ht="27.95" customHeight="1">
      <c r="A85" s="1669" t="s">
        <v>535</v>
      </c>
      <c r="B85" s="1654" t="s">
        <v>2612</v>
      </c>
      <c r="C85" s="1388"/>
      <c r="D85" s="1656" t="s">
        <v>612</v>
      </c>
      <c r="E85" s="1658">
        <f>BS!D46</f>
        <v>2326</v>
      </c>
      <c r="F85" s="1658"/>
      <c r="G85" s="1659"/>
      <c r="H85" s="1380"/>
      <c r="I85" s="1659">
        <f>E85-E86</f>
        <v>2326</v>
      </c>
      <c r="J85" s="1660"/>
      <c r="K85" s="1661"/>
      <c r="L85" s="1185"/>
    </row>
    <row r="86" spans="1:14" ht="27.95" customHeight="1">
      <c r="A86" s="1669"/>
      <c r="B86" s="1655"/>
      <c r="C86" s="1389"/>
      <c r="D86" s="1657"/>
      <c r="E86" s="1658">
        <f>BS!E46</f>
        <v>0</v>
      </c>
      <c r="F86" s="1658"/>
      <c r="G86" s="1659"/>
      <c r="H86" s="1374"/>
      <c r="I86" s="1379"/>
      <c r="J86" s="1659">
        <f>BS!G46</f>
        <v>2797</v>
      </c>
      <c r="K86" s="1660"/>
      <c r="L86" s="1662"/>
    </row>
    <row r="87" spans="1:14" ht="27.95" customHeight="1">
      <c r="A87" s="1669" t="s">
        <v>538</v>
      </c>
      <c r="B87" s="1654" t="s">
        <v>2613</v>
      </c>
      <c r="C87" s="1388"/>
      <c r="D87" s="1656" t="s">
        <v>615</v>
      </c>
      <c r="E87" s="1658">
        <f>BS!D47</f>
        <v>0</v>
      </c>
      <c r="F87" s="1658"/>
      <c r="G87" s="1659"/>
      <c r="H87" s="1380"/>
      <c r="I87" s="1659">
        <f>E87-E88</f>
        <v>0</v>
      </c>
      <c r="J87" s="1660"/>
      <c r="K87" s="1661"/>
      <c r="L87" s="1185"/>
    </row>
    <row r="88" spans="1:14" ht="27.95" customHeight="1">
      <c r="A88" s="1669"/>
      <c r="B88" s="1655"/>
      <c r="C88" s="1389"/>
      <c r="D88" s="1657"/>
      <c r="E88" s="1658">
        <f>BS!E47</f>
        <v>0</v>
      </c>
      <c r="F88" s="1658"/>
      <c r="G88" s="1659"/>
      <c r="H88" s="1374"/>
      <c r="I88" s="1379"/>
      <c r="J88" s="1659">
        <f>BS!G47</f>
        <v>0</v>
      </c>
      <c r="K88" s="1660"/>
      <c r="L88" s="1662"/>
    </row>
    <row r="89" spans="1:14" s="1187" customFormat="1" ht="27.95" customHeight="1">
      <c r="A89" s="1669" t="s">
        <v>541</v>
      </c>
      <c r="B89" s="1654" t="s">
        <v>2614</v>
      </c>
      <c r="C89" s="1388"/>
      <c r="D89" s="1656" t="s">
        <v>618</v>
      </c>
      <c r="E89" s="1658">
        <f>BS!D48</f>
        <v>535203</v>
      </c>
      <c r="F89" s="1658"/>
      <c r="G89" s="1659"/>
      <c r="H89" s="1380"/>
      <c r="I89" s="1659">
        <f>E89-E90</f>
        <v>535203</v>
      </c>
      <c r="J89" s="1660"/>
      <c r="K89" s="1661"/>
      <c r="L89" s="1185"/>
    </row>
    <row r="90" spans="1:14" s="1187" customFormat="1" ht="27.95" customHeight="1">
      <c r="A90" s="1669"/>
      <c r="B90" s="1655"/>
      <c r="C90" s="1389"/>
      <c r="D90" s="1657"/>
      <c r="E90" s="1658">
        <f>BS!E48</f>
        <v>0</v>
      </c>
      <c r="F90" s="1658"/>
      <c r="G90" s="1659"/>
      <c r="H90" s="1374"/>
      <c r="I90" s="1379"/>
      <c r="J90" s="1659">
        <f>BS!G48</f>
        <v>463834</v>
      </c>
      <c r="K90" s="1660"/>
      <c r="L90" s="1662"/>
    </row>
    <row r="91" spans="1:14" s="1187" customFormat="1" ht="27.95" customHeight="1">
      <c r="A91" s="1669" t="s">
        <v>544</v>
      </c>
      <c r="B91" s="1654" t="s">
        <v>2615</v>
      </c>
      <c r="C91" s="1388"/>
      <c r="D91" s="1656" t="s">
        <v>620</v>
      </c>
      <c r="E91" s="1658">
        <f>BS!D49</f>
        <v>0</v>
      </c>
      <c r="F91" s="1658"/>
      <c r="G91" s="1659"/>
      <c r="H91" s="1380"/>
      <c r="I91" s="1659">
        <f>E91-E92</f>
        <v>0</v>
      </c>
      <c r="J91" s="1660"/>
      <c r="K91" s="1661"/>
      <c r="L91" s="1185"/>
    </row>
    <row r="92" spans="1:14" s="1187" customFormat="1" ht="27.95" customHeight="1">
      <c r="A92" s="1669"/>
      <c r="B92" s="1655"/>
      <c r="C92" s="1389"/>
      <c r="D92" s="1657"/>
      <c r="E92" s="1658">
        <f>BS!E49</f>
        <v>0</v>
      </c>
      <c r="F92" s="1658"/>
      <c r="G92" s="1659"/>
      <c r="H92" s="1374"/>
      <c r="I92" s="1379"/>
      <c r="J92" s="1659">
        <f>BS!G49</f>
        <v>0</v>
      </c>
      <c r="K92" s="1660"/>
      <c r="L92" s="1662"/>
    </row>
    <row r="93" spans="1:14" ht="27.95" customHeight="1">
      <c r="A93" s="1681" t="s">
        <v>613</v>
      </c>
      <c r="B93" s="1667" t="s">
        <v>2616</v>
      </c>
      <c r="C93" s="1391"/>
      <c r="D93" s="1624" t="s">
        <v>622</v>
      </c>
      <c r="E93" s="1626">
        <f>BS!D50</f>
        <v>0</v>
      </c>
      <c r="F93" s="1626"/>
      <c r="G93" s="1627"/>
      <c r="H93" s="1383"/>
      <c r="I93" s="1627">
        <f>E93-E94</f>
        <v>0</v>
      </c>
      <c r="J93" s="1628"/>
      <c r="K93" s="1629"/>
      <c r="L93" s="1182"/>
    </row>
    <row r="94" spans="1:14" ht="27.95" customHeight="1">
      <c r="A94" s="1681"/>
      <c r="B94" s="1668"/>
      <c r="C94" s="1247"/>
      <c r="D94" s="1625"/>
      <c r="E94" s="1626">
        <f>BS!E50</f>
        <v>0</v>
      </c>
      <c r="F94" s="1626"/>
      <c r="G94" s="1627"/>
      <c r="H94" s="1384"/>
      <c r="I94" s="1382"/>
      <c r="J94" s="1627">
        <f>BS!G50</f>
        <v>0</v>
      </c>
      <c r="K94" s="1628"/>
      <c r="L94" s="1630"/>
    </row>
    <row r="95" spans="1:14" ht="27.95" customHeight="1">
      <c r="A95" s="1681" t="s">
        <v>616</v>
      </c>
      <c r="B95" s="1667" t="s">
        <v>2617</v>
      </c>
      <c r="C95" s="1391"/>
      <c r="D95" s="1624" t="s">
        <v>624</v>
      </c>
      <c r="E95" s="1658">
        <f>BS!D51</f>
        <v>0</v>
      </c>
      <c r="F95" s="1658"/>
      <c r="G95" s="1659"/>
      <c r="H95" s="1380"/>
      <c r="I95" s="1659">
        <f>E95-E96</f>
        <v>0</v>
      </c>
      <c r="J95" s="1660"/>
      <c r="K95" s="1661"/>
      <c r="L95" s="1185"/>
      <c r="N95" s="1179" t="s">
        <v>1093</v>
      </c>
    </row>
    <row r="96" spans="1:14" ht="27.95" customHeight="1" thickBot="1">
      <c r="A96" s="1741"/>
      <c r="B96" s="1742"/>
      <c r="C96" s="1355"/>
      <c r="D96" s="1743"/>
      <c r="E96" s="1673">
        <f>BS!E51</f>
        <v>0</v>
      </c>
      <c r="F96" s="1673"/>
      <c r="G96" s="1674"/>
      <c r="H96" s="1373"/>
      <c r="I96" s="1381"/>
      <c r="J96" s="1674">
        <f>BS!G51</f>
        <v>0</v>
      </c>
      <c r="K96" s="1675"/>
      <c r="L96" s="1676"/>
    </row>
    <row r="97" spans="1:12" ht="11.25" customHeight="1">
      <c r="A97" s="2502" t="s">
        <v>1582</v>
      </c>
      <c r="B97" s="2503" t="s">
        <v>1583</v>
      </c>
      <c r="C97" s="1376"/>
      <c r="D97" s="2671" t="s">
        <v>1584</v>
      </c>
      <c r="E97" s="1638" t="s">
        <v>1585</v>
      </c>
      <c r="F97" s="1639"/>
      <c r="G97" s="1639"/>
      <c r="H97" s="1639"/>
      <c r="I97" s="1639"/>
      <c r="J97" s="1640"/>
      <c r="K97" s="2384" t="s">
        <v>1563</v>
      </c>
      <c r="L97" s="2385"/>
    </row>
    <row r="98" spans="1:12" ht="11.25" customHeight="1">
      <c r="A98" s="2471"/>
      <c r="B98" s="2472"/>
      <c r="C98" s="1317"/>
      <c r="D98" s="2372"/>
      <c r="E98" s="1645">
        <v>1</v>
      </c>
      <c r="F98" s="2332" t="s">
        <v>1586</v>
      </c>
      <c r="G98" s="2391"/>
      <c r="H98" s="1408"/>
      <c r="I98" s="2663" t="s">
        <v>1178</v>
      </c>
      <c r="J98" s="2664"/>
      <c r="K98" s="2324"/>
      <c r="L98" s="2325"/>
    </row>
    <row r="99" spans="1:12" ht="12" customHeight="1">
      <c r="A99" s="2334"/>
      <c r="B99" s="2342"/>
      <c r="C99" s="1377"/>
      <c r="D99" s="2374"/>
      <c r="E99" s="1645"/>
      <c r="F99" s="2332" t="s">
        <v>1587</v>
      </c>
      <c r="G99" s="2391"/>
      <c r="H99" s="1408"/>
      <c r="I99" s="2665"/>
      <c r="J99" s="2666"/>
      <c r="K99" s="2332" t="s">
        <v>1176</v>
      </c>
      <c r="L99" s="2333"/>
    </row>
    <row r="100" spans="1:12" ht="27.95" customHeight="1">
      <c r="A100" s="1669" t="s">
        <v>2270</v>
      </c>
      <c r="B100" s="2673" t="s">
        <v>2440</v>
      </c>
      <c r="C100" s="1249"/>
      <c r="D100" s="1656" t="s">
        <v>626</v>
      </c>
      <c r="E100" s="1658">
        <f>BS!D52</f>
        <v>0</v>
      </c>
      <c r="F100" s="1658"/>
      <c r="G100" s="1659"/>
      <c r="H100" s="1380"/>
      <c r="I100" s="1659">
        <f>E100-E101</f>
        <v>0</v>
      </c>
      <c r="J100" s="1660"/>
      <c r="K100" s="1661"/>
      <c r="L100" s="1185"/>
    </row>
    <row r="101" spans="1:12" ht="27.95" customHeight="1">
      <c r="A101" s="1669"/>
      <c r="B101" s="2674"/>
      <c r="C101" s="1222"/>
      <c r="D101" s="1657"/>
      <c r="E101" s="1658">
        <f>BS!E52</f>
        <v>0</v>
      </c>
      <c r="F101" s="1658"/>
      <c r="G101" s="1659"/>
      <c r="H101" s="1374"/>
      <c r="I101" s="1379"/>
      <c r="J101" s="1659">
        <f>BS!G52</f>
        <v>0</v>
      </c>
      <c r="K101" s="1660"/>
      <c r="L101" s="1662"/>
    </row>
    <row r="102" spans="1:12" ht="27.95" customHeight="1">
      <c r="A102" s="1669" t="s">
        <v>2271</v>
      </c>
      <c r="B102" s="2673" t="s">
        <v>2441</v>
      </c>
      <c r="C102" s="1388"/>
      <c r="D102" s="1656" t="s">
        <v>628</v>
      </c>
      <c r="E102" s="1658">
        <f>BS!D53</f>
        <v>0</v>
      </c>
      <c r="F102" s="1658"/>
      <c r="G102" s="1659"/>
      <c r="H102" s="1380"/>
      <c r="I102" s="1659">
        <f>E102-E103</f>
        <v>0</v>
      </c>
      <c r="J102" s="1660"/>
      <c r="K102" s="1661"/>
      <c r="L102" s="1185"/>
    </row>
    <row r="103" spans="1:12" ht="27.95" customHeight="1">
      <c r="A103" s="1669"/>
      <c r="B103" s="2674"/>
      <c r="C103" s="1389"/>
      <c r="D103" s="1657"/>
      <c r="E103" s="1658">
        <f>BS!E53</f>
        <v>0</v>
      </c>
      <c r="F103" s="1658"/>
      <c r="G103" s="1659"/>
      <c r="H103" s="1374"/>
      <c r="I103" s="1379"/>
      <c r="J103" s="1659">
        <f>BS!G53</f>
        <v>0</v>
      </c>
      <c r="K103" s="1660"/>
      <c r="L103" s="1662"/>
    </row>
    <row r="104" spans="1:12" ht="27.95" customHeight="1">
      <c r="A104" s="1669" t="s">
        <v>2272</v>
      </c>
      <c r="B104" s="2673" t="s">
        <v>2442</v>
      </c>
      <c r="C104" s="1388"/>
      <c r="D104" s="1656" t="s">
        <v>630</v>
      </c>
      <c r="E104" s="1658">
        <f>BS!D54</f>
        <v>0</v>
      </c>
      <c r="F104" s="1658"/>
      <c r="G104" s="1659"/>
      <c r="H104" s="1380"/>
      <c r="I104" s="1659">
        <f>E104-E105</f>
        <v>0</v>
      </c>
      <c r="J104" s="1660"/>
      <c r="K104" s="1661"/>
      <c r="L104" s="1185"/>
    </row>
    <row r="105" spans="1:12" ht="27.95" customHeight="1">
      <c r="A105" s="1669"/>
      <c r="B105" s="2674"/>
      <c r="C105" s="1389"/>
      <c r="D105" s="1657"/>
      <c r="E105" s="1658">
        <f>BS!E54</f>
        <v>0</v>
      </c>
      <c r="F105" s="1658"/>
      <c r="G105" s="1659"/>
      <c r="H105" s="1374"/>
      <c r="I105" s="1379"/>
      <c r="J105" s="1659">
        <f>BS!G54</f>
        <v>0</v>
      </c>
      <c r="K105" s="1660"/>
      <c r="L105" s="1662"/>
    </row>
    <row r="106" spans="1:12" ht="27.95" customHeight="1">
      <c r="A106" s="1669" t="s">
        <v>532</v>
      </c>
      <c r="B106" s="2676" t="s">
        <v>1120</v>
      </c>
      <c r="C106" s="1245"/>
      <c r="D106" s="1656" t="s">
        <v>633</v>
      </c>
      <c r="E106" s="1658">
        <f>BS!D55</f>
        <v>0</v>
      </c>
      <c r="F106" s="1658"/>
      <c r="G106" s="1659"/>
      <c r="H106" s="1380"/>
      <c r="I106" s="1659">
        <f>E106-E107</f>
        <v>0</v>
      </c>
      <c r="J106" s="1660"/>
      <c r="K106" s="1661"/>
      <c r="L106" s="1185"/>
    </row>
    <row r="107" spans="1:12" ht="27.95" customHeight="1">
      <c r="A107" s="1669"/>
      <c r="B107" s="2677"/>
      <c r="C107" s="1246"/>
      <c r="D107" s="1657"/>
      <c r="E107" s="1658">
        <f>BS!E55</f>
        <v>0</v>
      </c>
      <c r="F107" s="1658"/>
      <c r="G107" s="1659"/>
      <c r="H107" s="1374"/>
      <c r="I107" s="1379"/>
      <c r="J107" s="1659">
        <f>BS!G55</f>
        <v>0</v>
      </c>
      <c r="K107" s="1660"/>
      <c r="L107" s="1662"/>
    </row>
    <row r="108" spans="1:12" s="1187" customFormat="1" ht="27.95" customHeight="1">
      <c r="A108" s="1669" t="s">
        <v>535</v>
      </c>
      <c r="B108" s="2673" t="s">
        <v>2443</v>
      </c>
      <c r="C108" s="1388"/>
      <c r="D108" s="1656" t="s">
        <v>636</v>
      </c>
      <c r="E108" s="1658">
        <f>BS!D56</f>
        <v>0</v>
      </c>
      <c r="F108" s="1658"/>
      <c r="G108" s="1659"/>
      <c r="H108" s="1380"/>
      <c r="I108" s="1659">
        <f>E108-E109</f>
        <v>0</v>
      </c>
      <c r="J108" s="1660"/>
      <c r="K108" s="1661"/>
      <c r="L108" s="1185"/>
    </row>
    <row r="109" spans="1:12" s="1187" customFormat="1" ht="27.95" customHeight="1">
      <c r="A109" s="1669"/>
      <c r="B109" s="2674"/>
      <c r="C109" s="1389"/>
      <c r="D109" s="1657"/>
      <c r="E109" s="1658">
        <f>BS!E56</f>
        <v>0</v>
      </c>
      <c r="F109" s="1658"/>
      <c r="G109" s="1659"/>
      <c r="H109" s="1374"/>
      <c r="I109" s="1379"/>
      <c r="J109" s="1659">
        <f>BS!G56</f>
        <v>0</v>
      </c>
      <c r="K109" s="1660"/>
      <c r="L109" s="1662"/>
    </row>
    <row r="110" spans="1:12" s="1187" customFormat="1" ht="27.95" customHeight="1">
      <c r="A110" s="1669" t="s">
        <v>538</v>
      </c>
      <c r="B110" s="2673" t="s">
        <v>2444</v>
      </c>
      <c r="C110" s="1388"/>
      <c r="D110" s="1656" t="s">
        <v>637</v>
      </c>
      <c r="E110" s="1658">
        <f>BS!D57</f>
        <v>0</v>
      </c>
      <c r="F110" s="1658"/>
      <c r="G110" s="1659"/>
      <c r="H110" s="1380"/>
      <c r="I110" s="1659">
        <f>E110-E111</f>
        <v>0</v>
      </c>
      <c r="J110" s="1660"/>
      <c r="K110" s="1661"/>
      <c r="L110" s="1185"/>
    </row>
    <row r="111" spans="1:12" s="1187" customFormat="1" ht="27.95" customHeight="1">
      <c r="A111" s="1669"/>
      <c r="B111" s="2674"/>
      <c r="C111" s="1389"/>
      <c r="D111" s="1657"/>
      <c r="E111" s="1658">
        <f>BS!E57</f>
        <v>0</v>
      </c>
      <c r="F111" s="1658"/>
      <c r="G111" s="1659"/>
      <c r="H111" s="1374"/>
      <c r="I111" s="1379"/>
      <c r="J111" s="1659">
        <f>BS!G57</f>
        <v>0</v>
      </c>
      <c r="K111" s="1660"/>
      <c r="L111" s="1662"/>
    </row>
    <row r="112" spans="1:12" ht="27.95" customHeight="1">
      <c r="A112" s="1669" t="s">
        <v>541</v>
      </c>
      <c r="B112" s="2673" t="s">
        <v>2445</v>
      </c>
      <c r="C112" s="1388"/>
      <c r="D112" s="1656" t="s">
        <v>639</v>
      </c>
      <c r="E112" s="1658">
        <f>BS!D58</f>
        <v>0</v>
      </c>
      <c r="F112" s="1658"/>
      <c r="G112" s="1659"/>
      <c r="H112" s="1380"/>
      <c r="I112" s="1659">
        <f>E112-E113</f>
        <v>0</v>
      </c>
      <c r="J112" s="1660"/>
      <c r="K112" s="1661"/>
      <c r="L112" s="1185"/>
    </row>
    <row r="113" spans="1:12" ht="27.95" customHeight="1">
      <c r="A113" s="1669"/>
      <c r="B113" s="2674"/>
      <c r="C113" s="1389"/>
      <c r="D113" s="1657"/>
      <c r="E113" s="1658">
        <f>BS!E58</f>
        <v>0</v>
      </c>
      <c r="F113" s="1658"/>
      <c r="G113" s="1659"/>
      <c r="H113" s="1374"/>
      <c r="I113" s="1379"/>
      <c r="J113" s="1659">
        <f>BS!G58</f>
        <v>0</v>
      </c>
      <c r="K113" s="1660"/>
      <c r="L113" s="1662"/>
    </row>
    <row r="114" spans="1:12" ht="27.95" customHeight="1">
      <c r="A114" s="1669" t="s">
        <v>544</v>
      </c>
      <c r="B114" s="2673" t="s">
        <v>2446</v>
      </c>
      <c r="C114" s="1388"/>
      <c r="D114" s="1656" t="s">
        <v>640</v>
      </c>
      <c r="E114" s="1658">
        <f>BS!D59</f>
        <v>0</v>
      </c>
      <c r="F114" s="1658"/>
      <c r="G114" s="1659"/>
      <c r="H114" s="1380"/>
      <c r="I114" s="1659">
        <f>E114-E115</f>
        <v>0</v>
      </c>
      <c r="J114" s="1660"/>
      <c r="K114" s="1661"/>
      <c r="L114" s="1185"/>
    </row>
    <row r="115" spans="1:12" ht="27.95" customHeight="1">
      <c r="A115" s="1669"/>
      <c r="B115" s="2674"/>
      <c r="C115" s="1389"/>
      <c r="D115" s="1657"/>
      <c r="E115" s="1658">
        <f>BS!E59</f>
        <v>0</v>
      </c>
      <c r="F115" s="1658"/>
      <c r="G115" s="1659"/>
      <c r="H115" s="1374"/>
      <c r="I115" s="1379"/>
      <c r="J115" s="1659">
        <f>BS!G59</f>
        <v>0</v>
      </c>
      <c r="K115" s="1660"/>
      <c r="L115" s="1662"/>
    </row>
    <row r="116" spans="1:12" ht="27.95" customHeight="1">
      <c r="A116" s="1669" t="s">
        <v>547</v>
      </c>
      <c r="B116" s="2673" t="s">
        <v>2447</v>
      </c>
      <c r="C116" s="1388"/>
      <c r="D116" s="1656" t="s">
        <v>642</v>
      </c>
      <c r="E116" s="1658">
        <f>BS!D60</f>
        <v>0</v>
      </c>
      <c r="F116" s="1658"/>
      <c r="G116" s="1659"/>
      <c r="H116" s="1380"/>
      <c r="I116" s="1659">
        <f>E116-E117</f>
        <v>0</v>
      </c>
      <c r="J116" s="1660"/>
      <c r="K116" s="1661"/>
      <c r="L116" s="1185"/>
    </row>
    <row r="117" spans="1:12" ht="27.95" customHeight="1">
      <c r="A117" s="1669"/>
      <c r="B117" s="2674"/>
      <c r="C117" s="1389"/>
      <c r="D117" s="1657"/>
      <c r="E117" s="1658">
        <f>BS!E60</f>
        <v>0</v>
      </c>
      <c r="F117" s="1658"/>
      <c r="G117" s="1659"/>
      <c r="H117" s="1374"/>
      <c r="I117" s="1379"/>
      <c r="J117" s="1659">
        <f>BS!G60</f>
        <v>0</v>
      </c>
      <c r="K117" s="1660"/>
      <c r="L117" s="1662"/>
    </row>
    <row r="118" spans="1:12" ht="27.95" customHeight="1">
      <c r="A118" s="1669" t="s">
        <v>568</v>
      </c>
      <c r="B118" s="2673" t="s">
        <v>2448</v>
      </c>
      <c r="C118" s="1388"/>
      <c r="D118" s="1656" t="s">
        <v>644</v>
      </c>
      <c r="E118" s="1658">
        <f>BS!D61</f>
        <v>0</v>
      </c>
      <c r="F118" s="1658"/>
      <c r="G118" s="1659"/>
      <c r="H118" s="1380"/>
      <c r="I118" s="1659">
        <f>E118-E119</f>
        <v>0</v>
      </c>
      <c r="J118" s="1660"/>
      <c r="K118" s="1661"/>
      <c r="L118" s="1185"/>
    </row>
    <row r="119" spans="1:12" ht="27.95" customHeight="1">
      <c r="A119" s="1669"/>
      <c r="B119" s="2674"/>
      <c r="C119" s="1389"/>
      <c r="D119" s="1657"/>
      <c r="E119" s="1658">
        <f>BS!E61</f>
        <v>0</v>
      </c>
      <c r="F119" s="1658"/>
      <c r="G119" s="1659"/>
      <c r="H119" s="1374"/>
      <c r="I119" s="1379"/>
      <c r="J119" s="1659">
        <f>BS!G61</f>
        <v>0</v>
      </c>
      <c r="K119" s="1660"/>
      <c r="L119" s="1662"/>
    </row>
    <row r="120" spans="1:12" ht="27.95" customHeight="1">
      <c r="A120" s="1681" t="s">
        <v>631</v>
      </c>
      <c r="B120" s="1650" t="s">
        <v>2618</v>
      </c>
      <c r="C120" s="1391"/>
      <c r="D120" s="1624" t="s">
        <v>646</v>
      </c>
      <c r="E120" s="1626">
        <f>BS!D62</f>
        <v>1450453</v>
      </c>
      <c r="F120" s="1626"/>
      <c r="G120" s="1627"/>
      <c r="H120" s="1383"/>
      <c r="I120" s="1627">
        <f>E120-E121</f>
        <v>1440723</v>
      </c>
      <c r="J120" s="1628"/>
      <c r="K120" s="1629"/>
      <c r="L120" s="1182"/>
    </row>
    <row r="121" spans="1:12" ht="27.95" customHeight="1">
      <c r="A121" s="1681"/>
      <c r="B121" s="1668"/>
      <c r="C121" s="1392"/>
      <c r="D121" s="1625"/>
      <c r="E121" s="1626">
        <f>BS!E62</f>
        <v>9730</v>
      </c>
      <c r="F121" s="1626"/>
      <c r="G121" s="1627"/>
      <c r="H121" s="1384"/>
      <c r="I121" s="1382"/>
      <c r="J121" s="1627">
        <f>BS!G62</f>
        <v>1072219</v>
      </c>
      <c r="K121" s="1628"/>
      <c r="L121" s="1630"/>
    </row>
    <row r="122" spans="1:12" ht="27.95" customHeight="1">
      <c r="A122" s="1681" t="s">
        <v>634</v>
      </c>
      <c r="B122" s="1667" t="s">
        <v>2619</v>
      </c>
      <c r="C122" s="1391"/>
      <c r="D122" s="1624" t="s">
        <v>648</v>
      </c>
      <c r="E122" s="1658">
        <f>BS!D63</f>
        <v>1395498</v>
      </c>
      <c r="F122" s="1658"/>
      <c r="G122" s="1659"/>
      <c r="H122" s="1380"/>
      <c r="I122" s="1659">
        <f>E122-E123</f>
        <v>1395498</v>
      </c>
      <c r="J122" s="1660"/>
      <c r="K122" s="1661"/>
      <c r="L122" s="1185"/>
    </row>
    <row r="123" spans="1:12" ht="27.95" customHeight="1">
      <c r="A123" s="1681"/>
      <c r="B123" s="1668"/>
      <c r="C123" s="1392"/>
      <c r="D123" s="1625"/>
      <c r="E123" s="1658">
        <f>BS!E63</f>
        <v>0</v>
      </c>
      <c r="F123" s="1658"/>
      <c r="G123" s="1659"/>
      <c r="H123" s="1374"/>
      <c r="I123" s="1379"/>
      <c r="J123" s="1659">
        <f>BS!G63</f>
        <v>1026423</v>
      </c>
      <c r="K123" s="1660"/>
      <c r="L123" s="1662"/>
    </row>
    <row r="124" spans="1:12" ht="27.95" customHeight="1">
      <c r="A124" s="1669" t="s">
        <v>2270</v>
      </c>
      <c r="B124" s="2676" t="s">
        <v>2451</v>
      </c>
      <c r="C124" s="1245"/>
      <c r="D124" s="1656" t="s">
        <v>651</v>
      </c>
      <c r="E124" s="1658">
        <f>BS!D64</f>
        <v>134342</v>
      </c>
      <c r="F124" s="1658"/>
      <c r="G124" s="1659"/>
      <c r="H124" s="1380"/>
      <c r="I124" s="1659">
        <f>E124-E125</f>
        <v>134342</v>
      </c>
      <c r="J124" s="1660"/>
      <c r="K124" s="1661"/>
      <c r="L124" s="1185"/>
    </row>
    <row r="125" spans="1:12" ht="27.95" customHeight="1">
      <c r="A125" s="1669"/>
      <c r="B125" s="2677"/>
      <c r="C125" s="1246"/>
      <c r="D125" s="1657"/>
      <c r="E125" s="1658">
        <f>BS!E64</f>
        <v>0</v>
      </c>
      <c r="F125" s="1658"/>
      <c r="G125" s="1659"/>
      <c r="H125" s="1374"/>
      <c r="I125" s="1379"/>
      <c r="J125" s="1659">
        <f>BS!G64</f>
        <v>83568</v>
      </c>
      <c r="K125" s="1660"/>
      <c r="L125" s="1662"/>
    </row>
    <row r="126" spans="1:12" s="1187" customFormat="1" ht="27.95" customHeight="1">
      <c r="A126" s="1669" t="s">
        <v>2271</v>
      </c>
      <c r="B126" s="2673" t="s">
        <v>2452</v>
      </c>
      <c r="C126" s="1388"/>
      <c r="D126" s="1656" t="s">
        <v>654</v>
      </c>
      <c r="E126" s="1658">
        <f>BS!D65</f>
        <v>0</v>
      </c>
      <c r="F126" s="1658"/>
      <c r="G126" s="1659"/>
      <c r="H126" s="1380"/>
      <c r="I126" s="1659">
        <f>E126-E127</f>
        <v>0</v>
      </c>
      <c r="J126" s="1660"/>
      <c r="K126" s="1661"/>
      <c r="L126" s="1185"/>
    </row>
    <row r="127" spans="1:12" s="1187" customFormat="1" ht="27.95" customHeight="1" thickBot="1">
      <c r="A127" s="1670"/>
      <c r="B127" s="2675"/>
      <c r="C127" s="1397"/>
      <c r="D127" s="1672"/>
      <c r="E127" s="1673">
        <f>BS!E65</f>
        <v>0</v>
      </c>
      <c r="F127" s="1673"/>
      <c r="G127" s="1674"/>
      <c r="H127" s="1373"/>
      <c r="I127" s="1381"/>
      <c r="J127" s="1674">
        <f>BS!G65</f>
        <v>0</v>
      </c>
      <c r="K127" s="1675"/>
      <c r="L127" s="1676"/>
    </row>
    <row r="128" spans="1:12" ht="11.25" customHeight="1">
      <c r="A128" s="2502" t="s">
        <v>1582</v>
      </c>
      <c r="B128" s="2503" t="s">
        <v>1583</v>
      </c>
      <c r="C128" s="1376"/>
      <c r="D128" s="2671" t="s">
        <v>1584</v>
      </c>
      <c r="E128" s="1638" t="s">
        <v>1585</v>
      </c>
      <c r="F128" s="1639"/>
      <c r="G128" s="1639"/>
      <c r="H128" s="1639"/>
      <c r="I128" s="1639"/>
      <c r="J128" s="1640"/>
      <c r="K128" s="2384" t="s">
        <v>1563</v>
      </c>
      <c r="L128" s="2385"/>
    </row>
    <row r="129" spans="1:12" ht="11.25" customHeight="1">
      <c r="A129" s="2471"/>
      <c r="B129" s="2472"/>
      <c r="C129" s="1317"/>
      <c r="D129" s="2372"/>
      <c r="E129" s="1645">
        <v>1</v>
      </c>
      <c r="F129" s="2332" t="s">
        <v>1586</v>
      </c>
      <c r="G129" s="2391"/>
      <c r="H129" s="1408"/>
      <c r="I129" s="2663" t="s">
        <v>1178</v>
      </c>
      <c r="J129" s="2664"/>
      <c r="K129" s="2324"/>
      <c r="L129" s="2325"/>
    </row>
    <row r="130" spans="1:12" ht="11.25" customHeight="1">
      <c r="A130" s="2334"/>
      <c r="B130" s="2342"/>
      <c r="C130" s="1377"/>
      <c r="D130" s="2374"/>
      <c r="E130" s="1645"/>
      <c r="F130" s="2332" t="s">
        <v>1587</v>
      </c>
      <c r="G130" s="2391"/>
      <c r="H130" s="1408"/>
      <c r="I130" s="2665"/>
      <c r="J130" s="2666"/>
      <c r="K130" s="2332" t="s">
        <v>1176</v>
      </c>
      <c r="L130" s="2333"/>
    </row>
    <row r="131" spans="1:12" s="1181" customFormat="1" ht="27.95" customHeight="1">
      <c r="A131" s="1669" t="s">
        <v>2272</v>
      </c>
      <c r="B131" s="2678" t="s">
        <v>2442</v>
      </c>
      <c r="C131" s="1248"/>
      <c r="D131" s="1687" t="s">
        <v>656</v>
      </c>
      <c r="E131" s="1658">
        <f>BS!D66</f>
        <v>1261156</v>
      </c>
      <c r="F131" s="1658"/>
      <c r="G131" s="1659"/>
      <c r="H131" s="1380"/>
      <c r="I131" s="1659">
        <f>E131-E132</f>
        <v>1261156</v>
      </c>
      <c r="J131" s="1660"/>
      <c r="K131" s="1661"/>
      <c r="L131" s="1185"/>
    </row>
    <row r="132" spans="1:12" s="1181" customFormat="1" ht="27.95" customHeight="1">
      <c r="A132" s="1669"/>
      <c r="B132" s="2679"/>
      <c r="C132" s="1244"/>
      <c r="D132" s="1688"/>
      <c r="E132" s="1658">
        <f>BS!E66</f>
        <v>0</v>
      </c>
      <c r="F132" s="1658"/>
      <c r="G132" s="1659"/>
      <c r="H132" s="1374"/>
      <c r="I132" s="1379"/>
      <c r="J132" s="1659">
        <f>BS!G66</f>
        <v>942855</v>
      </c>
      <c r="K132" s="1660"/>
      <c r="L132" s="1662"/>
    </row>
    <row r="133" spans="1:12" s="1181" customFormat="1" ht="27.95" customHeight="1">
      <c r="A133" s="1669" t="s">
        <v>532</v>
      </c>
      <c r="B133" s="2678" t="s">
        <v>2453</v>
      </c>
      <c r="C133" s="1248"/>
      <c r="D133" s="1687" t="s">
        <v>658</v>
      </c>
      <c r="E133" s="1658">
        <f>BS!D67</f>
        <v>0</v>
      </c>
      <c r="F133" s="1658"/>
      <c r="G133" s="1659"/>
      <c r="H133" s="1380"/>
      <c r="I133" s="1659">
        <f>E133-E134</f>
        <v>0</v>
      </c>
      <c r="J133" s="1660"/>
      <c r="K133" s="1661"/>
      <c r="L133" s="1185"/>
    </row>
    <row r="134" spans="1:12" ht="27.95" customHeight="1">
      <c r="A134" s="1669"/>
      <c r="B134" s="2679"/>
      <c r="C134" s="1244"/>
      <c r="D134" s="1688"/>
      <c r="E134" s="1658">
        <f>BS!E67</f>
        <v>0</v>
      </c>
      <c r="F134" s="1658"/>
      <c r="G134" s="1659"/>
      <c r="H134" s="1374"/>
      <c r="I134" s="1379"/>
      <c r="J134" s="1659">
        <f>BS!G67</f>
        <v>0</v>
      </c>
      <c r="K134" s="1660"/>
      <c r="L134" s="1662"/>
    </row>
    <row r="135" spans="1:12" ht="27.95" customHeight="1">
      <c r="A135" s="1669" t="s">
        <v>535</v>
      </c>
      <c r="B135" s="2678" t="s">
        <v>2443</v>
      </c>
      <c r="C135" s="1248"/>
      <c r="D135" s="1687" t="s">
        <v>660</v>
      </c>
      <c r="E135" s="1658">
        <f>BS!D68</f>
        <v>0</v>
      </c>
      <c r="F135" s="1658"/>
      <c r="G135" s="1659"/>
      <c r="H135" s="1380"/>
      <c r="I135" s="1659">
        <f>E135-E136</f>
        <v>0</v>
      </c>
      <c r="J135" s="1660"/>
      <c r="K135" s="1661"/>
      <c r="L135" s="1185"/>
    </row>
    <row r="136" spans="1:12" ht="27.95" customHeight="1">
      <c r="A136" s="1669"/>
      <c r="B136" s="2679"/>
      <c r="C136" s="1244"/>
      <c r="D136" s="1688"/>
      <c r="E136" s="1658">
        <f>BS!E68</f>
        <v>0</v>
      </c>
      <c r="F136" s="1658"/>
      <c r="G136" s="1659"/>
      <c r="H136" s="1374"/>
      <c r="I136" s="1379"/>
      <c r="J136" s="1659">
        <f>BS!G68</f>
        <v>0</v>
      </c>
      <c r="K136" s="1660"/>
      <c r="L136" s="1662"/>
    </row>
    <row r="137" spans="1:12" ht="27.95" customHeight="1">
      <c r="A137" s="1669" t="s">
        <v>538</v>
      </c>
      <c r="B137" s="2678" t="s">
        <v>2454</v>
      </c>
      <c r="C137" s="1248"/>
      <c r="D137" s="1687" t="s">
        <v>662</v>
      </c>
      <c r="E137" s="1658">
        <f>BS!D69</f>
        <v>0</v>
      </c>
      <c r="F137" s="1658"/>
      <c r="G137" s="1659"/>
      <c r="H137" s="1380"/>
      <c r="I137" s="1659">
        <f>E137-E138</f>
        <v>0</v>
      </c>
      <c r="J137" s="1660"/>
      <c r="K137" s="1661"/>
      <c r="L137" s="1185"/>
    </row>
    <row r="138" spans="1:12" ht="27.95" customHeight="1">
      <c r="A138" s="1669"/>
      <c r="B138" s="2679"/>
      <c r="C138" s="1244"/>
      <c r="D138" s="1688"/>
      <c r="E138" s="1658">
        <f>BS!E69</f>
        <v>0</v>
      </c>
      <c r="F138" s="1658"/>
      <c r="G138" s="1659"/>
      <c r="H138" s="1374"/>
      <c r="I138" s="1379"/>
      <c r="J138" s="1659">
        <f>BS!G69</f>
        <v>0</v>
      </c>
      <c r="K138" s="1660"/>
      <c r="L138" s="1662"/>
    </row>
    <row r="139" spans="1:12" ht="27.95" customHeight="1">
      <c r="A139" s="1669" t="s">
        <v>541</v>
      </c>
      <c r="B139" s="2678" t="s">
        <v>2455</v>
      </c>
      <c r="C139" s="1248"/>
      <c r="D139" s="1687" t="s">
        <v>665</v>
      </c>
      <c r="E139" s="1658">
        <f>BS!D70</f>
        <v>0</v>
      </c>
      <c r="F139" s="1658"/>
      <c r="G139" s="1659"/>
      <c r="H139" s="1380"/>
      <c r="I139" s="1659">
        <f>E139-E140</f>
        <v>0</v>
      </c>
      <c r="J139" s="1660"/>
      <c r="K139" s="1661"/>
      <c r="L139" s="1185"/>
    </row>
    <row r="140" spans="1:12" ht="27.95" customHeight="1">
      <c r="A140" s="1669"/>
      <c r="B140" s="2679"/>
      <c r="C140" s="1244"/>
      <c r="D140" s="1688"/>
      <c r="E140" s="1658">
        <f>BS!E70</f>
        <v>0</v>
      </c>
      <c r="F140" s="1658"/>
      <c r="G140" s="1659"/>
      <c r="H140" s="1374"/>
      <c r="I140" s="1379"/>
      <c r="J140" s="1659">
        <f>BS!G70</f>
        <v>0</v>
      </c>
      <c r="K140" s="1660"/>
      <c r="L140" s="1662"/>
    </row>
    <row r="141" spans="1:12" ht="27.95" customHeight="1">
      <c r="A141" s="1669" t="s">
        <v>544</v>
      </c>
      <c r="B141" s="2678" t="s">
        <v>2456</v>
      </c>
      <c r="C141" s="1248"/>
      <c r="D141" s="1687" t="s">
        <v>668</v>
      </c>
      <c r="E141" s="1658">
        <f>BS!D71</f>
        <v>0</v>
      </c>
      <c r="F141" s="1658"/>
      <c r="G141" s="1659"/>
      <c r="H141" s="1380"/>
      <c r="I141" s="1659">
        <f>E141-E142</f>
        <v>0</v>
      </c>
      <c r="J141" s="1660"/>
      <c r="K141" s="1661"/>
      <c r="L141" s="1185"/>
    </row>
    <row r="142" spans="1:12" ht="27.95" customHeight="1">
      <c r="A142" s="1669"/>
      <c r="B142" s="2679"/>
      <c r="C142" s="1244"/>
      <c r="D142" s="1688"/>
      <c r="E142" s="1658">
        <f>BS!E71</f>
        <v>0</v>
      </c>
      <c r="F142" s="1658"/>
      <c r="G142" s="1659"/>
      <c r="H142" s="1374"/>
      <c r="I142" s="1379"/>
      <c r="J142" s="1659">
        <f>BS!G71</f>
        <v>0</v>
      </c>
      <c r="K142" s="1660"/>
      <c r="L142" s="1662"/>
    </row>
    <row r="143" spans="1:12" ht="27.95" customHeight="1">
      <c r="A143" s="1669" t="s">
        <v>547</v>
      </c>
      <c r="B143" s="2678" t="s">
        <v>2457</v>
      </c>
      <c r="C143" s="1248"/>
      <c r="D143" s="1687" t="s">
        <v>670</v>
      </c>
      <c r="E143" s="1658">
        <f>BS!D72</f>
        <v>41600</v>
      </c>
      <c r="F143" s="1658"/>
      <c r="G143" s="1659"/>
      <c r="H143" s="1380"/>
      <c r="I143" s="1659">
        <f>E143-E144</f>
        <v>41600</v>
      </c>
      <c r="J143" s="1660"/>
      <c r="K143" s="1661"/>
      <c r="L143" s="1185"/>
    </row>
    <row r="144" spans="1:12" s="1187" customFormat="1" ht="27.95" customHeight="1">
      <c r="A144" s="1669"/>
      <c r="B144" s="2679"/>
      <c r="C144" s="1244"/>
      <c r="D144" s="1688"/>
      <c r="E144" s="1658">
        <f>BS!E72</f>
        <v>0</v>
      </c>
      <c r="F144" s="1658"/>
      <c r="G144" s="1659"/>
      <c r="H144" s="1374"/>
      <c r="I144" s="1379"/>
      <c r="J144" s="1659">
        <f>BS!G72</f>
        <v>34426</v>
      </c>
      <c r="K144" s="1660"/>
      <c r="L144" s="1662"/>
    </row>
    <row r="145" spans="1:12" s="1187" customFormat="1" ht="27.95" customHeight="1">
      <c r="A145" s="1669" t="s">
        <v>568</v>
      </c>
      <c r="B145" s="2678" t="s">
        <v>2446</v>
      </c>
      <c r="C145" s="1248"/>
      <c r="D145" s="1687" t="s">
        <v>672</v>
      </c>
      <c r="E145" s="1658">
        <f>BS!D73</f>
        <v>0</v>
      </c>
      <c r="F145" s="1658"/>
      <c r="G145" s="1659"/>
      <c r="H145" s="1380"/>
      <c r="I145" s="1659">
        <f>E145-E146</f>
        <v>0</v>
      </c>
      <c r="J145" s="1660"/>
      <c r="K145" s="1661"/>
      <c r="L145" s="1185"/>
    </row>
    <row r="146" spans="1:12" ht="27.95" customHeight="1">
      <c r="A146" s="1669"/>
      <c r="B146" s="2679"/>
      <c r="C146" s="1244"/>
      <c r="D146" s="1688"/>
      <c r="E146" s="1658">
        <f>BS!E73</f>
        <v>0</v>
      </c>
      <c r="F146" s="1658"/>
      <c r="G146" s="1659"/>
      <c r="H146" s="1374"/>
      <c r="I146" s="1379"/>
      <c r="J146" s="1659">
        <f>BS!G73</f>
        <v>0</v>
      </c>
      <c r="K146" s="1660"/>
      <c r="L146" s="1662"/>
    </row>
    <row r="147" spans="1:12" ht="27.95" customHeight="1">
      <c r="A147" s="1669" t="s">
        <v>571</v>
      </c>
      <c r="B147" s="2678" t="s">
        <v>2458</v>
      </c>
      <c r="C147" s="1256"/>
      <c r="D147" s="1687" t="s">
        <v>674</v>
      </c>
      <c r="E147" s="1658">
        <f>BS!D74</f>
        <v>13355</v>
      </c>
      <c r="F147" s="1658"/>
      <c r="G147" s="1659"/>
      <c r="H147" s="1380"/>
      <c r="I147" s="1659">
        <f>E147-E148</f>
        <v>3625</v>
      </c>
      <c r="J147" s="1660"/>
      <c r="K147" s="1661"/>
      <c r="L147" s="1185"/>
    </row>
    <row r="148" spans="1:12" s="1188" customFormat="1" ht="27.95" customHeight="1">
      <c r="A148" s="1669"/>
      <c r="B148" s="2679"/>
      <c r="C148" s="1257"/>
      <c r="D148" s="1688"/>
      <c r="E148" s="1658">
        <f>BS!E74</f>
        <v>9730</v>
      </c>
      <c r="F148" s="1658"/>
      <c r="G148" s="1659"/>
      <c r="H148" s="1374"/>
      <c r="I148" s="1379"/>
      <c r="J148" s="1659">
        <f>BS!G74</f>
        <v>11370</v>
      </c>
      <c r="K148" s="1660"/>
      <c r="L148" s="1662"/>
    </row>
    <row r="149" spans="1:12" s="1181" customFormat="1" ht="27.95" customHeight="1">
      <c r="A149" s="1681" t="s">
        <v>649</v>
      </c>
      <c r="B149" s="2680" t="s">
        <v>2459</v>
      </c>
      <c r="C149" s="1255"/>
      <c r="D149" s="1698" t="s">
        <v>681</v>
      </c>
      <c r="E149" s="1626">
        <f>BS!D75</f>
        <v>0</v>
      </c>
      <c r="F149" s="1626"/>
      <c r="G149" s="1627"/>
      <c r="H149" s="1383"/>
      <c r="I149" s="1627">
        <f>E149-E150</f>
        <v>0</v>
      </c>
      <c r="J149" s="1628"/>
      <c r="K149" s="1629"/>
      <c r="L149" s="1182"/>
    </row>
    <row r="150" spans="1:12" s="1181" customFormat="1" ht="27.95" customHeight="1">
      <c r="A150" s="1681"/>
      <c r="B150" s="2681"/>
      <c r="C150" s="1410"/>
      <c r="D150" s="1699"/>
      <c r="E150" s="1626">
        <f>BS!E75</f>
        <v>0</v>
      </c>
      <c r="F150" s="1626"/>
      <c r="G150" s="1627"/>
      <c r="H150" s="1384"/>
      <c r="I150" s="1382"/>
      <c r="J150" s="1627">
        <f>BS!G75</f>
        <v>0</v>
      </c>
      <c r="K150" s="1628"/>
      <c r="L150" s="1630"/>
    </row>
    <row r="151" spans="1:12" s="1181" customFormat="1" ht="27.95" customHeight="1">
      <c r="A151" s="1669" t="s">
        <v>652</v>
      </c>
      <c r="B151" s="2678" t="s">
        <v>2460</v>
      </c>
      <c r="C151" s="1248"/>
      <c r="D151" s="1687" t="s">
        <v>683</v>
      </c>
      <c r="E151" s="1658">
        <f>BS!D76</f>
        <v>0</v>
      </c>
      <c r="F151" s="1658"/>
      <c r="G151" s="1659"/>
      <c r="H151" s="1380"/>
      <c r="I151" s="1659">
        <f>E151-E152</f>
        <v>0</v>
      </c>
      <c r="J151" s="1660"/>
      <c r="K151" s="1661"/>
      <c r="L151" s="1185"/>
    </row>
    <row r="152" spans="1:12" ht="27.95" customHeight="1">
      <c r="A152" s="1669"/>
      <c r="B152" s="2679"/>
      <c r="C152" s="1244"/>
      <c r="D152" s="1688"/>
      <c r="E152" s="1658">
        <f>BS!E76</f>
        <v>0</v>
      </c>
      <c r="F152" s="1658"/>
      <c r="G152" s="1659"/>
      <c r="H152" s="1374"/>
      <c r="I152" s="1379"/>
      <c r="J152" s="1659">
        <f>BS!G76</f>
        <v>0</v>
      </c>
      <c r="K152" s="1660"/>
      <c r="L152" s="1662"/>
    </row>
    <row r="153" spans="1:12" ht="27.95" customHeight="1">
      <c r="A153" s="1669" t="s">
        <v>532</v>
      </c>
      <c r="B153" s="2678" t="s">
        <v>2461</v>
      </c>
      <c r="C153" s="1248"/>
      <c r="D153" s="1687" t="s">
        <v>685</v>
      </c>
      <c r="E153" s="1658">
        <f>BS!D77</f>
        <v>0</v>
      </c>
      <c r="F153" s="1658"/>
      <c r="G153" s="1659"/>
      <c r="H153" s="1380"/>
      <c r="I153" s="1659">
        <f>E153-E154</f>
        <v>0</v>
      </c>
      <c r="J153" s="1660"/>
      <c r="K153" s="1661"/>
      <c r="L153" s="1185"/>
    </row>
    <row r="154" spans="1:12" ht="27.95" customHeight="1">
      <c r="A154" s="1669"/>
      <c r="B154" s="2679"/>
      <c r="C154" s="1244"/>
      <c r="D154" s="1688"/>
      <c r="E154" s="1658">
        <f>BS!E78</f>
        <v>0</v>
      </c>
      <c r="F154" s="1658"/>
      <c r="G154" s="1659"/>
      <c r="H154" s="1374"/>
      <c r="I154" s="1379"/>
      <c r="J154" s="1659">
        <f>BS!G77</f>
        <v>0</v>
      </c>
      <c r="K154" s="1660"/>
      <c r="L154" s="1662"/>
    </row>
    <row r="155" spans="1:12" ht="27.95" customHeight="1">
      <c r="A155" s="1669" t="s">
        <v>535</v>
      </c>
      <c r="B155" s="2678" t="s">
        <v>2462</v>
      </c>
      <c r="C155" s="1248"/>
      <c r="D155" s="1687" t="s">
        <v>687</v>
      </c>
      <c r="E155" s="1658">
        <f>BS!D78</f>
        <v>0</v>
      </c>
      <c r="F155" s="1658"/>
      <c r="G155" s="1659"/>
      <c r="H155" s="1380"/>
      <c r="I155" s="1659">
        <f>E155-E156</f>
        <v>0</v>
      </c>
      <c r="J155" s="1660"/>
      <c r="K155" s="1661"/>
      <c r="L155" s="1185"/>
    </row>
    <row r="156" spans="1:12" ht="27.95" customHeight="1">
      <c r="A156" s="1669"/>
      <c r="B156" s="2679"/>
      <c r="C156" s="1244"/>
      <c r="D156" s="1688"/>
      <c r="E156" s="1658">
        <f>BS!E78</f>
        <v>0</v>
      </c>
      <c r="F156" s="1658"/>
      <c r="G156" s="1659"/>
      <c r="H156" s="1374"/>
      <c r="I156" s="1379"/>
      <c r="J156" s="1659">
        <f>BS!G78</f>
        <v>0</v>
      </c>
      <c r="K156" s="1660"/>
      <c r="L156" s="1662"/>
    </row>
    <row r="157" spans="1:12" ht="27.95" customHeight="1">
      <c r="A157" s="1669" t="s">
        <v>538</v>
      </c>
      <c r="B157" s="2678" t="s">
        <v>2463</v>
      </c>
      <c r="C157" s="1248"/>
      <c r="D157" s="1687" t="s">
        <v>689</v>
      </c>
      <c r="E157" s="1658">
        <f>BS!D79</f>
        <v>0</v>
      </c>
      <c r="F157" s="1658"/>
      <c r="G157" s="1659"/>
      <c r="H157" s="1380"/>
      <c r="I157" s="1659">
        <f>E157-E158</f>
        <v>0</v>
      </c>
      <c r="J157" s="1660"/>
      <c r="K157" s="1661"/>
      <c r="L157" s="1185"/>
    </row>
    <row r="158" spans="1:12" ht="27.95" customHeight="1" thickBot="1">
      <c r="A158" s="1670"/>
      <c r="B158" s="2682"/>
      <c r="C158" s="1359"/>
      <c r="D158" s="1701"/>
      <c r="E158" s="1673">
        <f>BS!E79</f>
        <v>0</v>
      </c>
      <c r="F158" s="1673"/>
      <c r="G158" s="1674"/>
      <c r="H158" s="1373"/>
      <c r="I158" s="1381"/>
      <c r="J158" s="1674">
        <f>BS!G79</f>
        <v>0</v>
      </c>
      <c r="K158" s="1675"/>
      <c r="L158" s="1676"/>
    </row>
    <row r="159" spans="1:12" ht="11.25" customHeight="1">
      <c r="A159" s="2502" t="s">
        <v>1582</v>
      </c>
      <c r="B159" s="2503" t="s">
        <v>1583</v>
      </c>
      <c r="C159" s="1376"/>
      <c r="D159" s="2671" t="s">
        <v>1584</v>
      </c>
      <c r="E159" s="1638" t="s">
        <v>1585</v>
      </c>
      <c r="F159" s="1639"/>
      <c r="G159" s="1639"/>
      <c r="H159" s="1639"/>
      <c r="I159" s="1639"/>
      <c r="J159" s="1640"/>
      <c r="K159" s="2384" t="s">
        <v>1563</v>
      </c>
      <c r="L159" s="2385"/>
    </row>
    <row r="160" spans="1:12" ht="11.25" customHeight="1">
      <c r="A160" s="2471"/>
      <c r="B160" s="2472"/>
      <c r="C160" s="1317"/>
      <c r="D160" s="2372"/>
      <c r="E160" s="1645">
        <v>1</v>
      </c>
      <c r="F160" s="2332" t="s">
        <v>1586</v>
      </c>
      <c r="G160" s="2391"/>
      <c r="H160" s="1408"/>
      <c r="I160" s="2663" t="s">
        <v>1178</v>
      </c>
      <c r="J160" s="2664"/>
      <c r="K160" s="2324"/>
      <c r="L160" s="2325"/>
    </row>
    <row r="161" spans="1:12" ht="12" customHeight="1">
      <c r="A161" s="2334"/>
      <c r="B161" s="2342"/>
      <c r="C161" s="1377"/>
      <c r="D161" s="2374"/>
      <c r="E161" s="1645"/>
      <c r="F161" s="2332" t="s">
        <v>1587</v>
      </c>
      <c r="G161" s="2391"/>
      <c r="H161" s="1408"/>
      <c r="I161" s="2665"/>
      <c r="J161" s="2666"/>
      <c r="K161" s="2332" t="s">
        <v>1176</v>
      </c>
      <c r="L161" s="2333"/>
    </row>
    <row r="162" spans="1:12" ht="27.95" customHeight="1">
      <c r="A162" s="1681" t="s">
        <v>787</v>
      </c>
      <c r="B162" s="1696" t="s">
        <v>2620</v>
      </c>
      <c r="C162" s="1255"/>
      <c r="D162" s="1698" t="s">
        <v>691</v>
      </c>
      <c r="E162" s="1626">
        <f>BS!D80</f>
        <v>299913</v>
      </c>
      <c r="F162" s="1626"/>
      <c r="G162" s="1627"/>
      <c r="H162" s="1383"/>
      <c r="I162" s="1627">
        <f>E162-E163</f>
        <v>299913</v>
      </c>
      <c r="J162" s="1628"/>
      <c r="K162" s="1629"/>
      <c r="L162" s="1182"/>
    </row>
    <row r="163" spans="1:12" ht="27.95" customHeight="1">
      <c r="A163" s="1681"/>
      <c r="B163" s="1697"/>
      <c r="C163" s="1410"/>
      <c r="D163" s="1699"/>
      <c r="E163" s="1710">
        <f>BS!E80</f>
        <v>0</v>
      </c>
      <c r="F163" s="1710"/>
      <c r="G163" s="1711"/>
      <c r="H163" s="1258"/>
      <c r="I163" s="1395"/>
      <c r="J163" s="1627">
        <f>BS!G80</f>
        <v>768310</v>
      </c>
      <c r="K163" s="1628"/>
      <c r="L163" s="1630"/>
    </row>
    <row r="164" spans="1:12" ht="27.95" customHeight="1">
      <c r="A164" s="1669" t="s">
        <v>790</v>
      </c>
      <c r="B164" s="1678" t="s">
        <v>1639</v>
      </c>
      <c r="C164" s="1248"/>
      <c r="D164" s="1687" t="s">
        <v>693</v>
      </c>
      <c r="E164" s="1658">
        <f>BS!D81</f>
        <v>1088</v>
      </c>
      <c r="F164" s="1658"/>
      <c r="G164" s="1659"/>
      <c r="H164" s="1380"/>
      <c r="I164" s="1659">
        <f>E164-E165</f>
        <v>1088</v>
      </c>
      <c r="J164" s="1708"/>
      <c r="K164" s="1709"/>
      <c r="L164" s="1185"/>
    </row>
    <row r="165" spans="1:12" s="1187" customFormat="1" ht="27.95" customHeight="1">
      <c r="A165" s="1669"/>
      <c r="B165" s="1679"/>
      <c r="C165" s="1244"/>
      <c r="D165" s="1688"/>
      <c r="E165" s="1658">
        <f>BS!E81</f>
        <v>0</v>
      </c>
      <c r="F165" s="1658"/>
      <c r="G165" s="1659"/>
      <c r="H165" s="1374"/>
      <c r="I165" s="1379"/>
      <c r="J165" s="1659">
        <f>BS!G81</f>
        <v>961</v>
      </c>
      <c r="K165" s="1660"/>
      <c r="L165" s="1662"/>
    </row>
    <row r="166" spans="1:12" s="1187" customFormat="1" ht="27.95" customHeight="1">
      <c r="A166" s="1669" t="s">
        <v>532</v>
      </c>
      <c r="B166" s="1678" t="s">
        <v>2621</v>
      </c>
      <c r="C166" s="1248"/>
      <c r="D166" s="1687" t="s">
        <v>695</v>
      </c>
      <c r="E166" s="1658">
        <f>BS!D82</f>
        <v>298825</v>
      </c>
      <c r="F166" s="1658"/>
      <c r="G166" s="1659"/>
      <c r="H166" s="1380"/>
      <c r="I166" s="1659">
        <f>E166-E167</f>
        <v>298825</v>
      </c>
      <c r="J166" s="1660"/>
      <c r="K166" s="1661"/>
      <c r="L166" s="1185"/>
    </row>
    <row r="167" spans="1:12" ht="27.95" customHeight="1">
      <c r="A167" s="1669"/>
      <c r="B167" s="1679"/>
      <c r="C167" s="1244"/>
      <c r="D167" s="1688"/>
      <c r="E167" s="1658">
        <f>BS!E82</f>
        <v>0</v>
      </c>
      <c r="F167" s="1658"/>
      <c r="G167" s="1659"/>
      <c r="H167" s="1374"/>
      <c r="I167" s="1379"/>
      <c r="J167" s="1659">
        <f>BS!G82</f>
        <v>767349</v>
      </c>
      <c r="K167" s="1660"/>
      <c r="L167" s="1662"/>
    </row>
    <row r="168" spans="1:12" ht="27.95" customHeight="1">
      <c r="A168" s="1681" t="s">
        <v>663</v>
      </c>
      <c r="B168" s="1696" t="s">
        <v>2622</v>
      </c>
      <c r="C168" s="1255"/>
      <c r="D168" s="1698" t="s">
        <v>697</v>
      </c>
      <c r="E168" s="1626">
        <f>BS!D83</f>
        <v>6058</v>
      </c>
      <c r="F168" s="1626"/>
      <c r="G168" s="1627"/>
      <c r="H168" s="1383"/>
      <c r="I168" s="1627">
        <f>E168-E169</f>
        <v>6058</v>
      </c>
      <c r="J168" s="1628"/>
      <c r="K168" s="1629"/>
      <c r="L168" s="1182"/>
    </row>
    <row r="169" spans="1:12" s="1188" customFormat="1" ht="27.95" customHeight="1">
      <c r="A169" s="1681"/>
      <c r="B169" s="1697"/>
      <c r="C169" s="1410"/>
      <c r="D169" s="1699"/>
      <c r="E169" s="1626">
        <f>BS!E83</f>
        <v>0</v>
      </c>
      <c r="F169" s="1626"/>
      <c r="G169" s="1627"/>
      <c r="H169" s="1384"/>
      <c r="I169" s="1382"/>
      <c r="J169" s="1627">
        <f>BS!G83</f>
        <v>4637</v>
      </c>
      <c r="K169" s="1628"/>
      <c r="L169" s="1630"/>
    </row>
    <row r="170" spans="1:12" ht="27.95" customHeight="1">
      <c r="A170" s="1669" t="s">
        <v>666</v>
      </c>
      <c r="B170" s="1678" t="s">
        <v>2623</v>
      </c>
      <c r="C170" s="1248"/>
      <c r="D170" s="1687" t="s">
        <v>699</v>
      </c>
      <c r="E170" s="1658">
        <f>BS!D84</f>
        <v>0</v>
      </c>
      <c r="F170" s="1658"/>
      <c r="G170" s="1659"/>
      <c r="H170" s="1380"/>
      <c r="I170" s="1659">
        <f>E170-E171</f>
        <v>0</v>
      </c>
      <c r="J170" s="1660"/>
      <c r="K170" s="1661"/>
      <c r="L170" s="1185"/>
    </row>
    <row r="171" spans="1:12" s="1187" customFormat="1" ht="27.95" customHeight="1">
      <c r="A171" s="1669"/>
      <c r="B171" s="1679"/>
      <c r="C171" s="1244"/>
      <c r="D171" s="1688"/>
      <c r="E171" s="1658">
        <f>BS!E84</f>
        <v>0</v>
      </c>
      <c r="F171" s="1658"/>
      <c r="G171" s="1659"/>
      <c r="H171" s="1374"/>
      <c r="I171" s="1379"/>
      <c r="J171" s="1659">
        <f>BS!G84</f>
        <v>0</v>
      </c>
      <c r="K171" s="1660"/>
      <c r="L171" s="1662"/>
    </row>
    <row r="172" spans="1:12" s="1187" customFormat="1" ht="27.95" customHeight="1">
      <c r="A172" s="1669" t="s">
        <v>532</v>
      </c>
      <c r="B172" s="1678" t="s">
        <v>2624</v>
      </c>
      <c r="C172" s="1248"/>
      <c r="D172" s="1687" t="s">
        <v>701</v>
      </c>
      <c r="E172" s="1658">
        <f>BS!D85</f>
        <v>6058</v>
      </c>
      <c r="F172" s="1658"/>
      <c r="G172" s="1659"/>
      <c r="H172" s="1380"/>
      <c r="I172" s="1659">
        <f>E172-E173</f>
        <v>6058</v>
      </c>
      <c r="J172" s="1660"/>
      <c r="K172" s="1661"/>
      <c r="L172" s="1185"/>
    </row>
    <row r="173" spans="1:12" ht="27.95" customHeight="1">
      <c r="A173" s="1669"/>
      <c r="B173" s="1679"/>
      <c r="C173" s="1244"/>
      <c r="D173" s="1688"/>
      <c r="E173" s="1658">
        <f>BS!E85</f>
        <v>0</v>
      </c>
      <c r="F173" s="1658"/>
      <c r="G173" s="1659"/>
      <c r="H173" s="1374"/>
      <c r="I173" s="1379"/>
      <c r="J173" s="1659">
        <f>BS!G85</f>
        <v>4637</v>
      </c>
      <c r="K173" s="1660"/>
      <c r="L173" s="1662"/>
    </row>
    <row r="174" spans="1:12" ht="27.95" customHeight="1">
      <c r="A174" s="1669" t="s">
        <v>535</v>
      </c>
      <c r="B174" s="1678" t="s">
        <v>2625</v>
      </c>
      <c r="C174" s="1248"/>
      <c r="D174" s="1687" t="s">
        <v>703</v>
      </c>
      <c r="E174" s="1658">
        <f>BS!D86</f>
        <v>0</v>
      </c>
      <c r="F174" s="1658"/>
      <c r="G174" s="1659"/>
      <c r="H174" s="1380"/>
      <c r="I174" s="1659">
        <f>E174-E175</f>
        <v>0</v>
      </c>
      <c r="J174" s="1660"/>
      <c r="K174" s="1661"/>
      <c r="L174" s="1185"/>
    </row>
    <row r="175" spans="1:12" s="1188" customFormat="1" ht="27.95" customHeight="1">
      <c r="A175" s="1669"/>
      <c r="B175" s="1679"/>
      <c r="C175" s="1244"/>
      <c r="D175" s="1688"/>
      <c r="E175" s="1658">
        <f>BS!E86</f>
        <v>0</v>
      </c>
      <c r="F175" s="1658"/>
      <c r="G175" s="1659"/>
      <c r="H175" s="1374"/>
      <c r="I175" s="1379"/>
      <c r="J175" s="1659">
        <f>BS!G86</f>
        <v>0</v>
      </c>
      <c r="K175" s="1660"/>
      <c r="L175" s="1662"/>
    </row>
    <row r="176" spans="1:12" ht="27.95" customHeight="1">
      <c r="A176" s="1669" t="s">
        <v>538</v>
      </c>
      <c r="B176" s="1678" t="s">
        <v>2626</v>
      </c>
      <c r="C176" s="1248"/>
      <c r="D176" s="1687" t="s">
        <v>705</v>
      </c>
      <c r="E176" s="1658">
        <f>BS!D87</f>
        <v>0</v>
      </c>
      <c r="F176" s="1658"/>
      <c r="G176" s="1659"/>
      <c r="H176" s="1380"/>
      <c r="I176" s="1659">
        <f>E176-E177</f>
        <v>0</v>
      </c>
      <c r="J176" s="1660"/>
      <c r="K176" s="1661"/>
      <c r="L176" s="1185"/>
    </row>
    <row r="177" spans="1:12" s="1187" customFormat="1" ht="27.95" customHeight="1">
      <c r="A177" s="1669"/>
      <c r="B177" s="1679"/>
      <c r="C177" s="1244"/>
      <c r="D177" s="1688"/>
      <c r="E177" s="1658">
        <f>BS!E87</f>
        <v>0</v>
      </c>
      <c r="F177" s="1658"/>
      <c r="G177" s="1659"/>
      <c r="H177" s="1374"/>
      <c r="I177" s="1379"/>
      <c r="J177" s="1659">
        <f>BS!G87</f>
        <v>0</v>
      </c>
      <c r="K177" s="1660"/>
      <c r="L177" s="1662"/>
    </row>
    <row r="178" spans="1:12" s="1187" customFormat="1" ht="2.25" customHeight="1">
      <c r="A178" s="1252"/>
      <c r="B178" s="1222"/>
      <c r="C178" s="1222"/>
      <c r="D178" s="1259"/>
      <c r="E178" s="1394"/>
      <c r="F178" s="1380"/>
      <c r="G178" s="1394"/>
      <c r="H178" s="1380"/>
      <c r="I178" s="1394"/>
      <c r="J178" s="1394"/>
      <c r="K178" s="1394"/>
      <c r="L178" s="1375"/>
    </row>
    <row r="179" spans="1:12" s="1188" customFormat="1" ht="30" customHeight="1">
      <c r="A179" s="518" t="s">
        <v>1582</v>
      </c>
      <c r="B179" s="1643" t="s">
        <v>1649</v>
      </c>
      <c r="C179" s="1704"/>
      <c r="D179" s="1704"/>
      <c r="E179" s="1704"/>
      <c r="F179" s="1705"/>
      <c r="G179" s="1170" t="s">
        <v>1584</v>
      </c>
      <c r="H179" s="1260"/>
      <c r="I179" s="2332" t="s">
        <v>1650</v>
      </c>
      <c r="J179" s="2392"/>
      <c r="K179" s="2324" t="s">
        <v>1651</v>
      </c>
      <c r="L179" s="2325"/>
    </row>
    <row r="180" spans="1:12" s="1188" customFormat="1" ht="27.75" customHeight="1">
      <c r="A180" s="1195"/>
      <c r="B180" s="1623" t="s">
        <v>2627</v>
      </c>
      <c r="C180" s="1623"/>
      <c r="D180" s="1716"/>
      <c r="E180" s="1716"/>
      <c r="F180" s="1716"/>
      <c r="G180" s="1207" t="s">
        <v>707</v>
      </c>
      <c r="H180" s="1261"/>
      <c r="I180" s="1659">
        <f>BS!D94</f>
        <v>4805868</v>
      </c>
      <c r="J180" s="1661"/>
      <c r="K180" s="1659">
        <f>BS!E94</f>
        <v>4632339</v>
      </c>
      <c r="L180" s="1662"/>
    </row>
    <row r="181" spans="1:12" s="1188" customFormat="1" ht="27.75" customHeight="1">
      <c r="A181" s="1195" t="s">
        <v>523</v>
      </c>
      <c r="B181" s="1712" t="s">
        <v>2628</v>
      </c>
      <c r="C181" s="1713"/>
      <c r="D181" s="1713"/>
      <c r="E181" s="1713"/>
      <c r="F181" s="1714"/>
      <c r="G181" s="1208" t="s">
        <v>709</v>
      </c>
      <c r="H181" s="1250"/>
      <c r="I181" s="1659">
        <f>BS!D95</f>
        <v>3192339</v>
      </c>
      <c r="J181" s="1661"/>
      <c r="K181" s="1659">
        <f>BS!E95</f>
        <v>3147399</v>
      </c>
      <c r="L181" s="1662"/>
    </row>
    <row r="182" spans="1:12" ht="27.75" customHeight="1">
      <c r="A182" s="1195" t="s">
        <v>526</v>
      </c>
      <c r="B182" s="1712" t="s">
        <v>2629</v>
      </c>
      <c r="C182" s="1713"/>
      <c r="D182" s="1713"/>
      <c r="E182" s="1713"/>
      <c r="F182" s="1714"/>
      <c r="G182" s="1208" t="s">
        <v>711</v>
      </c>
      <c r="H182" s="1250"/>
      <c r="I182" s="1659">
        <f>BS!D96</f>
        <v>2506390</v>
      </c>
      <c r="J182" s="1661"/>
      <c r="K182" s="1659">
        <f>BS!E96</f>
        <v>2506390</v>
      </c>
      <c r="L182" s="1662"/>
    </row>
    <row r="183" spans="1:12" s="1187" customFormat="1" ht="27.75" customHeight="1">
      <c r="A183" s="1197" t="s">
        <v>529</v>
      </c>
      <c r="B183" s="1717" t="s">
        <v>2630</v>
      </c>
      <c r="C183" s="1718"/>
      <c r="D183" s="1718"/>
      <c r="E183" s="1718"/>
      <c r="F183" s="1719"/>
      <c r="G183" s="1209" t="s">
        <v>713</v>
      </c>
      <c r="H183" s="1251"/>
      <c r="I183" s="1659">
        <f>BS!D97</f>
        <v>2506390</v>
      </c>
      <c r="J183" s="1661"/>
      <c r="K183" s="1659">
        <f>BS!E97</f>
        <v>2506390</v>
      </c>
      <c r="L183" s="1662"/>
    </row>
    <row r="184" spans="1:12" s="1187" customFormat="1" ht="27.75" customHeight="1">
      <c r="A184" s="1195" t="s">
        <v>532</v>
      </c>
      <c r="B184" s="1717" t="s">
        <v>1657</v>
      </c>
      <c r="C184" s="1718"/>
      <c r="D184" s="1718"/>
      <c r="E184" s="1718"/>
      <c r="F184" s="1719"/>
      <c r="G184" s="1209" t="s">
        <v>715</v>
      </c>
      <c r="H184" s="1251"/>
      <c r="I184" s="1659">
        <f>BS!D98</f>
        <v>0</v>
      </c>
      <c r="J184" s="1661"/>
      <c r="K184" s="1659">
        <f>BS!E98</f>
        <v>0</v>
      </c>
      <c r="L184" s="1662"/>
    </row>
    <row r="185" spans="1:12" s="1187" customFormat="1" ht="27.75" customHeight="1">
      <c r="A185" s="1195" t="s">
        <v>535</v>
      </c>
      <c r="B185" s="2686" t="s">
        <v>1160</v>
      </c>
      <c r="C185" s="2687"/>
      <c r="D185" s="2687"/>
      <c r="E185" s="2687"/>
      <c r="F185" s="2688"/>
      <c r="G185" s="1209" t="s">
        <v>718</v>
      </c>
      <c r="H185" s="1251"/>
      <c r="I185" s="1659">
        <f>BS!D99</f>
        <v>0</v>
      </c>
      <c r="J185" s="1661"/>
      <c r="K185" s="1659">
        <f>BS!E99</f>
        <v>0</v>
      </c>
      <c r="L185" s="1662"/>
    </row>
    <row r="186" spans="1:12" ht="27.75" customHeight="1">
      <c r="A186" s="1195" t="s">
        <v>550</v>
      </c>
      <c r="B186" s="1712" t="s">
        <v>2631</v>
      </c>
      <c r="C186" s="1713"/>
      <c r="D186" s="1713"/>
      <c r="E186" s="1713"/>
      <c r="F186" s="1714"/>
      <c r="G186" s="1208" t="s">
        <v>721</v>
      </c>
      <c r="H186" s="1250"/>
      <c r="I186" s="1627">
        <f>BS!D100</f>
        <v>0</v>
      </c>
      <c r="J186" s="1629"/>
      <c r="K186" s="1627">
        <f>BS!E100</f>
        <v>0</v>
      </c>
      <c r="L186" s="1630"/>
    </row>
    <row r="187" spans="1:12" ht="27.75" customHeight="1">
      <c r="A187" s="1195" t="s">
        <v>574</v>
      </c>
      <c r="B187" s="1712" t="s">
        <v>1660</v>
      </c>
      <c r="C187" s="1713"/>
      <c r="D187" s="1713"/>
      <c r="E187" s="1713"/>
      <c r="F187" s="1714"/>
      <c r="G187" s="1208" t="s">
        <v>723</v>
      </c>
      <c r="H187" s="1250"/>
      <c r="I187" s="1627">
        <f>BS!D101</f>
        <v>0</v>
      </c>
      <c r="J187" s="1629"/>
      <c r="K187" s="1627">
        <f>BS!E101</f>
        <v>0</v>
      </c>
      <c r="L187" s="1630"/>
    </row>
    <row r="188" spans="1:12" ht="27.75" customHeight="1">
      <c r="A188" s="1195" t="s">
        <v>716</v>
      </c>
      <c r="B188" s="2683" t="s">
        <v>2475</v>
      </c>
      <c r="C188" s="2684"/>
      <c r="D188" s="2684"/>
      <c r="E188" s="2684"/>
      <c r="F188" s="2685"/>
      <c r="G188" s="1208" t="s">
        <v>726</v>
      </c>
      <c r="H188" s="1250"/>
      <c r="I188" s="1627">
        <f>BS!D102</f>
        <v>107571</v>
      </c>
      <c r="J188" s="1629"/>
      <c r="K188" s="1627">
        <f>BS!E102</f>
        <v>87866</v>
      </c>
      <c r="L188" s="1630"/>
    </row>
    <row r="189" spans="1:12" ht="27.75" customHeight="1">
      <c r="A189" s="1197" t="s">
        <v>719</v>
      </c>
      <c r="B189" s="2686" t="s">
        <v>2476</v>
      </c>
      <c r="C189" s="2687"/>
      <c r="D189" s="2687"/>
      <c r="E189" s="2687"/>
      <c r="F189" s="2688"/>
      <c r="G189" s="1209" t="s">
        <v>728</v>
      </c>
      <c r="H189" s="1251"/>
      <c r="I189" s="1659">
        <f>BS!D103</f>
        <v>107571</v>
      </c>
      <c r="J189" s="1661"/>
      <c r="K189" s="1659">
        <f>BS!E103</f>
        <v>87866</v>
      </c>
      <c r="L189" s="1662"/>
    </row>
    <row r="190" spans="1:12" s="1187" customFormat="1" ht="27.75" customHeight="1" thickBot="1">
      <c r="A190" s="1195" t="s">
        <v>532</v>
      </c>
      <c r="B190" s="2686" t="s">
        <v>2477</v>
      </c>
      <c r="C190" s="2687"/>
      <c r="D190" s="2687"/>
      <c r="E190" s="2687"/>
      <c r="F190" s="2688"/>
      <c r="G190" s="1209" t="s">
        <v>730</v>
      </c>
      <c r="H190" s="1251"/>
      <c r="I190" s="1659">
        <f>BS!D104</f>
        <v>0</v>
      </c>
      <c r="J190" s="1661"/>
      <c r="K190" s="1659">
        <f>BS!E104</f>
        <v>0</v>
      </c>
      <c r="L190" s="1662"/>
    </row>
    <row r="191" spans="1:12" s="1187" customFormat="1" ht="27.75" customHeight="1">
      <c r="A191" s="510" t="s">
        <v>1582</v>
      </c>
      <c r="B191" s="1638" t="s">
        <v>1649</v>
      </c>
      <c r="C191" s="1639"/>
      <c r="D191" s="1639"/>
      <c r="E191" s="1639"/>
      <c r="F191" s="1640"/>
      <c r="G191" s="1174" t="s">
        <v>1584</v>
      </c>
      <c r="H191" s="1363"/>
      <c r="I191" s="2322" t="s">
        <v>1650</v>
      </c>
      <c r="J191" s="2326"/>
      <c r="K191" s="2322" t="s">
        <v>1651</v>
      </c>
      <c r="L191" s="2323"/>
    </row>
    <row r="192" spans="1:12" ht="27.75" customHeight="1">
      <c r="A192" s="1195" t="s">
        <v>724</v>
      </c>
      <c r="B192" s="2683" t="s">
        <v>2478</v>
      </c>
      <c r="C192" s="2684"/>
      <c r="D192" s="2684"/>
      <c r="E192" s="2684"/>
      <c r="F192" s="2685"/>
      <c r="G192" s="1208" t="s">
        <v>732</v>
      </c>
      <c r="H192" s="1250"/>
      <c r="I192" s="1627">
        <f>BS!D105</f>
        <v>0</v>
      </c>
      <c r="J192" s="1629"/>
      <c r="K192" s="1627">
        <f>BS!E105</f>
        <v>0</v>
      </c>
      <c r="L192" s="1630"/>
    </row>
    <row r="193" spans="1:12" ht="27.75" customHeight="1">
      <c r="A193" s="1197" t="s">
        <v>2294</v>
      </c>
      <c r="B193" s="2686" t="s">
        <v>2479</v>
      </c>
      <c r="C193" s="2687"/>
      <c r="D193" s="2687"/>
      <c r="E193" s="2687"/>
      <c r="F193" s="2688"/>
      <c r="G193" s="1209" t="s">
        <v>734</v>
      </c>
      <c r="H193" s="1251"/>
      <c r="I193" s="1659">
        <f>BS!D106</f>
        <v>0</v>
      </c>
      <c r="J193" s="1661"/>
      <c r="K193" s="1659">
        <f>BS!E106</f>
        <v>0</v>
      </c>
      <c r="L193" s="1662"/>
    </row>
    <row r="194" spans="1:12" ht="27.75" customHeight="1">
      <c r="A194" s="1195" t="s">
        <v>532</v>
      </c>
      <c r="B194" s="2686" t="s">
        <v>2480</v>
      </c>
      <c r="C194" s="2687"/>
      <c r="D194" s="2687"/>
      <c r="E194" s="2687"/>
      <c r="F194" s="2688"/>
      <c r="G194" s="1209" t="s">
        <v>736</v>
      </c>
      <c r="H194" s="1251"/>
      <c r="I194" s="1659">
        <f>BS!D107</f>
        <v>0</v>
      </c>
      <c r="J194" s="1661"/>
      <c r="K194" s="1659">
        <f>BS!E107</f>
        <v>0</v>
      </c>
      <c r="L194" s="1662"/>
    </row>
    <row r="195" spans="1:12" ht="27.75" customHeight="1">
      <c r="A195" s="1195" t="s">
        <v>2297</v>
      </c>
      <c r="B195" s="2683" t="s">
        <v>2481</v>
      </c>
      <c r="C195" s="2684"/>
      <c r="D195" s="2684"/>
      <c r="E195" s="2684"/>
      <c r="F195" s="2685"/>
      <c r="G195" s="1208" t="s">
        <v>738</v>
      </c>
      <c r="H195" s="1250"/>
      <c r="I195" s="1627">
        <f>BS!D108</f>
        <v>0</v>
      </c>
      <c r="J195" s="1629"/>
      <c r="K195" s="1627">
        <f>BS!E108</f>
        <v>0</v>
      </c>
      <c r="L195" s="1630"/>
    </row>
    <row r="196" spans="1:12" ht="27.75" customHeight="1">
      <c r="A196" s="1197" t="s">
        <v>2299</v>
      </c>
      <c r="B196" s="2686" t="s">
        <v>2482</v>
      </c>
      <c r="C196" s="2687"/>
      <c r="D196" s="2687"/>
      <c r="E196" s="2687"/>
      <c r="F196" s="2688"/>
      <c r="G196" s="1209" t="s">
        <v>740</v>
      </c>
      <c r="H196" s="1251"/>
      <c r="I196" s="1659">
        <f>BS!D109</f>
        <v>0</v>
      </c>
      <c r="J196" s="1661"/>
      <c r="K196" s="1659">
        <f>BS!E109</f>
        <v>0</v>
      </c>
      <c r="L196" s="1662"/>
    </row>
    <row r="197" spans="1:12" ht="27.75" customHeight="1">
      <c r="A197" s="1197" t="s">
        <v>532</v>
      </c>
      <c r="B197" s="2686" t="s">
        <v>1154</v>
      </c>
      <c r="C197" s="2687"/>
      <c r="D197" s="2687"/>
      <c r="E197" s="2687"/>
      <c r="F197" s="2688"/>
      <c r="G197" s="1209" t="s">
        <v>742</v>
      </c>
      <c r="H197" s="1251"/>
      <c r="I197" s="1659">
        <f>BS!D110</f>
        <v>0</v>
      </c>
      <c r="J197" s="1661"/>
      <c r="K197" s="1659">
        <f>BS!E110</f>
        <v>0</v>
      </c>
      <c r="L197" s="1662"/>
    </row>
    <row r="198" spans="1:12" s="1187" customFormat="1" ht="27.75" customHeight="1">
      <c r="A198" s="1197" t="s">
        <v>535</v>
      </c>
      <c r="B198" s="2686" t="s">
        <v>2483</v>
      </c>
      <c r="C198" s="2687"/>
      <c r="D198" s="2687"/>
      <c r="E198" s="2687"/>
      <c r="F198" s="2688"/>
      <c r="G198" s="1209" t="s">
        <v>743</v>
      </c>
      <c r="H198" s="1251"/>
      <c r="I198" s="1659">
        <f>BS!D111</f>
        <v>0</v>
      </c>
      <c r="J198" s="1661"/>
      <c r="K198" s="1659">
        <f>BS!E111</f>
        <v>0</v>
      </c>
      <c r="L198" s="1662"/>
    </row>
    <row r="199" spans="1:12" ht="27.75" customHeight="1">
      <c r="A199" s="1195" t="s">
        <v>2301</v>
      </c>
      <c r="B199" s="1712" t="s">
        <v>2632</v>
      </c>
      <c r="C199" s="1713"/>
      <c r="D199" s="1713"/>
      <c r="E199" s="1713"/>
      <c r="F199" s="1714"/>
      <c r="G199" s="1208" t="s">
        <v>745</v>
      </c>
      <c r="H199" s="1250"/>
      <c r="I199" s="1627">
        <f>BS!D112</f>
        <v>418803</v>
      </c>
      <c r="J199" s="1629"/>
      <c r="K199" s="1627">
        <f>BS!E112</f>
        <v>279707</v>
      </c>
      <c r="L199" s="1630"/>
    </row>
    <row r="200" spans="1:12" ht="27.75" customHeight="1">
      <c r="A200" s="1197" t="s">
        <v>2303</v>
      </c>
      <c r="B200" s="1717" t="s">
        <v>1670</v>
      </c>
      <c r="C200" s="1718"/>
      <c r="D200" s="1718"/>
      <c r="E200" s="1718"/>
      <c r="F200" s="1719"/>
      <c r="G200" s="1209" t="s">
        <v>747</v>
      </c>
      <c r="H200" s="1251"/>
      <c r="I200" s="1659">
        <f>BS!D113</f>
        <v>418803</v>
      </c>
      <c r="J200" s="1661"/>
      <c r="K200" s="1659">
        <f>BS!E113</f>
        <v>279707</v>
      </c>
      <c r="L200" s="1662"/>
    </row>
    <row r="201" spans="1:12" ht="27.75" customHeight="1">
      <c r="A201" s="1197" t="s">
        <v>532</v>
      </c>
      <c r="B201" s="1717" t="s">
        <v>1671</v>
      </c>
      <c r="C201" s="1718"/>
      <c r="D201" s="1718"/>
      <c r="E201" s="1718"/>
      <c r="F201" s="1719"/>
      <c r="G201" s="1209" t="s">
        <v>749</v>
      </c>
      <c r="H201" s="1251"/>
      <c r="I201" s="1659">
        <f>BS!D114</f>
        <v>0</v>
      </c>
      <c r="J201" s="1661"/>
      <c r="K201" s="1659">
        <f>BS!E114</f>
        <v>0</v>
      </c>
      <c r="L201" s="1662"/>
    </row>
    <row r="202" spans="1:12" s="1187" customFormat="1" ht="31.5" customHeight="1">
      <c r="A202" s="1195" t="s">
        <v>2304</v>
      </c>
      <c r="B202" s="1712" t="s">
        <v>2633</v>
      </c>
      <c r="C202" s="1713"/>
      <c r="D202" s="1713"/>
      <c r="E202" s="1713"/>
      <c r="F202" s="1714"/>
      <c r="G202" s="1208" t="s">
        <v>751</v>
      </c>
      <c r="H202" s="1250"/>
      <c r="I202" s="1627">
        <f>BS!D115</f>
        <v>159575</v>
      </c>
      <c r="J202" s="1629"/>
      <c r="K202" s="1627">
        <f>BS!E115</f>
        <v>273436</v>
      </c>
      <c r="L202" s="1630"/>
    </row>
    <row r="203" spans="1:12" ht="27.75" customHeight="1">
      <c r="A203" s="1195" t="s">
        <v>594</v>
      </c>
      <c r="B203" s="1712" t="s">
        <v>2634</v>
      </c>
      <c r="C203" s="1713"/>
      <c r="D203" s="1713"/>
      <c r="E203" s="1713"/>
      <c r="F203" s="1714"/>
      <c r="G203" s="1208" t="s">
        <v>753</v>
      </c>
      <c r="H203" s="1250"/>
      <c r="I203" s="1627">
        <f>BS!D116</f>
        <v>1613529</v>
      </c>
      <c r="J203" s="1629"/>
      <c r="K203" s="1627">
        <f>BS!E116</f>
        <v>1484940</v>
      </c>
      <c r="L203" s="1630"/>
    </row>
    <row r="204" spans="1:12" ht="27.75" customHeight="1">
      <c r="A204" s="1195" t="s">
        <v>597</v>
      </c>
      <c r="B204" s="1712" t="s">
        <v>2635</v>
      </c>
      <c r="C204" s="1713"/>
      <c r="D204" s="1713"/>
      <c r="E204" s="1713"/>
      <c r="F204" s="1714"/>
      <c r="G204" s="1208" t="s">
        <v>755</v>
      </c>
      <c r="H204" s="1250"/>
      <c r="I204" s="1627">
        <f>BS!D117</f>
        <v>314230</v>
      </c>
      <c r="J204" s="1629"/>
      <c r="K204" s="1627">
        <f>BS!E117</f>
        <v>391400</v>
      </c>
      <c r="L204" s="1630"/>
    </row>
    <row r="205" spans="1:12" s="1187" customFormat="1" ht="27.75" customHeight="1">
      <c r="A205" s="1195" t="s">
        <v>600</v>
      </c>
      <c r="B205" s="1712" t="s">
        <v>2488</v>
      </c>
      <c r="C205" s="1713"/>
      <c r="D205" s="1713"/>
      <c r="E205" s="1713"/>
      <c r="F205" s="1714"/>
      <c r="G205" s="1208" t="s">
        <v>757</v>
      </c>
      <c r="H205" s="1251"/>
      <c r="I205" s="1659">
        <f>BS!D118</f>
        <v>0</v>
      </c>
      <c r="J205" s="1661"/>
      <c r="K205" s="1659">
        <f>BS!E118</f>
        <v>0</v>
      </c>
      <c r="L205" s="1662"/>
    </row>
    <row r="206" spans="1:12" s="1187" customFormat="1" ht="27.75" customHeight="1">
      <c r="A206" s="1197" t="s">
        <v>2270</v>
      </c>
      <c r="B206" s="2686" t="s">
        <v>2489</v>
      </c>
      <c r="C206" s="2687"/>
      <c r="D206" s="2687"/>
      <c r="E206" s="2687"/>
      <c r="F206" s="2688"/>
      <c r="G206" s="1209" t="s">
        <v>760</v>
      </c>
      <c r="H206" s="1251"/>
      <c r="I206" s="1659">
        <f>BS!D119</f>
        <v>0</v>
      </c>
      <c r="J206" s="1661"/>
      <c r="K206" s="1659">
        <f>BS!E119</f>
        <v>0</v>
      </c>
      <c r="L206" s="1662"/>
    </row>
    <row r="207" spans="1:12" s="1187" customFormat="1" ht="31.5" customHeight="1">
      <c r="A207" s="1197" t="s">
        <v>2271</v>
      </c>
      <c r="B207" s="2686" t="s">
        <v>2490</v>
      </c>
      <c r="C207" s="2687"/>
      <c r="D207" s="2687"/>
      <c r="E207" s="2687"/>
      <c r="F207" s="2688"/>
      <c r="G207" s="1209" t="s">
        <v>763</v>
      </c>
      <c r="H207" s="1251"/>
      <c r="I207" s="1659">
        <f>BS!D120</f>
        <v>0</v>
      </c>
      <c r="J207" s="1661"/>
      <c r="K207" s="1659">
        <f>BS!E120</f>
        <v>0</v>
      </c>
      <c r="L207" s="1662"/>
    </row>
    <row r="208" spans="1:12" ht="27.75" customHeight="1">
      <c r="A208" s="1197" t="s">
        <v>2272</v>
      </c>
      <c r="B208" s="2686" t="s">
        <v>2491</v>
      </c>
      <c r="C208" s="2687"/>
      <c r="D208" s="2687"/>
      <c r="E208" s="2687"/>
      <c r="F208" s="2688"/>
      <c r="G208" s="1209" t="s">
        <v>765</v>
      </c>
      <c r="H208" s="1251"/>
      <c r="I208" s="1659">
        <f>BS!D121</f>
        <v>0</v>
      </c>
      <c r="J208" s="1661"/>
      <c r="K208" s="1659">
        <f>BS!E121</f>
        <v>0</v>
      </c>
      <c r="L208" s="1662"/>
    </row>
    <row r="209" spans="1:12" ht="25.5" customHeight="1">
      <c r="A209" s="1197" t="s">
        <v>532</v>
      </c>
      <c r="B209" s="2686" t="s">
        <v>2453</v>
      </c>
      <c r="C209" s="2687"/>
      <c r="D209" s="2687"/>
      <c r="E209" s="2687"/>
      <c r="F209" s="2688"/>
      <c r="G209" s="1208" t="s">
        <v>767</v>
      </c>
      <c r="H209" s="1250"/>
      <c r="I209" s="1659">
        <f>BS!D122</f>
        <v>0</v>
      </c>
      <c r="J209" s="1661"/>
      <c r="K209" s="1659">
        <f>BS!E122</f>
        <v>0</v>
      </c>
      <c r="L209" s="1662"/>
    </row>
    <row r="210" spans="1:12" ht="27.75" customHeight="1">
      <c r="A210" s="1402" t="s">
        <v>535</v>
      </c>
      <c r="B210" s="2674" t="s">
        <v>2492</v>
      </c>
      <c r="C210" s="2674"/>
      <c r="D210" s="2689"/>
      <c r="E210" s="2689"/>
      <c r="F210" s="2689"/>
      <c r="G210" s="1262" t="s">
        <v>768</v>
      </c>
      <c r="H210" s="1259"/>
      <c r="I210" s="1725">
        <f>BS!D123</f>
        <v>279</v>
      </c>
      <c r="J210" s="1709"/>
      <c r="K210" s="1725">
        <f>BS!E123</f>
        <v>279</v>
      </c>
      <c r="L210" s="1726"/>
    </row>
    <row r="211" spans="1:12" ht="32.25" customHeight="1">
      <c r="A211" s="1199" t="s">
        <v>538</v>
      </c>
      <c r="B211" s="2686" t="s">
        <v>2493</v>
      </c>
      <c r="C211" s="2687"/>
      <c r="D211" s="2687"/>
      <c r="E211" s="2687"/>
      <c r="F211" s="2688"/>
      <c r="G211" s="1209" t="s">
        <v>770</v>
      </c>
      <c r="H211" s="1251"/>
      <c r="I211" s="1659">
        <f>BS!D124</f>
        <v>0</v>
      </c>
      <c r="J211" s="1661"/>
      <c r="K211" s="1659">
        <f>BS!E124</f>
        <v>0</v>
      </c>
      <c r="L211" s="1662"/>
    </row>
    <row r="212" spans="1:12" s="1187" customFormat="1" ht="27.75" customHeight="1">
      <c r="A212" s="1199" t="s">
        <v>541</v>
      </c>
      <c r="B212" s="2686" t="s">
        <v>2494</v>
      </c>
      <c r="C212" s="2687"/>
      <c r="D212" s="2687"/>
      <c r="E212" s="2687"/>
      <c r="F212" s="2688"/>
      <c r="G212" s="1209" t="s">
        <v>772</v>
      </c>
      <c r="H212" s="1251"/>
      <c r="I212" s="1659">
        <f>BS!D125</f>
        <v>0</v>
      </c>
      <c r="J212" s="1661"/>
      <c r="K212" s="1659">
        <f>BS!E125</f>
        <v>0</v>
      </c>
      <c r="L212" s="1662"/>
    </row>
    <row r="213" spans="1:12" ht="27.75" customHeight="1">
      <c r="A213" s="1199" t="s">
        <v>544</v>
      </c>
      <c r="B213" s="2686" t="s">
        <v>1128</v>
      </c>
      <c r="C213" s="2687"/>
      <c r="D213" s="2687"/>
      <c r="E213" s="2687"/>
      <c r="F213" s="2688"/>
      <c r="G213" s="1209" t="s">
        <v>774</v>
      </c>
      <c r="H213" s="1251"/>
      <c r="I213" s="1659">
        <f>BS!D126</f>
        <v>0</v>
      </c>
      <c r="J213" s="1661"/>
      <c r="K213" s="1659">
        <f>BS!E126</f>
        <v>0</v>
      </c>
      <c r="L213" s="1662"/>
    </row>
    <row r="214" spans="1:12" ht="27.75" customHeight="1">
      <c r="A214" s="1199" t="s">
        <v>547</v>
      </c>
      <c r="B214" s="2686" t="s">
        <v>1127</v>
      </c>
      <c r="C214" s="2687"/>
      <c r="D214" s="2687"/>
      <c r="E214" s="2687"/>
      <c r="F214" s="2688"/>
      <c r="G214" s="1209" t="s">
        <v>776</v>
      </c>
      <c r="H214" s="1251"/>
      <c r="I214" s="1659">
        <f>BS!D127</f>
        <v>0</v>
      </c>
      <c r="J214" s="1661"/>
      <c r="K214" s="1659">
        <f>BS!E127</f>
        <v>0</v>
      </c>
      <c r="L214" s="1662"/>
    </row>
    <row r="215" spans="1:12" ht="27.75" customHeight="1">
      <c r="A215" s="1199" t="s">
        <v>568</v>
      </c>
      <c r="B215" s="2686" t="s">
        <v>2495</v>
      </c>
      <c r="C215" s="2687"/>
      <c r="D215" s="2687"/>
      <c r="E215" s="2687"/>
      <c r="F215" s="2688"/>
      <c r="G215" s="1209" t="s">
        <v>778</v>
      </c>
      <c r="H215" s="1251"/>
      <c r="I215" s="1659">
        <f>BS!D128</f>
        <v>0</v>
      </c>
      <c r="J215" s="1661"/>
      <c r="K215" s="1659">
        <f>BS!E128</f>
        <v>0</v>
      </c>
      <c r="L215" s="1662"/>
    </row>
    <row r="216" spans="1:12" ht="27.75" customHeight="1">
      <c r="A216" s="1199" t="s">
        <v>571</v>
      </c>
      <c r="B216" s="2686" t="s">
        <v>1125</v>
      </c>
      <c r="C216" s="2687"/>
      <c r="D216" s="2687"/>
      <c r="E216" s="2687"/>
      <c r="F216" s="2688"/>
      <c r="G216" s="1209" t="s">
        <v>780</v>
      </c>
      <c r="H216" s="1251"/>
      <c r="I216" s="1659">
        <f>BS!D129</f>
        <v>12927</v>
      </c>
      <c r="J216" s="1661"/>
      <c r="K216" s="1659">
        <f>BS!E129</f>
        <v>18257</v>
      </c>
      <c r="L216" s="1662"/>
    </row>
    <row r="217" spans="1:12" ht="27.75" customHeight="1">
      <c r="A217" s="1199" t="s">
        <v>758</v>
      </c>
      <c r="B217" s="2686" t="s">
        <v>2496</v>
      </c>
      <c r="C217" s="2687"/>
      <c r="D217" s="2687"/>
      <c r="E217" s="2687"/>
      <c r="F217" s="2688"/>
      <c r="G217" s="1209" t="s">
        <v>782</v>
      </c>
      <c r="H217" s="1251"/>
      <c r="I217" s="1659">
        <f>BS!D130</f>
        <v>0</v>
      </c>
      <c r="J217" s="1661"/>
      <c r="K217" s="1659">
        <f>BS!E130</f>
        <v>0</v>
      </c>
      <c r="L217" s="1662"/>
    </row>
    <row r="218" spans="1:12" ht="27.75" customHeight="1">
      <c r="A218" s="1199" t="s">
        <v>761</v>
      </c>
      <c r="B218" s="2686" t="s">
        <v>2497</v>
      </c>
      <c r="C218" s="2687"/>
      <c r="D218" s="2687"/>
      <c r="E218" s="2687"/>
      <c r="F218" s="2688"/>
      <c r="G218" s="1209" t="s">
        <v>784</v>
      </c>
      <c r="H218" s="1251"/>
      <c r="I218" s="1659">
        <f>BS!D131</f>
        <v>0</v>
      </c>
      <c r="J218" s="1661"/>
      <c r="K218" s="1659">
        <f>BS!E131</f>
        <v>0</v>
      </c>
      <c r="L218" s="1662"/>
    </row>
    <row r="219" spans="1:12" ht="27.75" customHeight="1" thickBot="1">
      <c r="A219" s="1367" t="s">
        <v>2313</v>
      </c>
      <c r="B219" s="2690" t="s">
        <v>1123</v>
      </c>
      <c r="C219" s="2691"/>
      <c r="D219" s="2691"/>
      <c r="E219" s="2691"/>
      <c r="F219" s="2692"/>
      <c r="G219" s="1365" t="s">
        <v>786</v>
      </c>
      <c r="H219" s="1366"/>
      <c r="I219" s="1674">
        <f>BS!D132</f>
        <v>301024</v>
      </c>
      <c r="J219" s="1723"/>
      <c r="K219" s="1674">
        <f>BS!E132</f>
        <v>372864</v>
      </c>
      <c r="L219" s="1676"/>
    </row>
    <row r="220" spans="1:12" ht="27.75" customHeight="1">
      <c r="A220" s="510" t="s">
        <v>1582</v>
      </c>
      <c r="B220" s="1638" t="s">
        <v>1649</v>
      </c>
      <c r="C220" s="1639"/>
      <c r="D220" s="1639"/>
      <c r="E220" s="1639"/>
      <c r="F220" s="1640"/>
      <c r="G220" s="1174" t="s">
        <v>1584</v>
      </c>
      <c r="H220" s="1363"/>
      <c r="I220" s="2322" t="s">
        <v>1650</v>
      </c>
      <c r="J220" s="2326"/>
      <c r="K220" s="2322" t="s">
        <v>1651</v>
      </c>
      <c r="L220" s="2323"/>
    </row>
    <row r="221" spans="1:12" ht="27.75" customHeight="1">
      <c r="A221" s="1404" t="s">
        <v>613</v>
      </c>
      <c r="B221" s="2683" t="s">
        <v>2498</v>
      </c>
      <c r="C221" s="2684"/>
      <c r="D221" s="2684"/>
      <c r="E221" s="2684"/>
      <c r="F221" s="2685"/>
      <c r="G221" s="1208" t="s">
        <v>789</v>
      </c>
      <c r="H221" s="1250"/>
      <c r="I221" s="1627">
        <f>BS!D133</f>
        <v>0</v>
      </c>
      <c r="J221" s="1629"/>
      <c r="K221" s="1627">
        <f>BS!E133</f>
        <v>0</v>
      </c>
      <c r="L221" s="1630"/>
    </row>
    <row r="222" spans="1:12" ht="27.75" customHeight="1">
      <c r="A222" s="1199" t="s">
        <v>616</v>
      </c>
      <c r="B222" s="2686" t="s">
        <v>2499</v>
      </c>
      <c r="C222" s="2687"/>
      <c r="D222" s="2687"/>
      <c r="E222" s="2687"/>
      <c r="F222" s="2688"/>
      <c r="G222" s="1209" t="s">
        <v>792</v>
      </c>
      <c r="H222" s="1251"/>
      <c r="I222" s="1659">
        <f>BS!D134</f>
        <v>0</v>
      </c>
      <c r="J222" s="1661"/>
      <c r="K222" s="1659">
        <f>BS!E134</f>
        <v>0</v>
      </c>
      <c r="L222" s="1662"/>
    </row>
    <row r="223" spans="1:12" ht="27.75" customHeight="1">
      <c r="A223" s="1199" t="s">
        <v>532</v>
      </c>
      <c r="B223" s="2686" t="s">
        <v>2500</v>
      </c>
      <c r="C223" s="2687"/>
      <c r="D223" s="2687"/>
      <c r="E223" s="2687"/>
      <c r="F223" s="2688"/>
      <c r="G223" s="1209" t="s">
        <v>794</v>
      </c>
      <c r="H223" s="1251"/>
      <c r="I223" s="1659">
        <f>BS!D135</f>
        <v>0</v>
      </c>
      <c r="J223" s="1661"/>
      <c r="K223" s="1659">
        <f>BS!E135</f>
        <v>0</v>
      </c>
      <c r="L223" s="1662"/>
    </row>
    <row r="224" spans="1:12" ht="27.75" customHeight="1">
      <c r="A224" s="1404" t="s">
        <v>631</v>
      </c>
      <c r="B224" s="2683" t="s">
        <v>2501</v>
      </c>
      <c r="C224" s="2684"/>
      <c r="D224" s="2684"/>
      <c r="E224" s="2684"/>
      <c r="F224" s="2685"/>
      <c r="G224" s="1208" t="s">
        <v>796</v>
      </c>
      <c r="H224" s="1250"/>
      <c r="I224" s="1627">
        <f>BS!D136</f>
        <v>0</v>
      </c>
      <c r="J224" s="1629"/>
      <c r="K224" s="1627">
        <f>BS!E136</f>
        <v>0</v>
      </c>
      <c r="L224" s="1630"/>
    </row>
    <row r="225" spans="1:12" ht="27.75" customHeight="1">
      <c r="A225" s="1404" t="s">
        <v>649</v>
      </c>
      <c r="B225" s="2683" t="s">
        <v>2573</v>
      </c>
      <c r="C225" s="2684"/>
      <c r="D225" s="2684"/>
      <c r="E225" s="2684"/>
      <c r="F225" s="2685"/>
      <c r="G225" s="1208" t="s">
        <v>798</v>
      </c>
      <c r="H225" s="1250"/>
      <c r="I225" s="1627">
        <f>BS!D137</f>
        <v>1181891</v>
      </c>
      <c r="J225" s="1629"/>
      <c r="K225" s="1627">
        <f>BS!E137</f>
        <v>988127</v>
      </c>
      <c r="L225" s="1630"/>
    </row>
    <row r="226" spans="1:12" s="1187" customFormat="1" ht="27.75" customHeight="1">
      <c r="A226" s="1404" t="s">
        <v>652</v>
      </c>
      <c r="B226" s="2683" t="s">
        <v>2502</v>
      </c>
      <c r="C226" s="2684"/>
      <c r="D226" s="2684"/>
      <c r="E226" s="2684"/>
      <c r="F226" s="2685"/>
      <c r="G226" s="1208" t="s">
        <v>800</v>
      </c>
      <c r="H226" s="1251"/>
      <c r="I226" s="1659">
        <f>BS!D138</f>
        <v>1079736</v>
      </c>
      <c r="J226" s="1661"/>
      <c r="K226" s="1659">
        <f>BS!E138</f>
        <v>767767</v>
      </c>
      <c r="L226" s="1662"/>
    </row>
    <row r="227" spans="1:12" ht="31.5" customHeight="1">
      <c r="A227" s="1199" t="s">
        <v>2270</v>
      </c>
      <c r="B227" s="2686" t="s">
        <v>2503</v>
      </c>
      <c r="C227" s="2687"/>
      <c r="D227" s="2687"/>
      <c r="E227" s="2687"/>
      <c r="F227" s="2688"/>
      <c r="G227" s="1209" t="s">
        <v>802</v>
      </c>
      <c r="H227" s="1251"/>
      <c r="I227" s="1659">
        <f>BS!D139</f>
        <v>19992</v>
      </c>
      <c r="J227" s="1661"/>
      <c r="K227" s="1659">
        <f>BS!E139</f>
        <v>4427</v>
      </c>
      <c r="L227" s="1662"/>
    </row>
    <row r="228" spans="1:12" ht="30.75" customHeight="1">
      <c r="A228" s="1199" t="s">
        <v>2271</v>
      </c>
      <c r="B228" s="2686" t="s">
        <v>2504</v>
      </c>
      <c r="C228" s="2687"/>
      <c r="D228" s="2687"/>
      <c r="E228" s="2687"/>
      <c r="F228" s="2688"/>
      <c r="G228" s="1209" t="s">
        <v>804</v>
      </c>
      <c r="H228" s="1251"/>
      <c r="I228" s="1659">
        <f>BS!D140</f>
        <v>0</v>
      </c>
      <c r="J228" s="1661"/>
      <c r="K228" s="1659">
        <f>BS!E140</f>
        <v>0</v>
      </c>
      <c r="L228" s="1662"/>
    </row>
    <row r="229" spans="1:12" ht="31.5" customHeight="1">
      <c r="A229" s="1199" t="s">
        <v>2272</v>
      </c>
      <c r="B229" s="2686" t="s">
        <v>2505</v>
      </c>
      <c r="C229" s="2687"/>
      <c r="D229" s="2687"/>
      <c r="E229" s="2687"/>
      <c r="F229" s="2688"/>
      <c r="G229" s="1209" t="s">
        <v>2318</v>
      </c>
      <c r="H229" s="1251"/>
      <c r="I229" s="1659">
        <f>BS!D141</f>
        <v>1059744</v>
      </c>
      <c r="J229" s="1661"/>
      <c r="K229" s="1659">
        <f>BS!E141</f>
        <v>763340</v>
      </c>
      <c r="L229" s="1662"/>
    </row>
    <row r="230" spans="1:12" ht="27.75" customHeight="1">
      <c r="A230" s="1199" t="s">
        <v>532</v>
      </c>
      <c r="B230" s="2686" t="s">
        <v>1120</v>
      </c>
      <c r="C230" s="2687"/>
      <c r="D230" s="2687"/>
      <c r="E230" s="2687"/>
      <c r="F230" s="2688"/>
      <c r="G230" s="1209" t="s">
        <v>2319</v>
      </c>
      <c r="H230" s="1251"/>
      <c r="I230" s="1659">
        <f>BS!D142</f>
        <v>0</v>
      </c>
      <c r="J230" s="1661"/>
      <c r="K230" s="1659">
        <f>BS!E142</f>
        <v>0</v>
      </c>
      <c r="L230" s="1662"/>
    </row>
    <row r="231" spans="1:12" ht="27.75" customHeight="1">
      <c r="A231" s="1199" t="s">
        <v>535</v>
      </c>
      <c r="B231" s="2686" t="s">
        <v>2506</v>
      </c>
      <c r="C231" s="2687"/>
      <c r="D231" s="2687"/>
      <c r="E231" s="2687"/>
      <c r="F231" s="2688"/>
      <c r="G231" s="1209" t="s">
        <v>2320</v>
      </c>
      <c r="H231" s="1251"/>
      <c r="I231" s="1659">
        <f>BS!D143</f>
        <v>0</v>
      </c>
      <c r="J231" s="1661"/>
      <c r="K231" s="1659">
        <f>BS!E143</f>
        <v>0</v>
      </c>
      <c r="L231" s="1662"/>
    </row>
    <row r="232" spans="1:12" ht="30.75" customHeight="1">
      <c r="A232" s="1199" t="s">
        <v>538</v>
      </c>
      <c r="B232" s="2686" t="s">
        <v>2507</v>
      </c>
      <c r="C232" s="2687"/>
      <c r="D232" s="2687"/>
      <c r="E232" s="2687"/>
      <c r="F232" s="2688"/>
      <c r="G232" s="1209" t="s">
        <v>2321</v>
      </c>
      <c r="H232" s="1251"/>
      <c r="I232" s="1659">
        <f>BS!D144</f>
        <v>0</v>
      </c>
      <c r="J232" s="1661"/>
      <c r="K232" s="1659">
        <f>BS!E144</f>
        <v>0</v>
      </c>
      <c r="L232" s="1662"/>
    </row>
    <row r="233" spans="1:12" ht="27.75" customHeight="1">
      <c r="A233" s="1199" t="s">
        <v>541</v>
      </c>
      <c r="B233" s="2686" t="s">
        <v>2508</v>
      </c>
      <c r="C233" s="2687"/>
      <c r="D233" s="2687"/>
      <c r="E233" s="2687"/>
      <c r="F233" s="2688"/>
      <c r="G233" s="1209" t="s">
        <v>2322</v>
      </c>
      <c r="H233" s="1251"/>
      <c r="I233" s="1659">
        <f>BS!D145</f>
        <v>0</v>
      </c>
      <c r="J233" s="1661"/>
      <c r="K233" s="1659">
        <f>BS!E145</f>
        <v>0</v>
      </c>
      <c r="L233" s="1662"/>
    </row>
    <row r="234" spans="1:12" ht="27.75" customHeight="1">
      <c r="A234" s="1199" t="s">
        <v>544</v>
      </c>
      <c r="B234" s="2686" t="s">
        <v>1115</v>
      </c>
      <c r="C234" s="2687"/>
      <c r="D234" s="2687"/>
      <c r="E234" s="2687"/>
      <c r="F234" s="2688"/>
      <c r="G234" s="1209" t="s">
        <v>2323</v>
      </c>
      <c r="H234" s="1251"/>
      <c r="I234" s="1659">
        <f>BS!D146</f>
        <v>47382</v>
      </c>
      <c r="J234" s="1661"/>
      <c r="K234" s="1659">
        <f>BS!E146</f>
        <v>46090</v>
      </c>
      <c r="L234" s="1662"/>
    </row>
    <row r="235" spans="1:12" ht="27.75" customHeight="1">
      <c r="A235" s="1199" t="s">
        <v>547</v>
      </c>
      <c r="B235" s="2686" t="s">
        <v>2509</v>
      </c>
      <c r="C235" s="2687"/>
      <c r="D235" s="2687"/>
      <c r="E235" s="2687"/>
      <c r="F235" s="2688"/>
      <c r="G235" s="1209" t="s">
        <v>2325</v>
      </c>
      <c r="H235" s="1251"/>
      <c r="I235" s="1659">
        <f>BS!D147</f>
        <v>31104</v>
      </c>
      <c r="J235" s="1661"/>
      <c r="K235" s="1659">
        <f>BS!E147</f>
        <v>28038</v>
      </c>
      <c r="L235" s="1662"/>
    </row>
    <row r="236" spans="1:12" s="1187" customFormat="1" ht="27.75" customHeight="1">
      <c r="A236" s="1199" t="s">
        <v>568</v>
      </c>
      <c r="B236" s="2686" t="s">
        <v>2510</v>
      </c>
      <c r="C236" s="2687"/>
      <c r="D236" s="2687"/>
      <c r="E236" s="2687"/>
      <c r="F236" s="2688"/>
      <c r="G236" s="1209" t="s">
        <v>2326</v>
      </c>
      <c r="H236" s="1251"/>
      <c r="I236" s="1659">
        <f>BS!D148</f>
        <v>8319</v>
      </c>
      <c r="J236" s="1661"/>
      <c r="K236" s="1659">
        <f>BS!E148</f>
        <v>142188</v>
      </c>
      <c r="L236" s="1662"/>
    </row>
    <row r="237" spans="1:12" ht="27.75" customHeight="1">
      <c r="A237" s="1199" t="s">
        <v>571</v>
      </c>
      <c r="B237" s="2686" t="s">
        <v>2511</v>
      </c>
      <c r="C237" s="2687"/>
      <c r="D237" s="2687"/>
      <c r="E237" s="2687"/>
      <c r="F237" s="2688"/>
      <c r="G237" s="1209" t="s">
        <v>2328</v>
      </c>
      <c r="H237" s="1251"/>
      <c r="I237" s="1659">
        <f>BS!D149</f>
        <v>0</v>
      </c>
      <c r="J237" s="1661"/>
      <c r="K237" s="1659">
        <f>BS!E149</f>
        <v>0</v>
      </c>
      <c r="L237" s="1662"/>
    </row>
    <row r="238" spans="1:12" ht="27.75" customHeight="1">
      <c r="A238" s="1199" t="s">
        <v>758</v>
      </c>
      <c r="B238" s="2686" t="s">
        <v>2512</v>
      </c>
      <c r="C238" s="2687"/>
      <c r="D238" s="2687"/>
      <c r="E238" s="2687"/>
      <c r="F238" s="2688"/>
      <c r="G238" s="1209" t="s">
        <v>2330</v>
      </c>
      <c r="H238" s="1251"/>
      <c r="I238" s="1659">
        <f>BS!D150</f>
        <v>15350</v>
      </c>
      <c r="J238" s="1661"/>
      <c r="K238" s="1659">
        <f>BS!E150</f>
        <v>4044</v>
      </c>
      <c r="L238" s="1662"/>
    </row>
    <row r="239" spans="1:12" ht="27.75" customHeight="1">
      <c r="A239" s="1404" t="s">
        <v>787</v>
      </c>
      <c r="B239" s="2683" t="s">
        <v>2513</v>
      </c>
      <c r="C239" s="2684"/>
      <c r="D239" s="2684"/>
      <c r="E239" s="2684"/>
      <c r="F239" s="2685"/>
      <c r="G239" s="1208" t="s">
        <v>2332</v>
      </c>
      <c r="H239" s="1250"/>
      <c r="I239" s="1627">
        <f>BS!D151</f>
        <v>113122</v>
      </c>
      <c r="J239" s="1629"/>
      <c r="K239" s="1627">
        <f>BS!E151</f>
        <v>102437</v>
      </c>
      <c r="L239" s="1630"/>
    </row>
    <row r="240" spans="1:12" s="1187" customFormat="1" ht="27.75" customHeight="1">
      <c r="A240" s="1199" t="s">
        <v>790</v>
      </c>
      <c r="B240" s="2686" t="s">
        <v>2514</v>
      </c>
      <c r="C240" s="2687"/>
      <c r="D240" s="2687"/>
      <c r="E240" s="2687"/>
      <c r="F240" s="2688"/>
      <c r="G240" s="1209" t="s">
        <v>2333</v>
      </c>
      <c r="H240" s="1251"/>
      <c r="I240" s="1659">
        <f>BS!D152</f>
        <v>42770</v>
      </c>
      <c r="J240" s="1661"/>
      <c r="K240" s="1659">
        <f>BS!E152</f>
        <v>34294</v>
      </c>
      <c r="L240" s="1662"/>
    </row>
    <row r="241" spans="1:12" s="1187" customFormat="1" ht="27.75" customHeight="1">
      <c r="A241" s="1199" t="s">
        <v>532</v>
      </c>
      <c r="B241" s="2686" t="s">
        <v>2515</v>
      </c>
      <c r="C241" s="2687"/>
      <c r="D241" s="2687"/>
      <c r="E241" s="2687"/>
      <c r="F241" s="2688"/>
      <c r="G241" s="1209" t="s">
        <v>2334</v>
      </c>
      <c r="H241" s="1251"/>
      <c r="I241" s="1659">
        <f>BS!D153</f>
        <v>70352</v>
      </c>
      <c r="J241" s="1661"/>
      <c r="K241" s="1659">
        <f>BS!E153</f>
        <v>68143</v>
      </c>
      <c r="L241" s="1662"/>
    </row>
    <row r="242" spans="1:12" s="1187" customFormat="1" ht="27.75" customHeight="1">
      <c r="A242" s="1401" t="s">
        <v>2335</v>
      </c>
      <c r="B242" s="2693" t="s">
        <v>2516</v>
      </c>
      <c r="C242" s="2693"/>
      <c r="D242" s="2694"/>
      <c r="E242" s="2694"/>
      <c r="F242" s="2694"/>
      <c r="G242" s="1263" t="s">
        <v>2336</v>
      </c>
      <c r="H242" s="1264"/>
      <c r="I242" s="1728">
        <f>BS!D154</f>
        <v>4286</v>
      </c>
      <c r="J242" s="1729"/>
      <c r="K242" s="1728">
        <f>BS!E154</f>
        <v>2976</v>
      </c>
      <c r="L242" s="1730"/>
    </row>
    <row r="243" spans="1:12" s="1187" customFormat="1" ht="27.75" customHeight="1">
      <c r="A243" s="1378" t="s">
        <v>2337</v>
      </c>
      <c r="B243" s="2683" t="s">
        <v>1111</v>
      </c>
      <c r="C243" s="2684"/>
      <c r="D243" s="2684"/>
      <c r="E243" s="2684"/>
      <c r="F243" s="2685"/>
      <c r="G243" s="1208" t="s">
        <v>2338</v>
      </c>
      <c r="H243" s="1250"/>
      <c r="I243" s="1627">
        <f>BS!D155</f>
        <v>0</v>
      </c>
      <c r="J243" s="1629"/>
      <c r="K243" s="1627">
        <f>BS!E155</f>
        <v>0</v>
      </c>
      <c r="L243" s="1630"/>
    </row>
    <row r="244" spans="1:12" s="1187" customFormat="1" ht="27.75" customHeight="1">
      <c r="A244" s="1378" t="s">
        <v>663</v>
      </c>
      <c r="B244" s="2683" t="s">
        <v>2517</v>
      </c>
      <c r="C244" s="2684"/>
      <c r="D244" s="2684"/>
      <c r="E244" s="2684"/>
      <c r="F244" s="2685"/>
      <c r="G244" s="1208" t="s">
        <v>2340</v>
      </c>
      <c r="H244" s="1250"/>
      <c r="I244" s="1627">
        <f>BS!D156</f>
        <v>0</v>
      </c>
      <c r="J244" s="1629"/>
      <c r="K244" s="1627">
        <f>BS!E156</f>
        <v>0</v>
      </c>
      <c r="L244" s="1630"/>
    </row>
    <row r="245" spans="1:12" s="1187" customFormat="1" ht="27.75" customHeight="1">
      <c r="A245" s="1387" t="s">
        <v>666</v>
      </c>
      <c r="B245" s="2686" t="s">
        <v>1106</v>
      </c>
      <c r="C245" s="2687"/>
      <c r="D245" s="2687"/>
      <c r="E245" s="2687"/>
      <c r="F245" s="2688"/>
      <c r="G245" s="1209" t="s">
        <v>2341</v>
      </c>
      <c r="H245" s="1251"/>
      <c r="I245" s="1659">
        <f>BS!D157</f>
        <v>0</v>
      </c>
      <c r="J245" s="1661"/>
      <c r="K245" s="1659">
        <f>BS!E157</f>
        <v>0</v>
      </c>
      <c r="L245" s="1662"/>
    </row>
    <row r="246" spans="1:12" s="1187" customFormat="1" ht="27.75" customHeight="1">
      <c r="A246" s="1387" t="s">
        <v>532</v>
      </c>
      <c r="B246" s="2686" t="s">
        <v>1105</v>
      </c>
      <c r="C246" s="2687"/>
      <c r="D246" s="2687"/>
      <c r="E246" s="2687"/>
      <c r="F246" s="2688"/>
      <c r="G246" s="1209" t="s">
        <v>2342</v>
      </c>
      <c r="H246" s="1251"/>
      <c r="I246" s="1659">
        <f>BS!D158</f>
        <v>0</v>
      </c>
      <c r="J246" s="1661"/>
      <c r="K246" s="1659">
        <f>BS!E158</f>
        <v>0</v>
      </c>
      <c r="L246" s="1662"/>
    </row>
    <row r="247" spans="1:12" s="1187" customFormat="1" ht="27.75" customHeight="1">
      <c r="A247" s="1387" t="s">
        <v>535</v>
      </c>
      <c r="B247" s="2686" t="s">
        <v>2518</v>
      </c>
      <c r="C247" s="2687"/>
      <c r="D247" s="2687"/>
      <c r="E247" s="2687"/>
      <c r="F247" s="2688"/>
      <c r="G247" s="1209" t="s">
        <v>2343</v>
      </c>
      <c r="H247" s="1251"/>
      <c r="I247" s="1659">
        <f>BS!D159</f>
        <v>0</v>
      </c>
      <c r="J247" s="1661"/>
      <c r="K247" s="1659">
        <f>BS!E159</f>
        <v>0</v>
      </c>
      <c r="L247" s="1662"/>
    </row>
    <row r="248" spans="1:12" ht="27.75" customHeight="1" thickBot="1">
      <c r="A248" s="1396" t="s">
        <v>538</v>
      </c>
      <c r="B248" s="2690" t="s">
        <v>2519</v>
      </c>
      <c r="C248" s="2691"/>
      <c r="D248" s="2691"/>
      <c r="E248" s="2691"/>
      <c r="F248" s="2692"/>
      <c r="G248" s="1365" t="s">
        <v>2344</v>
      </c>
      <c r="H248" s="1366"/>
      <c r="I248" s="1674">
        <f>BS!D160</f>
        <v>0</v>
      </c>
      <c r="J248" s="1723"/>
      <c r="K248" s="1674">
        <f>BS!E160</f>
        <v>0</v>
      </c>
      <c r="L248" s="1676"/>
    </row>
    <row r="249" spans="1:12" ht="27.75" customHeight="1">
      <c r="A249" s="1190"/>
      <c r="B249" s="1191"/>
      <c r="C249" s="1191"/>
      <c r="D249" s="1201"/>
      <c r="E249" s="1201"/>
      <c r="F249" s="1201"/>
      <c r="G249" s="1192"/>
      <c r="H249" s="1192"/>
      <c r="I249" s="1193"/>
      <c r="J249" s="1193"/>
      <c r="K249" s="1193"/>
      <c r="L249" s="1193"/>
    </row>
    <row r="250" spans="1:12" ht="24.75" customHeight="1"/>
    <row r="251" spans="1:12" ht="24.75" customHeight="1"/>
    <row r="252" spans="1:12" ht="24.75" customHeight="1"/>
  </sheetData>
  <mergeCells count="816">
    <mergeCell ref="B247:F247"/>
    <mergeCell ref="I247:J247"/>
    <mergeCell ref="K247:L247"/>
    <mergeCell ref="B248:F248"/>
    <mergeCell ref="I248:J248"/>
    <mergeCell ref="K248:L248"/>
    <mergeCell ref="B245:F245"/>
    <mergeCell ref="I245:J245"/>
    <mergeCell ref="K245:L245"/>
    <mergeCell ref="B246:F246"/>
    <mergeCell ref="I246:J246"/>
    <mergeCell ref="K246:L246"/>
    <mergeCell ref="B243:F243"/>
    <mergeCell ref="I243:J243"/>
    <mergeCell ref="K243:L243"/>
    <mergeCell ref="B244:F244"/>
    <mergeCell ref="I244:J244"/>
    <mergeCell ref="K244:L244"/>
    <mergeCell ref="B241:F241"/>
    <mergeCell ref="I241:J241"/>
    <mergeCell ref="K241:L241"/>
    <mergeCell ref="B242:F242"/>
    <mergeCell ref="I242:J242"/>
    <mergeCell ref="K242:L242"/>
    <mergeCell ref="B239:F239"/>
    <mergeCell ref="I239:J239"/>
    <mergeCell ref="K239:L239"/>
    <mergeCell ref="B240:F240"/>
    <mergeCell ref="I240:J240"/>
    <mergeCell ref="K240:L240"/>
    <mergeCell ref="B237:F237"/>
    <mergeCell ref="I237:J237"/>
    <mergeCell ref="K237:L237"/>
    <mergeCell ref="B238:F238"/>
    <mergeCell ref="I238:J238"/>
    <mergeCell ref="K238:L238"/>
    <mergeCell ref="B235:F235"/>
    <mergeCell ref="I235:J235"/>
    <mergeCell ref="K235:L235"/>
    <mergeCell ref="B236:F236"/>
    <mergeCell ref="I236:J236"/>
    <mergeCell ref="K236:L236"/>
    <mergeCell ref="B233:F233"/>
    <mergeCell ref="I233:J233"/>
    <mergeCell ref="K233:L233"/>
    <mergeCell ref="B234:F234"/>
    <mergeCell ref="I234:J234"/>
    <mergeCell ref="K234:L234"/>
    <mergeCell ref="B231:F231"/>
    <mergeCell ref="I231:J231"/>
    <mergeCell ref="K231:L231"/>
    <mergeCell ref="B232:F232"/>
    <mergeCell ref="I232:J232"/>
    <mergeCell ref="K232:L232"/>
    <mergeCell ref="B229:F229"/>
    <mergeCell ref="I229:J229"/>
    <mergeCell ref="K229:L229"/>
    <mergeCell ref="B230:F230"/>
    <mergeCell ref="I230:J230"/>
    <mergeCell ref="K230:L230"/>
    <mergeCell ref="B227:F227"/>
    <mergeCell ref="I227:J227"/>
    <mergeCell ref="K227:L227"/>
    <mergeCell ref="B228:F228"/>
    <mergeCell ref="I228:J228"/>
    <mergeCell ref="K228:L228"/>
    <mergeCell ref="B225:F225"/>
    <mergeCell ref="I225:J225"/>
    <mergeCell ref="K225:L225"/>
    <mergeCell ref="B226:F226"/>
    <mergeCell ref="I226:J226"/>
    <mergeCell ref="K226:L226"/>
    <mergeCell ref="B223:F223"/>
    <mergeCell ref="I223:J223"/>
    <mergeCell ref="K223:L223"/>
    <mergeCell ref="B224:F224"/>
    <mergeCell ref="I224:J224"/>
    <mergeCell ref="K224:L224"/>
    <mergeCell ref="B221:F221"/>
    <mergeCell ref="I221:J221"/>
    <mergeCell ref="K221:L221"/>
    <mergeCell ref="B222:F222"/>
    <mergeCell ref="I222:J222"/>
    <mergeCell ref="K222:L222"/>
    <mergeCell ref="B219:F219"/>
    <mergeCell ref="I219:J219"/>
    <mergeCell ref="K219:L219"/>
    <mergeCell ref="B220:F220"/>
    <mergeCell ref="I220:J220"/>
    <mergeCell ref="K220:L220"/>
    <mergeCell ref="B217:F217"/>
    <mergeCell ref="I217:J217"/>
    <mergeCell ref="K217:L217"/>
    <mergeCell ref="B218:F218"/>
    <mergeCell ref="I218:J218"/>
    <mergeCell ref="K218:L218"/>
    <mergeCell ref="B215:F215"/>
    <mergeCell ref="I215:J215"/>
    <mergeCell ref="K215:L215"/>
    <mergeCell ref="B216:F216"/>
    <mergeCell ref="I216:J216"/>
    <mergeCell ref="K216:L216"/>
    <mergeCell ref="B213:F213"/>
    <mergeCell ref="I213:J213"/>
    <mergeCell ref="K213:L213"/>
    <mergeCell ref="B214:F214"/>
    <mergeCell ref="I214:J214"/>
    <mergeCell ref="K214:L214"/>
    <mergeCell ref="B211:F211"/>
    <mergeCell ref="I211:J211"/>
    <mergeCell ref="K211:L211"/>
    <mergeCell ref="B212:F212"/>
    <mergeCell ref="I212:J212"/>
    <mergeCell ref="K212:L212"/>
    <mergeCell ref="B209:F209"/>
    <mergeCell ref="I209:J209"/>
    <mergeCell ref="K209:L209"/>
    <mergeCell ref="B210:F210"/>
    <mergeCell ref="I210:J210"/>
    <mergeCell ref="K210:L210"/>
    <mergeCell ref="B207:F207"/>
    <mergeCell ref="I207:J207"/>
    <mergeCell ref="K207:L207"/>
    <mergeCell ref="B208:F208"/>
    <mergeCell ref="I208:J208"/>
    <mergeCell ref="K208:L208"/>
    <mergeCell ref="B205:F205"/>
    <mergeCell ref="I205:J205"/>
    <mergeCell ref="K205:L205"/>
    <mergeCell ref="B206:F206"/>
    <mergeCell ref="I206:J206"/>
    <mergeCell ref="K206:L206"/>
    <mergeCell ref="B203:F203"/>
    <mergeCell ref="I203:J203"/>
    <mergeCell ref="K203:L203"/>
    <mergeCell ref="B204:F204"/>
    <mergeCell ref="I204:J204"/>
    <mergeCell ref="K204:L204"/>
    <mergeCell ref="B201:F201"/>
    <mergeCell ref="I201:J201"/>
    <mergeCell ref="K201:L201"/>
    <mergeCell ref="B202:F202"/>
    <mergeCell ref="I202:J202"/>
    <mergeCell ref="K202:L202"/>
    <mergeCell ref="B199:F199"/>
    <mergeCell ref="I199:J199"/>
    <mergeCell ref="K199:L199"/>
    <mergeCell ref="B200:F200"/>
    <mergeCell ref="I200:J200"/>
    <mergeCell ref="K200:L200"/>
    <mergeCell ref="B197:F197"/>
    <mergeCell ref="I197:J197"/>
    <mergeCell ref="K197:L197"/>
    <mergeCell ref="B198:F198"/>
    <mergeCell ref="I198:J198"/>
    <mergeCell ref="K198:L198"/>
    <mergeCell ref="B195:F195"/>
    <mergeCell ref="I195:J195"/>
    <mergeCell ref="K195:L195"/>
    <mergeCell ref="B196:F196"/>
    <mergeCell ref="I196:J196"/>
    <mergeCell ref="K196:L196"/>
    <mergeCell ref="B193:F193"/>
    <mergeCell ref="I193:J193"/>
    <mergeCell ref="K193:L193"/>
    <mergeCell ref="B194:F194"/>
    <mergeCell ref="I194:J194"/>
    <mergeCell ref="K194:L194"/>
    <mergeCell ref="B191:F191"/>
    <mergeCell ref="I191:J191"/>
    <mergeCell ref="K191:L191"/>
    <mergeCell ref="B192:F192"/>
    <mergeCell ref="I192:J192"/>
    <mergeCell ref="K192:L192"/>
    <mergeCell ref="B189:F189"/>
    <mergeCell ref="I189:J189"/>
    <mergeCell ref="K189:L189"/>
    <mergeCell ref="B190:F190"/>
    <mergeCell ref="I190:J190"/>
    <mergeCell ref="K190:L190"/>
    <mergeCell ref="B187:F187"/>
    <mergeCell ref="I187:J187"/>
    <mergeCell ref="K187:L187"/>
    <mergeCell ref="B188:F188"/>
    <mergeCell ref="I188:J188"/>
    <mergeCell ref="K188:L188"/>
    <mergeCell ref="B185:F185"/>
    <mergeCell ref="I185:J185"/>
    <mergeCell ref="K185:L185"/>
    <mergeCell ref="B186:F186"/>
    <mergeCell ref="I186:J186"/>
    <mergeCell ref="K186:L186"/>
    <mergeCell ref="B183:F183"/>
    <mergeCell ref="I183:J183"/>
    <mergeCell ref="K183:L183"/>
    <mergeCell ref="B184:F184"/>
    <mergeCell ref="I184:J184"/>
    <mergeCell ref="K184:L184"/>
    <mergeCell ref="B181:F181"/>
    <mergeCell ref="I181:J181"/>
    <mergeCell ref="K181:L181"/>
    <mergeCell ref="B182:F182"/>
    <mergeCell ref="I182:J182"/>
    <mergeCell ref="K182:L182"/>
    <mergeCell ref="B179:F179"/>
    <mergeCell ref="I179:J179"/>
    <mergeCell ref="K179:L179"/>
    <mergeCell ref="B180:F180"/>
    <mergeCell ref="I180:J180"/>
    <mergeCell ref="K180:L180"/>
    <mergeCell ref="A176:A177"/>
    <mergeCell ref="B176:B177"/>
    <mergeCell ref="D176:D177"/>
    <mergeCell ref="E176:G176"/>
    <mergeCell ref="I176:K176"/>
    <mergeCell ref="E177:G177"/>
    <mergeCell ref="J177:L177"/>
    <mergeCell ref="A174:A175"/>
    <mergeCell ref="B174:B175"/>
    <mergeCell ref="D174:D175"/>
    <mergeCell ref="E174:G174"/>
    <mergeCell ref="I174:K174"/>
    <mergeCell ref="E175:G175"/>
    <mergeCell ref="J175:L175"/>
    <mergeCell ref="A172:A173"/>
    <mergeCell ref="B172:B173"/>
    <mergeCell ref="D172:D173"/>
    <mergeCell ref="E172:G172"/>
    <mergeCell ref="I172:K172"/>
    <mergeCell ref="E173:G173"/>
    <mergeCell ref="J173:L173"/>
    <mergeCell ref="A170:A171"/>
    <mergeCell ref="B170:B171"/>
    <mergeCell ref="D170:D171"/>
    <mergeCell ref="E170:G170"/>
    <mergeCell ref="I170:K170"/>
    <mergeCell ref="E171:G171"/>
    <mergeCell ref="J171:L171"/>
    <mergeCell ref="A168:A169"/>
    <mergeCell ref="B168:B169"/>
    <mergeCell ref="D168:D169"/>
    <mergeCell ref="E168:G168"/>
    <mergeCell ref="I168:K168"/>
    <mergeCell ref="E169:G169"/>
    <mergeCell ref="J169:L169"/>
    <mergeCell ref="A166:A167"/>
    <mergeCell ref="B166:B167"/>
    <mergeCell ref="D166:D167"/>
    <mergeCell ref="E166:G166"/>
    <mergeCell ref="I166:K166"/>
    <mergeCell ref="E167:G167"/>
    <mergeCell ref="J167:L167"/>
    <mergeCell ref="A164:A165"/>
    <mergeCell ref="B164:B165"/>
    <mergeCell ref="D164:D165"/>
    <mergeCell ref="E164:G164"/>
    <mergeCell ref="I164:K164"/>
    <mergeCell ref="E165:G165"/>
    <mergeCell ref="J165:L165"/>
    <mergeCell ref="A162:A163"/>
    <mergeCell ref="B162:B163"/>
    <mergeCell ref="D162:D163"/>
    <mergeCell ref="E162:G162"/>
    <mergeCell ref="I162:K162"/>
    <mergeCell ref="E163:G163"/>
    <mergeCell ref="J163:L163"/>
    <mergeCell ref="A159:A161"/>
    <mergeCell ref="B159:B161"/>
    <mergeCell ref="D159:D161"/>
    <mergeCell ref="E159:J159"/>
    <mergeCell ref="K159:L160"/>
    <mergeCell ref="E160:E161"/>
    <mergeCell ref="F160:G160"/>
    <mergeCell ref="I160:J161"/>
    <mergeCell ref="F161:G161"/>
    <mergeCell ref="K161:L161"/>
    <mergeCell ref="A157:A158"/>
    <mergeCell ref="B157:B158"/>
    <mergeCell ref="D157:D158"/>
    <mergeCell ref="E157:G157"/>
    <mergeCell ref="I157:K157"/>
    <mergeCell ref="E158:G158"/>
    <mergeCell ref="J158:L158"/>
    <mergeCell ref="A155:A156"/>
    <mergeCell ref="B155:B156"/>
    <mergeCell ref="D155:D156"/>
    <mergeCell ref="E155:G155"/>
    <mergeCell ref="I155:K155"/>
    <mergeCell ref="E156:G156"/>
    <mergeCell ref="J156:L156"/>
    <mergeCell ref="A153:A154"/>
    <mergeCell ref="B153:B154"/>
    <mergeCell ref="D153:D154"/>
    <mergeCell ref="E153:G153"/>
    <mergeCell ref="I153:K153"/>
    <mergeCell ref="E154:G154"/>
    <mergeCell ref="J154:L154"/>
    <mergeCell ref="A151:A152"/>
    <mergeCell ref="B151:B152"/>
    <mergeCell ref="D151:D152"/>
    <mergeCell ref="E151:G151"/>
    <mergeCell ref="I151:K151"/>
    <mergeCell ref="E152:G152"/>
    <mergeCell ref="J152:L152"/>
    <mergeCell ref="A149:A150"/>
    <mergeCell ref="B149:B150"/>
    <mergeCell ref="D149:D150"/>
    <mergeCell ref="E149:G149"/>
    <mergeCell ref="I149:K149"/>
    <mergeCell ref="E150:G150"/>
    <mergeCell ref="J150:L150"/>
    <mergeCell ref="A147:A148"/>
    <mergeCell ref="B147:B148"/>
    <mergeCell ref="D147:D148"/>
    <mergeCell ref="E147:G147"/>
    <mergeCell ref="I147:K147"/>
    <mergeCell ref="E148:G148"/>
    <mergeCell ref="J148:L148"/>
    <mergeCell ref="A145:A146"/>
    <mergeCell ref="B145:B146"/>
    <mergeCell ref="D145:D146"/>
    <mergeCell ref="E145:G145"/>
    <mergeCell ref="I145:K145"/>
    <mergeCell ref="E146:G146"/>
    <mergeCell ref="J146:L146"/>
    <mergeCell ref="A143:A144"/>
    <mergeCell ref="B143:B144"/>
    <mergeCell ref="D143:D144"/>
    <mergeCell ref="E143:G143"/>
    <mergeCell ref="I143:K143"/>
    <mergeCell ref="E144:G144"/>
    <mergeCell ref="J144:L144"/>
    <mergeCell ref="A141:A142"/>
    <mergeCell ref="B141:B142"/>
    <mergeCell ref="D141:D142"/>
    <mergeCell ref="E141:G141"/>
    <mergeCell ref="I141:K141"/>
    <mergeCell ref="E142:G142"/>
    <mergeCell ref="J142:L142"/>
    <mergeCell ref="A139:A140"/>
    <mergeCell ref="B139:B140"/>
    <mergeCell ref="D139:D140"/>
    <mergeCell ref="E139:G139"/>
    <mergeCell ref="I139:K139"/>
    <mergeCell ref="E140:G140"/>
    <mergeCell ref="J140:L140"/>
    <mergeCell ref="A137:A138"/>
    <mergeCell ref="B137:B138"/>
    <mergeCell ref="D137:D138"/>
    <mergeCell ref="E137:G137"/>
    <mergeCell ref="I137:K137"/>
    <mergeCell ref="E138:G138"/>
    <mergeCell ref="J138:L138"/>
    <mergeCell ref="A135:A136"/>
    <mergeCell ref="B135:B136"/>
    <mergeCell ref="D135:D136"/>
    <mergeCell ref="E135:G135"/>
    <mergeCell ref="I135:K135"/>
    <mergeCell ref="E136:G136"/>
    <mergeCell ref="J136:L136"/>
    <mergeCell ref="A133:A134"/>
    <mergeCell ref="B133:B134"/>
    <mergeCell ref="D133:D134"/>
    <mergeCell ref="E133:G133"/>
    <mergeCell ref="I133:K133"/>
    <mergeCell ref="E134:G134"/>
    <mergeCell ref="J134:L134"/>
    <mergeCell ref="A131:A132"/>
    <mergeCell ref="B131:B132"/>
    <mergeCell ref="D131:D132"/>
    <mergeCell ref="E131:G131"/>
    <mergeCell ref="I131:K131"/>
    <mergeCell ref="E132:G132"/>
    <mergeCell ref="J132:L132"/>
    <mergeCell ref="A128:A130"/>
    <mergeCell ref="B128:B130"/>
    <mergeCell ref="D128:D130"/>
    <mergeCell ref="E128:J128"/>
    <mergeCell ref="K128:L129"/>
    <mergeCell ref="E129:E130"/>
    <mergeCell ref="F129:G129"/>
    <mergeCell ref="I129:J130"/>
    <mergeCell ref="F130:G130"/>
    <mergeCell ref="K130:L130"/>
    <mergeCell ref="A126:A127"/>
    <mergeCell ref="B126:B127"/>
    <mergeCell ref="D126:D127"/>
    <mergeCell ref="E126:G126"/>
    <mergeCell ref="I126:K126"/>
    <mergeCell ref="E127:G127"/>
    <mergeCell ref="J127:L127"/>
    <mergeCell ref="A124:A125"/>
    <mergeCell ref="B124:B125"/>
    <mergeCell ref="D124:D125"/>
    <mergeCell ref="E124:G124"/>
    <mergeCell ref="I124:K124"/>
    <mergeCell ref="E125:G125"/>
    <mergeCell ref="J125:L125"/>
    <mergeCell ref="A122:A123"/>
    <mergeCell ref="B122:B123"/>
    <mergeCell ref="D122:D123"/>
    <mergeCell ref="E122:G122"/>
    <mergeCell ref="I122:K122"/>
    <mergeCell ref="E123:G123"/>
    <mergeCell ref="J123:L123"/>
    <mergeCell ref="A120:A121"/>
    <mergeCell ref="B120:B121"/>
    <mergeCell ref="D120:D121"/>
    <mergeCell ref="E120:G120"/>
    <mergeCell ref="I120:K120"/>
    <mergeCell ref="E121:G121"/>
    <mergeCell ref="J121:L121"/>
    <mergeCell ref="A118:A119"/>
    <mergeCell ref="B118:B119"/>
    <mergeCell ref="D118:D119"/>
    <mergeCell ref="E118:G118"/>
    <mergeCell ref="I118:K118"/>
    <mergeCell ref="E119:G119"/>
    <mergeCell ref="J119:L119"/>
    <mergeCell ref="A116:A117"/>
    <mergeCell ref="B116:B117"/>
    <mergeCell ref="D116:D117"/>
    <mergeCell ref="E116:G116"/>
    <mergeCell ref="I116:K116"/>
    <mergeCell ref="E117:G117"/>
    <mergeCell ref="J117:L117"/>
    <mergeCell ref="A114:A115"/>
    <mergeCell ref="B114:B115"/>
    <mergeCell ref="D114:D115"/>
    <mergeCell ref="E114:G114"/>
    <mergeCell ref="I114:K114"/>
    <mergeCell ref="E115:G115"/>
    <mergeCell ref="J115:L115"/>
    <mergeCell ref="A112:A113"/>
    <mergeCell ref="B112:B113"/>
    <mergeCell ref="D112:D113"/>
    <mergeCell ref="E112:G112"/>
    <mergeCell ref="I112:K112"/>
    <mergeCell ref="E113:G113"/>
    <mergeCell ref="J113:L113"/>
    <mergeCell ref="A110:A111"/>
    <mergeCell ref="B110:B111"/>
    <mergeCell ref="D110:D111"/>
    <mergeCell ref="E110:G110"/>
    <mergeCell ref="I110:K110"/>
    <mergeCell ref="E111:G111"/>
    <mergeCell ref="J111:L111"/>
    <mergeCell ref="A108:A109"/>
    <mergeCell ref="B108:B109"/>
    <mergeCell ref="D108:D109"/>
    <mergeCell ref="E108:G108"/>
    <mergeCell ref="I108:K108"/>
    <mergeCell ref="E109:G109"/>
    <mergeCell ref="J109:L109"/>
    <mergeCell ref="A106:A107"/>
    <mergeCell ref="B106:B107"/>
    <mergeCell ref="D106:D107"/>
    <mergeCell ref="E106:G106"/>
    <mergeCell ref="I106:K106"/>
    <mergeCell ref="E107:G107"/>
    <mergeCell ref="J107:L107"/>
    <mergeCell ref="A104:A105"/>
    <mergeCell ref="B104:B105"/>
    <mergeCell ref="D104:D105"/>
    <mergeCell ref="E104:G104"/>
    <mergeCell ref="I104:K104"/>
    <mergeCell ref="E105:G105"/>
    <mergeCell ref="J105:L105"/>
    <mergeCell ref="A102:A103"/>
    <mergeCell ref="B102:B103"/>
    <mergeCell ref="D102:D103"/>
    <mergeCell ref="E102:G102"/>
    <mergeCell ref="I102:K102"/>
    <mergeCell ref="E103:G103"/>
    <mergeCell ref="J103:L103"/>
    <mergeCell ref="A100:A101"/>
    <mergeCell ref="B100:B101"/>
    <mergeCell ref="D100:D101"/>
    <mergeCell ref="E100:G100"/>
    <mergeCell ref="I100:K100"/>
    <mergeCell ref="E101:G101"/>
    <mergeCell ref="J101:L101"/>
    <mergeCell ref="A97:A99"/>
    <mergeCell ref="B97:B99"/>
    <mergeCell ref="D97:D99"/>
    <mergeCell ref="E97:J97"/>
    <mergeCell ref="K97:L98"/>
    <mergeCell ref="E98:E99"/>
    <mergeCell ref="F98:G98"/>
    <mergeCell ref="I98:J99"/>
    <mergeCell ref="F99:G99"/>
    <mergeCell ref="K99:L99"/>
    <mergeCell ref="A95:A96"/>
    <mergeCell ref="B95:B96"/>
    <mergeCell ref="D95:D96"/>
    <mergeCell ref="E95:G95"/>
    <mergeCell ref="I95:K95"/>
    <mergeCell ref="E96:G96"/>
    <mergeCell ref="J96:L96"/>
    <mergeCell ref="A93:A94"/>
    <mergeCell ref="B93:B94"/>
    <mergeCell ref="D93:D94"/>
    <mergeCell ref="E93:G93"/>
    <mergeCell ref="I93:K93"/>
    <mergeCell ref="E94:G94"/>
    <mergeCell ref="J94:L94"/>
    <mergeCell ref="A91:A92"/>
    <mergeCell ref="B91:B92"/>
    <mergeCell ref="D91:D92"/>
    <mergeCell ref="E91:G91"/>
    <mergeCell ref="I91:K91"/>
    <mergeCell ref="E92:G92"/>
    <mergeCell ref="J92:L92"/>
    <mergeCell ref="A89:A90"/>
    <mergeCell ref="B89:B90"/>
    <mergeCell ref="D89:D90"/>
    <mergeCell ref="E89:G89"/>
    <mergeCell ref="I89:K89"/>
    <mergeCell ref="E90:G90"/>
    <mergeCell ref="J90:L90"/>
    <mergeCell ref="A87:A88"/>
    <mergeCell ref="B87:B88"/>
    <mergeCell ref="D87:D88"/>
    <mergeCell ref="E87:G87"/>
    <mergeCell ref="I87:K87"/>
    <mergeCell ref="E88:G88"/>
    <mergeCell ref="J88:L88"/>
    <mergeCell ref="A85:A86"/>
    <mergeCell ref="B85:B86"/>
    <mergeCell ref="D85:D86"/>
    <mergeCell ref="E85:G85"/>
    <mergeCell ref="I85:K85"/>
    <mergeCell ref="E86:G86"/>
    <mergeCell ref="J86:L86"/>
    <mergeCell ref="A83:A84"/>
    <mergeCell ref="B83:B84"/>
    <mergeCell ref="D83:D84"/>
    <mergeCell ref="E83:G83"/>
    <mergeCell ref="I83:K83"/>
    <mergeCell ref="E84:G84"/>
    <mergeCell ref="J84:L84"/>
    <mergeCell ref="A81:A82"/>
    <mergeCell ref="B81:B82"/>
    <mergeCell ref="D81:D82"/>
    <mergeCell ref="E81:G81"/>
    <mergeCell ref="I81:K81"/>
    <mergeCell ref="E82:G82"/>
    <mergeCell ref="J82:L82"/>
    <mergeCell ref="A79:A80"/>
    <mergeCell ref="B79:B80"/>
    <mergeCell ref="D79:D80"/>
    <mergeCell ref="E79:G79"/>
    <mergeCell ref="I79:K79"/>
    <mergeCell ref="E80:G80"/>
    <mergeCell ref="J80:L80"/>
    <mergeCell ref="A77:A78"/>
    <mergeCell ref="B77:B78"/>
    <mergeCell ref="D77:D78"/>
    <mergeCell ref="E77:G77"/>
    <mergeCell ref="I77:K77"/>
    <mergeCell ref="E78:G78"/>
    <mergeCell ref="J78:L78"/>
    <mergeCell ref="A75:A76"/>
    <mergeCell ref="B75:B76"/>
    <mergeCell ref="D75:D76"/>
    <mergeCell ref="E75:G75"/>
    <mergeCell ref="I75:K75"/>
    <mergeCell ref="E76:G76"/>
    <mergeCell ref="J76:L76"/>
    <mergeCell ref="A73:A74"/>
    <mergeCell ref="B73:B74"/>
    <mergeCell ref="D73:D74"/>
    <mergeCell ref="E73:G73"/>
    <mergeCell ref="I73:K73"/>
    <mergeCell ref="E74:G74"/>
    <mergeCell ref="J74:L74"/>
    <mergeCell ref="A71:A72"/>
    <mergeCell ref="B71:B72"/>
    <mergeCell ref="D71:D72"/>
    <mergeCell ref="E71:G71"/>
    <mergeCell ref="I71:K71"/>
    <mergeCell ref="E72:G72"/>
    <mergeCell ref="J72:L72"/>
    <mergeCell ref="A69:A70"/>
    <mergeCell ref="B69:B70"/>
    <mergeCell ref="D69:D70"/>
    <mergeCell ref="E69:G69"/>
    <mergeCell ref="I69:K69"/>
    <mergeCell ref="E70:G70"/>
    <mergeCell ref="J70:L70"/>
    <mergeCell ref="A66:A68"/>
    <mergeCell ref="B66:B68"/>
    <mergeCell ref="D66:D68"/>
    <mergeCell ref="E66:J66"/>
    <mergeCell ref="K66:L67"/>
    <mergeCell ref="E67:E68"/>
    <mergeCell ref="F67:G67"/>
    <mergeCell ref="I67:J68"/>
    <mergeCell ref="F68:G68"/>
    <mergeCell ref="K68:L68"/>
    <mergeCell ref="A64:A65"/>
    <mergeCell ref="B64:B65"/>
    <mergeCell ref="D64:D65"/>
    <mergeCell ref="E64:G64"/>
    <mergeCell ref="I64:K64"/>
    <mergeCell ref="E65:G65"/>
    <mergeCell ref="J65:L65"/>
    <mergeCell ref="A62:A63"/>
    <mergeCell ref="B62:B63"/>
    <mergeCell ref="D62:D63"/>
    <mergeCell ref="E62:G62"/>
    <mergeCell ref="I62:K62"/>
    <mergeCell ref="E63:G63"/>
    <mergeCell ref="J63:L63"/>
    <mergeCell ref="A60:A61"/>
    <mergeCell ref="B60:B61"/>
    <mergeCell ref="D60:D61"/>
    <mergeCell ref="E60:G60"/>
    <mergeCell ref="I60:K60"/>
    <mergeCell ref="E61:G61"/>
    <mergeCell ref="J61:L61"/>
    <mergeCell ref="A58:A59"/>
    <mergeCell ref="B58:B59"/>
    <mergeCell ref="D58:D59"/>
    <mergeCell ref="E58:G58"/>
    <mergeCell ref="I58:K58"/>
    <mergeCell ref="E59:G59"/>
    <mergeCell ref="J59:L59"/>
    <mergeCell ref="A56:A57"/>
    <mergeCell ref="B56:B57"/>
    <mergeCell ref="D56:D57"/>
    <mergeCell ref="E56:G56"/>
    <mergeCell ref="I56:K56"/>
    <mergeCell ref="E57:G57"/>
    <mergeCell ref="J57:L57"/>
    <mergeCell ref="A54:A55"/>
    <mergeCell ref="B54:B55"/>
    <mergeCell ref="D54:D55"/>
    <mergeCell ref="E54:G54"/>
    <mergeCell ref="I54:K54"/>
    <mergeCell ref="E55:G55"/>
    <mergeCell ref="J55:L55"/>
    <mergeCell ref="A52:A53"/>
    <mergeCell ref="B52:B53"/>
    <mergeCell ref="D52:D53"/>
    <mergeCell ref="E52:G52"/>
    <mergeCell ref="I52:K52"/>
    <mergeCell ref="E53:G53"/>
    <mergeCell ref="J53:L53"/>
    <mergeCell ref="A50:A51"/>
    <mergeCell ref="B50:B51"/>
    <mergeCell ref="D50:D51"/>
    <mergeCell ref="E50:G50"/>
    <mergeCell ref="I50:K50"/>
    <mergeCell ref="E51:G51"/>
    <mergeCell ref="J51:L51"/>
    <mergeCell ref="A48:A49"/>
    <mergeCell ref="B48:B49"/>
    <mergeCell ref="D48:D49"/>
    <mergeCell ref="E48:G48"/>
    <mergeCell ref="I48:K48"/>
    <mergeCell ref="E49:G49"/>
    <mergeCell ref="J49:L49"/>
    <mergeCell ref="A46:A47"/>
    <mergeCell ref="B46:B47"/>
    <mergeCell ref="D46:D47"/>
    <mergeCell ref="E46:G46"/>
    <mergeCell ref="I46:K46"/>
    <mergeCell ref="E47:G47"/>
    <mergeCell ref="J47:L47"/>
    <mergeCell ref="A44:A45"/>
    <mergeCell ref="B44:B45"/>
    <mergeCell ref="D44:D45"/>
    <mergeCell ref="E44:G44"/>
    <mergeCell ref="I44:K44"/>
    <mergeCell ref="E45:G45"/>
    <mergeCell ref="J45:L45"/>
    <mergeCell ref="A42:A43"/>
    <mergeCell ref="B42:B43"/>
    <mergeCell ref="D42:D43"/>
    <mergeCell ref="E42:G42"/>
    <mergeCell ref="I42:K42"/>
    <mergeCell ref="E43:G43"/>
    <mergeCell ref="J43:L43"/>
    <mergeCell ref="A40:A41"/>
    <mergeCell ref="B40:B41"/>
    <mergeCell ref="D40:D41"/>
    <mergeCell ref="E40:G40"/>
    <mergeCell ref="I40:K40"/>
    <mergeCell ref="E41:G41"/>
    <mergeCell ref="J41:L41"/>
    <mergeCell ref="A38:A39"/>
    <mergeCell ref="B38:B39"/>
    <mergeCell ref="D38:D39"/>
    <mergeCell ref="E38:G38"/>
    <mergeCell ref="I38:K38"/>
    <mergeCell ref="E39:G39"/>
    <mergeCell ref="J39:L39"/>
    <mergeCell ref="A35:A37"/>
    <mergeCell ref="B35:B37"/>
    <mergeCell ref="D35:D37"/>
    <mergeCell ref="E35:J35"/>
    <mergeCell ref="K35:L36"/>
    <mergeCell ref="E36:E37"/>
    <mergeCell ref="F36:G36"/>
    <mergeCell ref="I36:J37"/>
    <mergeCell ref="F37:G37"/>
    <mergeCell ref="K37:L37"/>
    <mergeCell ref="A33:A34"/>
    <mergeCell ref="B33:B34"/>
    <mergeCell ref="D33:D34"/>
    <mergeCell ref="E33:G33"/>
    <mergeCell ref="I33:K33"/>
    <mergeCell ref="E34:G34"/>
    <mergeCell ref="J34:L34"/>
    <mergeCell ref="A31:A32"/>
    <mergeCell ref="B31:B32"/>
    <mergeCell ref="D31:D32"/>
    <mergeCell ref="E31:G31"/>
    <mergeCell ref="I31:K31"/>
    <mergeCell ref="E32:G32"/>
    <mergeCell ref="J32:L32"/>
    <mergeCell ref="A29:A30"/>
    <mergeCell ref="B29:B30"/>
    <mergeCell ref="D29:D30"/>
    <mergeCell ref="E29:G29"/>
    <mergeCell ref="I29:K29"/>
    <mergeCell ref="E30:G30"/>
    <mergeCell ref="J30:L30"/>
    <mergeCell ref="A27:A28"/>
    <mergeCell ref="B27:B28"/>
    <mergeCell ref="D27:D28"/>
    <mergeCell ref="E27:G27"/>
    <mergeCell ref="I27:K27"/>
    <mergeCell ref="E28:G28"/>
    <mergeCell ref="J28:L28"/>
    <mergeCell ref="A25:A26"/>
    <mergeCell ref="B25:B26"/>
    <mergeCell ref="D25:D26"/>
    <mergeCell ref="E25:G25"/>
    <mergeCell ref="I25:K25"/>
    <mergeCell ref="E26:G26"/>
    <mergeCell ref="J26:L26"/>
    <mergeCell ref="A23:A24"/>
    <mergeCell ref="B23:B24"/>
    <mergeCell ref="D23:D24"/>
    <mergeCell ref="E23:G23"/>
    <mergeCell ref="I23:K23"/>
    <mergeCell ref="E24:G24"/>
    <mergeCell ref="J24:L24"/>
    <mergeCell ref="A21:A22"/>
    <mergeCell ref="B21:B22"/>
    <mergeCell ref="D21:D22"/>
    <mergeCell ref="E21:G21"/>
    <mergeCell ref="I21:K21"/>
    <mergeCell ref="E22:G22"/>
    <mergeCell ref="J22:L22"/>
    <mergeCell ref="A19:A20"/>
    <mergeCell ref="B19:B20"/>
    <mergeCell ref="D19:D20"/>
    <mergeCell ref="E19:G19"/>
    <mergeCell ref="I19:K19"/>
    <mergeCell ref="E20:G20"/>
    <mergeCell ref="J20:L20"/>
    <mergeCell ref="A17:A18"/>
    <mergeCell ref="B17:B18"/>
    <mergeCell ref="D17:D18"/>
    <mergeCell ref="E17:G17"/>
    <mergeCell ref="I17:K17"/>
    <mergeCell ref="E18:G18"/>
    <mergeCell ref="J18:L18"/>
    <mergeCell ref="A15:A16"/>
    <mergeCell ref="B15:B16"/>
    <mergeCell ref="D15:D16"/>
    <mergeCell ref="E15:G15"/>
    <mergeCell ref="I15:K15"/>
    <mergeCell ref="E16:G16"/>
    <mergeCell ref="J16:L16"/>
    <mergeCell ref="A13:A14"/>
    <mergeCell ref="B13:B14"/>
    <mergeCell ref="D13:D14"/>
    <mergeCell ref="E13:G13"/>
    <mergeCell ref="I13:K13"/>
    <mergeCell ref="E14:G14"/>
    <mergeCell ref="J14:L14"/>
    <mergeCell ref="A11:A12"/>
    <mergeCell ref="B11:B12"/>
    <mergeCell ref="D11:D12"/>
    <mergeCell ref="E11:G11"/>
    <mergeCell ref="I11:K11"/>
    <mergeCell ref="E12:G12"/>
    <mergeCell ref="J12:L12"/>
    <mergeCell ref="A9:A10"/>
    <mergeCell ref="B9:B10"/>
    <mergeCell ref="D9:D10"/>
    <mergeCell ref="E9:G9"/>
    <mergeCell ref="I9:K9"/>
    <mergeCell ref="E10:G10"/>
    <mergeCell ref="J10:L10"/>
    <mergeCell ref="A7:A8"/>
    <mergeCell ref="B7:B8"/>
    <mergeCell ref="D7:D8"/>
    <mergeCell ref="E7:G7"/>
    <mergeCell ref="I7:K7"/>
    <mergeCell ref="E8:G8"/>
    <mergeCell ref="J8:L8"/>
    <mergeCell ref="A4:A6"/>
    <mergeCell ref="B4:B6"/>
    <mergeCell ref="D4:D6"/>
    <mergeCell ref="E4:J4"/>
    <mergeCell ref="K4:L5"/>
    <mergeCell ref="E5:E6"/>
    <mergeCell ref="F5:G5"/>
    <mergeCell ref="I5:J6"/>
    <mergeCell ref="F6:G6"/>
    <mergeCell ref="K6:L6"/>
  </mergeCells>
  <pageMargins left="0.74803149606299213" right="0.55118110236220474" top="0.31496062992125984" bottom="0.35433070866141736" header="0.31496062992125984" footer="0.15748031496062992"/>
  <pageSetup paperSize="9" scale="87" firstPageNumber="2" orientation="portrait" useFirstPageNumber="1" r:id="rId1"/>
  <headerFooter alignWithMargins="0">
    <oddHeader>&amp;LUZPODv14_&amp;P</oddHeader>
    <oddFooter>&amp;LMF SR č. 18009/2014&amp;RStrana &amp;P</oddFooter>
  </headerFooter>
  <rowBreaks count="7" manualBreakCount="7">
    <brk id="34" max="11" man="1"/>
    <brk id="65" max="11" man="1"/>
    <brk id="96" max="11" man="1"/>
    <brk id="127" max="11" man="1"/>
    <brk id="158" max="11" man="1"/>
    <brk id="190" max="11" man="1"/>
    <brk id="219" max="11" man="1"/>
  </rowBreaks>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outlinePr summaryBelow="0" summaryRight="0"/>
  </sheetPr>
  <dimension ref="A1:L66"/>
  <sheetViews>
    <sheetView showGridLines="0" view="pageBreakPreview" zoomScaleNormal="100" zoomScaleSheetLayoutView="100" workbookViewId="0">
      <selection activeCell="G13" sqref="G13"/>
    </sheetView>
  </sheetViews>
  <sheetFormatPr defaultColWidth="9.140625" defaultRowHeight="10.5"/>
  <cols>
    <col min="1" max="1" width="5.140625" style="1238" customWidth="1"/>
    <col min="2" max="2" width="15.5703125" style="1238" customWidth="1"/>
    <col min="3" max="3" width="6.140625" style="1238" customWidth="1"/>
    <col min="4" max="4" width="23.85546875" style="1238" customWidth="1"/>
    <col min="5" max="5" width="0.5703125" style="1238" customWidth="1"/>
    <col min="6" max="6" width="6.42578125" style="1238" customWidth="1"/>
    <col min="7" max="8" width="22.85546875" style="1238" customWidth="1"/>
    <col min="9" max="16384" width="9.140625" style="1238"/>
  </cols>
  <sheetData>
    <row r="1" spans="1:12" s="1179" customFormat="1" ht="15" customHeight="1">
      <c r="A1" s="1178"/>
      <c r="D1" s="1180"/>
      <c r="E1" s="1180"/>
      <c r="F1" s="1180"/>
      <c r="I1" s="1180"/>
      <c r="J1" s="1180"/>
    </row>
    <row r="2" spans="1:12" s="1179" customFormat="1" ht="23.25" customHeight="1">
      <c r="A2" s="1178"/>
      <c r="B2" s="1166" t="s">
        <v>2636</v>
      </c>
      <c r="C2" s="525" t="s">
        <v>1581</v>
      </c>
      <c r="D2" s="1268" t="str">
        <f>'BS-SK Statutory'!E2</f>
        <v xml:space="preserve">  2  0  2  0  3  1  9  8  2  9</v>
      </c>
      <c r="E2" s="581"/>
      <c r="F2" s="1213" t="s">
        <v>2590</v>
      </c>
      <c r="G2" s="1267" t="str">
        <f>'BS-SK Statutory'!J2</f>
        <v xml:space="preserve">  3  1  3  6  5  5  0  7 </v>
      </c>
    </row>
    <row r="3" spans="1:12" s="1179" customFormat="1" ht="2.25" customHeight="1" thickBot="1">
      <c r="A3" s="1178"/>
      <c r="B3" s="1225"/>
      <c r="C3" s="1180"/>
      <c r="D3" s="1180"/>
      <c r="E3" s="1180"/>
    </row>
    <row r="4" spans="1:12" s="1230" customFormat="1" ht="11.25" customHeight="1">
      <c r="A4" s="1226"/>
      <c r="B4" s="1227"/>
      <c r="C4" s="1266"/>
      <c r="D4" s="1266"/>
      <c r="E4" s="1228"/>
      <c r="F4" s="1229"/>
      <c r="G4" s="2369" t="s">
        <v>1712</v>
      </c>
      <c r="H4" s="2393"/>
    </row>
    <row r="5" spans="1:12" s="1230" customFormat="1" ht="33.75" customHeight="1">
      <c r="A5" s="1406" t="s">
        <v>1582</v>
      </c>
      <c r="B5" s="1620" t="s">
        <v>1298</v>
      </c>
      <c r="C5" s="1738"/>
      <c r="D5" s="1738"/>
      <c r="E5" s="1408"/>
      <c r="F5" s="1407" t="s">
        <v>1584</v>
      </c>
      <c r="G5" s="1405" t="s">
        <v>1713</v>
      </c>
      <c r="H5" s="570" t="s">
        <v>1714</v>
      </c>
    </row>
    <row r="6" spans="1:12" s="1230" customFormat="1" ht="29.65" customHeight="1">
      <c r="A6" s="1404" t="s">
        <v>880</v>
      </c>
      <c r="B6" s="2683" t="s">
        <v>2520</v>
      </c>
      <c r="C6" s="2684"/>
      <c r="D6" s="2684"/>
      <c r="E6" s="2685"/>
      <c r="F6" s="1196" t="s">
        <v>814</v>
      </c>
      <c r="G6" s="1382">
        <f>'P&amp;L'!D9</f>
        <v>5307380</v>
      </c>
      <c r="H6" s="1385">
        <f>'P&amp;L'!E9</f>
        <v>5338141</v>
      </c>
    </row>
    <row r="7" spans="1:12" s="1230" customFormat="1" ht="29.65" customHeight="1">
      <c r="A7" s="1404" t="s">
        <v>942</v>
      </c>
      <c r="B7" s="2683" t="s">
        <v>2521</v>
      </c>
      <c r="C7" s="2684"/>
      <c r="D7" s="2684"/>
      <c r="E7" s="2685"/>
      <c r="F7" s="1196" t="s">
        <v>817</v>
      </c>
      <c r="G7" s="1382">
        <f>'P&amp;L'!D10</f>
        <v>5384434</v>
      </c>
      <c r="H7" s="1233">
        <f>'P&amp;L'!E10</f>
        <v>5319172</v>
      </c>
    </row>
    <row r="8" spans="1:12" s="1235" customFormat="1" ht="29.65" customHeight="1">
      <c r="A8" s="1269" t="s">
        <v>877</v>
      </c>
      <c r="B8" s="2686" t="s">
        <v>2522</v>
      </c>
      <c r="C8" s="2687"/>
      <c r="D8" s="2687"/>
      <c r="E8" s="2688"/>
      <c r="F8" s="1198" t="s">
        <v>820</v>
      </c>
      <c r="G8" s="1379">
        <f>'P&amp;L'!D11</f>
        <v>2493976</v>
      </c>
      <c r="H8" s="1234">
        <f>'P&amp;L'!E11</f>
        <v>2351345</v>
      </c>
    </row>
    <row r="9" spans="1:12" s="1235" customFormat="1" ht="29.65" customHeight="1">
      <c r="A9" s="1269" t="s">
        <v>2348</v>
      </c>
      <c r="B9" s="2686" t="s">
        <v>2523</v>
      </c>
      <c r="C9" s="2687"/>
      <c r="D9" s="2687"/>
      <c r="E9" s="2688"/>
      <c r="F9" s="1198" t="s">
        <v>823</v>
      </c>
      <c r="G9" s="1379">
        <f>'P&amp;L'!D12</f>
        <v>2645663</v>
      </c>
      <c r="H9" s="1234">
        <f>'P&amp;L'!E12</f>
        <v>2822910</v>
      </c>
    </row>
    <row r="10" spans="1:12" s="1230" customFormat="1" ht="29.65" customHeight="1">
      <c r="A10" s="1269" t="s">
        <v>2350</v>
      </c>
      <c r="B10" s="2686" t="s">
        <v>2524</v>
      </c>
      <c r="C10" s="2687"/>
      <c r="D10" s="2687"/>
      <c r="E10" s="2688"/>
      <c r="F10" s="1198" t="s">
        <v>826</v>
      </c>
      <c r="G10" s="1379">
        <f>'P&amp;L'!D13</f>
        <v>167741</v>
      </c>
      <c r="H10" s="1234">
        <f>'P&amp;L'!E13</f>
        <v>163886</v>
      </c>
    </row>
    <row r="11" spans="1:12" s="1230" customFormat="1" ht="29.65" customHeight="1">
      <c r="A11" s="1269" t="s">
        <v>2352</v>
      </c>
      <c r="B11" s="2686" t="s">
        <v>2525</v>
      </c>
      <c r="C11" s="2687"/>
      <c r="D11" s="2687"/>
      <c r="E11" s="2688"/>
      <c r="F11" s="1198" t="s">
        <v>828</v>
      </c>
      <c r="G11" s="1379">
        <f>'P&amp;L'!D14</f>
        <v>-408</v>
      </c>
      <c r="H11" s="1234">
        <f>'P&amp;L'!E14</f>
        <v>-19885</v>
      </c>
    </row>
    <row r="12" spans="1:12" s="1230" customFormat="1" ht="29.65" customHeight="1">
      <c r="A12" s="1269" t="s">
        <v>976</v>
      </c>
      <c r="B12" s="2686" t="s">
        <v>2526</v>
      </c>
      <c r="C12" s="2687"/>
      <c r="D12" s="2687"/>
      <c r="E12" s="2688"/>
      <c r="F12" s="1198" t="s">
        <v>830</v>
      </c>
      <c r="G12" s="1379">
        <f>'P&amp;L'!D15</f>
        <v>0</v>
      </c>
      <c r="H12" s="1234">
        <f>'P&amp;L'!E15</f>
        <v>0</v>
      </c>
    </row>
    <row r="13" spans="1:12" s="1235" customFormat="1" ht="31.5" customHeight="1">
      <c r="A13" s="1269" t="s">
        <v>2353</v>
      </c>
      <c r="B13" s="2686" t="s">
        <v>2527</v>
      </c>
      <c r="C13" s="2687"/>
      <c r="D13" s="2687"/>
      <c r="E13" s="2688"/>
      <c r="F13" s="1198" t="s">
        <v>832</v>
      </c>
      <c r="G13" s="1379">
        <f>'P&amp;L'!D16</f>
        <v>9584</v>
      </c>
      <c r="H13" s="1234">
        <f>'P&amp;L'!E16</f>
        <v>0</v>
      </c>
      <c r="L13" s="1230"/>
    </row>
    <row r="14" spans="1:12" s="1230" customFormat="1" ht="29.65" customHeight="1">
      <c r="A14" s="1269" t="s">
        <v>2354</v>
      </c>
      <c r="B14" s="2686" t="s">
        <v>2528</v>
      </c>
      <c r="C14" s="2687"/>
      <c r="D14" s="2687"/>
      <c r="E14" s="2688"/>
      <c r="F14" s="1198" t="s">
        <v>835</v>
      </c>
      <c r="G14" s="1379">
        <f>'P&amp;L'!D17</f>
        <v>67878</v>
      </c>
      <c r="H14" s="1234">
        <f>'P&amp;L'!E17</f>
        <v>916</v>
      </c>
    </row>
    <row r="15" spans="1:12" s="1230" customFormat="1" ht="29.65" customHeight="1">
      <c r="A15" s="1270" t="s">
        <v>942</v>
      </c>
      <c r="B15" s="2683" t="s">
        <v>2529</v>
      </c>
      <c r="C15" s="2684"/>
      <c r="D15" s="2684"/>
      <c r="E15" s="2685"/>
      <c r="F15" s="1196" t="s">
        <v>838</v>
      </c>
      <c r="G15" s="1382">
        <f>'P&amp;L'!D18</f>
        <v>5183863</v>
      </c>
      <c r="H15" s="1233">
        <f>'P&amp;L'!E18</f>
        <v>4969185</v>
      </c>
    </row>
    <row r="16" spans="1:12" s="1235" customFormat="1" ht="29.65" customHeight="1">
      <c r="A16" s="1199" t="s">
        <v>523</v>
      </c>
      <c r="B16" s="2686" t="s">
        <v>2530</v>
      </c>
      <c r="C16" s="2687"/>
      <c r="D16" s="2687"/>
      <c r="E16" s="2688"/>
      <c r="F16" s="1198" t="s">
        <v>840</v>
      </c>
      <c r="G16" s="1379">
        <f>'P&amp;L'!D19</f>
        <v>1928175</v>
      </c>
      <c r="H16" s="1234">
        <f>'P&amp;L'!E19</f>
        <v>1878350</v>
      </c>
    </row>
    <row r="17" spans="1:8" s="1230" customFormat="1" ht="29.65" customHeight="1">
      <c r="A17" s="1199" t="s">
        <v>594</v>
      </c>
      <c r="B17" s="2686" t="s">
        <v>2531</v>
      </c>
      <c r="C17" s="2687"/>
      <c r="D17" s="2687"/>
      <c r="E17" s="2688"/>
      <c r="F17" s="1198" t="s">
        <v>842</v>
      </c>
      <c r="G17" s="1379">
        <f>'P&amp;L'!D20</f>
        <v>1213571</v>
      </c>
      <c r="H17" s="1234">
        <f>'P&amp;L'!E20</f>
        <v>1227260</v>
      </c>
    </row>
    <row r="18" spans="1:8" s="1230" customFormat="1" ht="29.65" customHeight="1">
      <c r="A18" s="1199" t="s">
        <v>663</v>
      </c>
      <c r="B18" s="2686" t="s">
        <v>2532</v>
      </c>
      <c r="C18" s="2687"/>
      <c r="D18" s="2687"/>
      <c r="E18" s="2688"/>
      <c r="F18" s="1198" t="s">
        <v>844</v>
      </c>
      <c r="G18" s="1379">
        <f>'P&amp;L'!D21</f>
        <v>1391</v>
      </c>
      <c r="H18" s="1234">
        <f>'P&amp;L'!E21</f>
        <v>-2685</v>
      </c>
    </row>
    <row r="19" spans="1:8" s="1230" customFormat="1" ht="29.65" customHeight="1">
      <c r="A19" s="1199" t="s">
        <v>853</v>
      </c>
      <c r="B19" s="2686" t="s">
        <v>1286</v>
      </c>
      <c r="C19" s="2687"/>
      <c r="D19" s="2687"/>
      <c r="E19" s="2688"/>
      <c r="F19" s="1198" t="s">
        <v>846</v>
      </c>
      <c r="G19" s="1379">
        <f>'P&amp;L'!D22</f>
        <v>441930</v>
      </c>
      <c r="H19" s="1234">
        <f>'P&amp;L'!E22</f>
        <v>359364</v>
      </c>
    </row>
    <row r="20" spans="1:8" s="1230" customFormat="1" ht="29.65" customHeight="1">
      <c r="A20" s="1199" t="s">
        <v>856</v>
      </c>
      <c r="B20" s="2686" t="s">
        <v>2533</v>
      </c>
      <c r="C20" s="2687"/>
      <c r="D20" s="2687"/>
      <c r="E20" s="2688"/>
      <c r="F20" s="1198" t="s">
        <v>849</v>
      </c>
      <c r="G20" s="1379">
        <f>'P&amp;L'!D23</f>
        <v>1097102</v>
      </c>
      <c r="H20" s="1234">
        <f>'P&amp;L'!E23</f>
        <v>1086166</v>
      </c>
    </row>
    <row r="21" spans="1:8" s="1230" customFormat="1" ht="29.65" customHeight="1">
      <c r="A21" s="1199" t="s">
        <v>2359</v>
      </c>
      <c r="B21" s="2686" t="s">
        <v>1283</v>
      </c>
      <c r="C21" s="2687"/>
      <c r="D21" s="2687"/>
      <c r="E21" s="2688"/>
      <c r="F21" s="1198" t="s">
        <v>852</v>
      </c>
      <c r="G21" s="1379">
        <f>'P&amp;L'!D24</f>
        <v>781249</v>
      </c>
      <c r="H21" s="1234">
        <f>'P&amp;L'!E24</f>
        <v>788625</v>
      </c>
    </row>
    <row r="22" spans="1:8" s="1230" customFormat="1" ht="29.65" customHeight="1">
      <c r="A22" s="1199" t="s">
        <v>532</v>
      </c>
      <c r="B22" s="2686" t="s">
        <v>2534</v>
      </c>
      <c r="C22" s="2687"/>
      <c r="D22" s="2687"/>
      <c r="E22" s="2688"/>
      <c r="F22" s="1198" t="s">
        <v>855</v>
      </c>
      <c r="G22" s="1379">
        <f>'P&amp;L'!D25</f>
        <v>0</v>
      </c>
      <c r="H22" s="1234">
        <f>'P&amp;L'!E25</f>
        <v>0</v>
      </c>
    </row>
    <row r="23" spans="1:8" s="1230" customFormat="1" ht="29.65" customHeight="1">
      <c r="A23" s="1199" t="s">
        <v>535</v>
      </c>
      <c r="B23" s="2686" t="s">
        <v>2535</v>
      </c>
      <c r="C23" s="2687"/>
      <c r="D23" s="2687"/>
      <c r="E23" s="2688"/>
      <c r="F23" s="1198" t="s">
        <v>858</v>
      </c>
      <c r="G23" s="1379">
        <f>'P&amp;L'!D26</f>
        <v>266859</v>
      </c>
      <c r="H23" s="1234">
        <f>'P&amp;L'!E26</f>
        <v>249918</v>
      </c>
    </row>
    <row r="24" spans="1:8" s="1230" customFormat="1" ht="29.65" customHeight="1">
      <c r="A24" s="1199" t="s">
        <v>538</v>
      </c>
      <c r="B24" s="2686" t="s">
        <v>1280</v>
      </c>
      <c r="C24" s="2687"/>
      <c r="D24" s="2687"/>
      <c r="E24" s="2688"/>
      <c r="F24" s="1198" t="s">
        <v>861</v>
      </c>
      <c r="G24" s="1379">
        <f>'P&amp;L'!D27</f>
        <v>48994</v>
      </c>
      <c r="H24" s="1234">
        <f>'P&amp;L'!E27</f>
        <v>47623</v>
      </c>
    </row>
    <row r="25" spans="1:8" s="1230" customFormat="1" ht="29.65" customHeight="1">
      <c r="A25" s="1199" t="s">
        <v>862</v>
      </c>
      <c r="B25" s="2686" t="s">
        <v>1279</v>
      </c>
      <c r="C25" s="2687"/>
      <c r="D25" s="2687"/>
      <c r="E25" s="2688"/>
      <c r="F25" s="1198" t="s">
        <v>864</v>
      </c>
      <c r="G25" s="1379">
        <f>'P&amp;L'!D28</f>
        <v>8670</v>
      </c>
      <c r="H25" s="1234">
        <f>'P&amp;L'!E28</f>
        <v>7638</v>
      </c>
    </row>
    <row r="26" spans="1:8" s="1230" customFormat="1" ht="32.25" customHeight="1">
      <c r="A26" s="1199" t="s">
        <v>865</v>
      </c>
      <c r="B26" s="2697" t="s">
        <v>2536</v>
      </c>
      <c r="C26" s="2698"/>
      <c r="D26" s="2698"/>
      <c r="E26" s="2699"/>
      <c r="F26" s="1198" t="s">
        <v>867</v>
      </c>
      <c r="G26" s="1379">
        <f>'P&amp;L'!D29</f>
        <v>406478</v>
      </c>
      <c r="H26" s="1234">
        <f>'P&amp;L'!E29</f>
        <v>403396</v>
      </c>
    </row>
    <row r="27" spans="1:8" s="1230" customFormat="1" ht="29.65" customHeight="1">
      <c r="A27" s="1199" t="s">
        <v>2361</v>
      </c>
      <c r="B27" s="2686" t="s">
        <v>2537</v>
      </c>
      <c r="C27" s="2687"/>
      <c r="D27" s="2687"/>
      <c r="E27" s="2688"/>
      <c r="F27" s="1198" t="s">
        <v>870</v>
      </c>
      <c r="G27" s="1379">
        <f>'P&amp;L'!D30</f>
        <v>406478</v>
      </c>
      <c r="H27" s="1234">
        <f>'P&amp;L'!E30</f>
        <v>403396</v>
      </c>
    </row>
    <row r="28" spans="1:8" s="1230" customFormat="1" ht="32.25" customHeight="1">
      <c r="A28" s="1199" t="s">
        <v>532</v>
      </c>
      <c r="B28" s="2697" t="s">
        <v>2538</v>
      </c>
      <c r="C28" s="2698"/>
      <c r="D28" s="2698"/>
      <c r="E28" s="2699"/>
      <c r="F28" s="1198" t="s">
        <v>873</v>
      </c>
      <c r="G28" s="1379">
        <f>'P&amp;L'!D31</f>
        <v>0</v>
      </c>
      <c r="H28" s="1234">
        <f>'P&amp;L'!E31</f>
        <v>0</v>
      </c>
    </row>
    <row r="29" spans="1:8" s="1230" customFormat="1" ht="29.65" customHeight="1">
      <c r="A29" s="1199" t="s">
        <v>871</v>
      </c>
      <c r="B29" s="2686" t="s">
        <v>2539</v>
      </c>
      <c r="C29" s="2687"/>
      <c r="D29" s="2687"/>
      <c r="E29" s="2688"/>
      <c r="F29" s="1198" t="s">
        <v>876</v>
      </c>
      <c r="G29" s="1379">
        <f>'P&amp;L'!D32</f>
        <v>0</v>
      </c>
      <c r="H29" s="1234">
        <f>'P&amp;L'!E32</f>
        <v>0</v>
      </c>
    </row>
    <row r="30" spans="1:8" s="1230" customFormat="1" ht="29.65" customHeight="1">
      <c r="A30" s="1199" t="s">
        <v>877</v>
      </c>
      <c r="B30" s="2686" t="s">
        <v>2540</v>
      </c>
      <c r="C30" s="2687"/>
      <c r="D30" s="2687"/>
      <c r="E30" s="2688"/>
      <c r="F30" s="1198" t="s">
        <v>879</v>
      </c>
      <c r="G30" s="1379">
        <f>'P&amp;L'!D33</f>
        <v>9730</v>
      </c>
      <c r="H30" s="1234">
        <f>'P&amp;L'!E33</f>
        <v>0</v>
      </c>
    </row>
    <row r="31" spans="1:8" s="1235" customFormat="1" ht="33.75" customHeight="1">
      <c r="A31" s="1199" t="s">
        <v>886</v>
      </c>
      <c r="B31" s="2697" t="s">
        <v>2541</v>
      </c>
      <c r="C31" s="2698"/>
      <c r="D31" s="2698"/>
      <c r="E31" s="2699"/>
      <c r="F31" s="1198" t="s">
        <v>882</v>
      </c>
      <c r="G31" s="1379">
        <f>'P&amp;L'!D34</f>
        <v>76816</v>
      </c>
      <c r="H31" s="1234">
        <f>'P&amp;L'!E34</f>
        <v>9696</v>
      </c>
    </row>
    <row r="32" spans="1:8" s="1230" customFormat="1" ht="29.65" customHeight="1">
      <c r="A32" s="1386" t="s">
        <v>973</v>
      </c>
      <c r="B32" s="2683" t="s">
        <v>2542</v>
      </c>
      <c r="C32" s="2684"/>
      <c r="D32" s="2684"/>
      <c r="E32" s="2685"/>
      <c r="F32" s="1196" t="s">
        <v>885</v>
      </c>
      <c r="G32" s="1382">
        <f>'P&amp;L'!D35</f>
        <v>200571</v>
      </c>
      <c r="H32" s="1382">
        <f>'P&amp;L'!E35</f>
        <v>349987</v>
      </c>
    </row>
    <row r="33" spans="1:8" ht="24.75" customHeight="1">
      <c r="A33" s="1403" t="s">
        <v>880</v>
      </c>
      <c r="B33" s="2681" t="s">
        <v>2543</v>
      </c>
      <c r="C33" s="2695"/>
      <c r="D33" s="2695"/>
      <c r="E33" s="2696"/>
      <c r="F33" s="1393" t="s">
        <v>888</v>
      </c>
      <c r="G33" s="1382">
        <f>'P&amp;L'!D36</f>
        <v>1721905</v>
      </c>
      <c r="H33" s="1233">
        <f>'P&amp;L'!E36</f>
        <v>1855967</v>
      </c>
    </row>
    <row r="34" spans="1:8" ht="30.75" customHeight="1">
      <c r="A34" s="1403" t="s">
        <v>942</v>
      </c>
      <c r="B34" s="2700" t="s">
        <v>2544</v>
      </c>
      <c r="C34" s="2701"/>
      <c r="D34" s="2701"/>
      <c r="E34" s="2702"/>
      <c r="F34" s="1393" t="s">
        <v>891</v>
      </c>
      <c r="G34" s="1382">
        <f>'P&amp;L'!D37</f>
        <v>46176</v>
      </c>
      <c r="H34" s="1233">
        <f>'P&amp;L'!E37</f>
        <v>29145</v>
      </c>
    </row>
    <row r="35" spans="1:8" ht="36.75" customHeight="1">
      <c r="A35" s="1199" t="s">
        <v>2367</v>
      </c>
      <c r="B35" s="2686" t="s">
        <v>2545</v>
      </c>
      <c r="C35" s="2687"/>
      <c r="D35" s="2687"/>
      <c r="E35" s="2688"/>
      <c r="F35" s="1198" t="s">
        <v>894</v>
      </c>
      <c r="G35" s="1379">
        <f>'P&amp;L'!D38</f>
        <v>0</v>
      </c>
      <c r="H35" s="1234">
        <f>'P&amp;L'!E38</f>
        <v>0</v>
      </c>
    </row>
    <row r="36" spans="1:8" ht="30.75" customHeight="1">
      <c r="A36" s="1199" t="s">
        <v>2368</v>
      </c>
      <c r="B36" s="2686" t="s">
        <v>2546</v>
      </c>
      <c r="C36" s="2687"/>
      <c r="D36" s="2687"/>
      <c r="E36" s="2688"/>
      <c r="F36" s="1198" t="s">
        <v>897</v>
      </c>
      <c r="G36" s="1379">
        <f>'P&amp;L'!D39</f>
        <v>0</v>
      </c>
      <c r="H36" s="1234">
        <f>'P&amp;L'!E39</f>
        <v>0</v>
      </c>
    </row>
    <row r="37" spans="1:8" ht="30" customHeight="1">
      <c r="A37" s="1199" t="s">
        <v>2370</v>
      </c>
      <c r="B37" s="2686" t="s">
        <v>2547</v>
      </c>
      <c r="C37" s="2687"/>
      <c r="D37" s="2687"/>
      <c r="E37" s="2688"/>
      <c r="F37" s="1198" t="s">
        <v>900</v>
      </c>
      <c r="G37" s="1379">
        <f>'P&amp;L'!D40</f>
        <v>0</v>
      </c>
      <c r="H37" s="1234">
        <f>'P&amp;L'!E40</f>
        <v>0</v>
      </c>
    </row>
    <row r="38" spans="1:8" ht="33.75" customHeight="1">
      <c r="A38" s="1199" t="s">
        <v>532</v>
      </c>
      <c r="B38" s="2686" t="s">
        <v>2548</v>
      </c>
      <c r="C38" s="2687"/>
      <c r="D38" s="2687"/>
      <c r="E38" s="2688"/>
      <c r="F38" s="1198" t="s">
        <v>903</v>
      </c>
      <c r="G38" s="1379">
        <f>'P&amp;L'!D41</f>
        <v>0</v>
      </c>
      <c r="H38" s="1234">
        <f>'P&amp;L'!E41</f>
        <v>0</v>
      </c>
    </row>
    <row r="39" spans="1:8" ht="22.5" customHeight="1">
      <c r="A39" s="1199" t="s">
        <v>535</v>
      </c>
      <c r="B39" s="2686" t="s">
        <v>2549</v>
      </c>
      <c r="C39" s="2687"/>
      <c r="D39" s="2687"/>
      <c r="E39" s="2688"/>
      <c r="F39" s="1198" t="s">
        <v>906</v>
      </c>
      <c r="G39" s="1379">
        <f>'P&amp;L'!D42</f>
        <v>0</v>
      </c>
      <c r="H39" s="1234">
        <f>'P&amp;L'!E42</f>
        <v>0</v>
      </c>
    </row>
    <row r="40" spans="1:8" ht="30.75" customHeight="1">
      <c r="A40" s="1199" t="s">
        <v>2371</v>
      </c>
      <c r="B40" s="2686" t="s">
        <v>2550</v>
      </c>
      <c r="C40" s="2687"/>
      <c r="D40" s="2687"/>
      <c r="E40" s="2688"/>
      <c r="F40" s="1198" t="s">
        <v>909</v>
      </c>
      <c r="G40" s="1379">
        <f>'P&amp;L'!D43</f>
        <v>0</v>
      </c>
      <c r="H40" s="1234">
        <f>'P&amp;L'!E43</f>
        <v>0</v>
      </c>
    </row>
    <row r="41" spans="1:8" ht="30" customHeight="1">
      <c r="A41" s="1199" t="s">
        <v>2373</v>
      </c>
      <c r="B41" s="2686" t="s">
        <v>2551</v>
      </c>
      <c r="C41" s="2687"/>
      <c r="D41" s="2687"/>
      <c r="E41" s="2688"/>
      <c r="F41" s="1198" t="s">
        <v>912</v>
      </c>
      <c r="G41" s="1379">
        <f>'P&amp;L'!D44</f>
        <v>0</v>
      </c>
      <c r="H41" s="1234">
        <f>'P&amp;L'!E44</f>
        <v>0</v>
      </c>
    </row>
    <row r="42" spans="1:8" ht="32.25" customHeight="1">
      <c r="A42" s="1199" t="s">
        <v>532</v>
      </c>
      <c r="B42" s="2686" t="s">
        <v>2552</v>
      </c>
      <c r="C42" s="2687"/>
      <c r="D42" s="2687"/>
      <c r="E42" s="2688"/>
      <c r="F42" s="1198" t="s">
        <v>915</v>
      </c>
      <c r="G42" s="1379">
        <f>'P&amp;L'!D45</f>
        <v>0</v>
      </c>
      <c r="H42" s="1234">
        <f>'P&amp;L'!E45</f>
        <v>0</v>
      </c>
    </row>
    <row r="43" spans="1:8" ht="24" customHeight="1">
      <c r="A43" s="1199" t="s">
        <v>535</v>
      </c>
      <c r="B43" s="2686" t="s">
        <v>2553</v>
      </c>
      <c r="C43" s="2687"/>
      <c r="D43" s="2687"/>
      <c r="E43" s="2688"/>
      <c r="F43" s="1198" t="s">
        <v>918</v>
      </c>
      <c r="G43" s="1379">
        <f>'P&amp;L'!D46</f>
        <v>0</v>
      </c>
      <c r="H43" s="1234">
        <f>'P&amp;L'!E46</f>
        <v>0</v>
      </c>
    </row>
    <row r="44" spans="1:8" ht="26.25" customHeight="1">
      <c r="A44" s="1199" t="s">
        <v>2375</v>
      </c>
      <c r="B44" s="2686" t="s">
        <v>2554</v>
      </c>
      <c r="C44" s="2687"/>
      <c r="D44" s="2687"/>
      <c r="E44" s="2688"/>
      <c r="F44" s="1198" t="s">
        <v>921</v>
      </c>
      <c r="G44" s="1379">
        <f>'P&amp;L'!D47</f>
        <v>0</v>
      </c>
      <c r="H44" s="1234">
        <f>'P&amp;L'!E47</f>
        <v>31</v>
      </c>
    </row>
    <row r="45" spans="1:8" ht="24.75" customHeight="1">
      <c r="A45" s="1199" t="s">
        <v>2377</v>
      </c>
      <c r="B45" s="2686" t="s">
        <v>2555</v>
      </c>
      <c r="C45" s="2687"/>
      <c r="D45" s="2687"/>
      <c r="E45" s="2688"/>
      <c r="F45" s="1198" t="s">
        <v>924</v>
      </c>
      <c r="G45" s="1379">
        <f>'P&amp;L'!D48</f>
        <v>0</v>
      </c>
      <c r="H45" s="1234">
        <f>'P&amp;L'!E48</f>
        <v>0</v>
      </c>
    </row>
    <row r="46" spans="1:8" ht="27" customHeight="1">
      <c r="A46" s="1199" t="s">
        <v>532</v>
      </c>
      <c r="B46" s="2686" t="s">
        <v>2556</v>
      </c>
      <c r="C46" s="2687"/>
      <c r="D46" s="2687"/>
      <c r="E46" s="2688"/>
      <c r="F46" s="1198" t="s">
        <v>927</v>
      </c>
      <c r="G46" s="1379">
        <f>'P&amp;L'!D49</f>
        <v>0</v>
      </c>
      <c r="H46" s="1234">
        <f>'P&amp;L'!E49</f>
        <v>31</v>
      </c>
    </row>
    <row r="47" spans="1:8" ht="29.25" customHeight="1">
      <c r="A47" s="1199" t="s">
        <v>2379</v>
      </c>
      <c r="B47" s="2686" t="s">
        <v>1256</v>
      </c>
      <c r="C47" s="2687"/>
      <c r="D47" s="2687"/>
      <c r="E47" s="2688"/>
      <c r="F47" s="1198" t="s">
        <v>930</v>
      </c>
      <c r="G47" s="1379">
        <f>'P&amp;L'!D50</f>
        <v>46176</v>
      </c>
      <c r="H47" s="1234">
        <f>'P&amp;L'!E50</f>
        <v>29114</v>
      </c>
    </row>
    <row r="48" spans="1:8" ht="27.75" customHeight="1">
      <c r="A48" s="1199" t="s">
        <v>2380</v>
      </c>
      <c r="B48" s="2686" t="s">
        <v>2557</v>
      </c>
      <c r="C48" s="2687"/>
      <c r="D48" s="2687"/>
      <c r="E48" s="2688"/>
      <c r="F48" s="1198" t="s">
        <v>933</v>
      </c>
      <c r="G48" s="1379">
        <f>'P&amp;L'!D51</f>
        <v>0</v>
      </c>
      <c r="H48" s="1234">
        <f>'P&amp;L'!E51</f>
        <v>0</v>
      </c>
    </row>
    <row r="49" spans="1:8" ht="27.75" customHeight="1">
      <c r="A49" s="1199" t="s">
        <v>2381</v>
      </c>
      <c r="B49" s="2686" t="s">
        <v>1254</v>
      </c>
      <c r="C49" s="2687"/>
      <c r="D49" s="2687"/>
      <c r="E49" s="2688"/>
      <c r="F49" s="1198" t="s">
        <v>936</v>
      </c>
      <c r="G49" s="1379">
        <f>'P&amp;L'!D52</f>
        <v>0</v>
      </c>
      <c r="H49" s="1234">
        <f>'P&amp;L'!E52</f>
        <v>0</v>
      </c>
    </row>
    <row r="50" spans="1:8" ht="27.75" customHeight="1">
      <c r="A50" s="1404" t="s">
        <v>942</v>
      </c>
      <c r="B50" s="2683" t="s">
        <v>2558</v>
      </c>
      <c r="C50" s="2684"/>
      <c r="D50" s="2684"/>
      <c r="E50" s="2685"/>
      <c r="F50" s="1196" t="s">
        <v>939</v>
      </c>
      <c r="G50" s="1382">
        <f>'P&amp;L'!D53</f>
        <v>33910</v>
      </c>
      <c r="H50" s="1233">
        <f>'P&amp;L'!E53</f>
        <v>40476</v>
      </c>
    </row>
    <row r="51" spans="1:8" s="1240" customFormat="1" ht="44.25" customHeight="1">
      <c r="A51" s="1239" t="s">
        <v>904</v>
      </c>
      <c r="B51" s="2703" t="s">
        <v>1268</v>
      </c>
      <c r="C51" s="2704"/>
      <c r="D51" s="2704"/>
      <c r="E51" s="2705"/>
      <c r="F51" s="1198" t="s">
        <v>941</v>
      </c>
      <c r="G51" s="1379">
        <f>'P&amp;L'!D54</f>
        <v>0</v>
      </c>
      <c r="H51" s="1234">
        <f>'P&amp;L'!E54</f>
        <v>0</v>
      </c>
    </row>
    <row r="52" spans="1:8" s="1240" customFormat="1" ht="29.25" customHeight="1">
      <c r="A52" s="1239" t="s">
        <v>910</v>
      </c>
      <c r="B52" s="2706" t="s">
        <v>2559</v>
      </c>
      <c r="C52" s="2707"/>
      <c r="D52" s="2707"/>
      <c r="E52" s="2708"/>
      <c r="F52" s="1198" t="s">
        <v>944</v>
      </c>
      <c r="G52" s="1379">
        <f>'P&amp;L'!D55</f>
        <v>0</v>
      </c>
      <c r="H52" s="1234">
        <f>'P&amp;L'!E55</f>
        <v>0</v>
      </c>
    </row>
    <row r="53" spans="1:8" ht="30.75" customHeight="1">
      <c r="A53" s="1199" t="s">
        <v>913</v>
      </c>
      <c r="B53" s="2686" t="s">
        <v>2560</v>
      </c>
      <c r="C53" s="2687"/>
      <c r="D53" s="2687"/>
      <c r="E53" s="2688"/>
      <c r="F53" s="1198" t="s">
        <v>947</v>
      </c>
      <c r="G53" s="1379">
        <f>'P&amp;L'!D56</f>
        <v>0</v>
      </c>
      <c r="H53" s="1234">
        <f>'P&amp;L'!E56</f>
        <v>0</v>
      </c>
    </row>
    <row r="54" spans="1:8" ht="28.5" customHeight="1">
      <c r="A54" s="1241" t="s">
        <v>919</v>
      </c>
      <c r="B54" s="2686" t="s">
        <v>2561</v>
      </c>
      <c r="C54" s="2687"/>
      <c r="D54" s="2687"/>
      <c r="E54" s="2688"/>
      <c r="F54" s="1198" t="s">
        <v>950</v>
      </c>
      <c r="G54" s="1379">
        <f>'P&amp;L'!D57</f>
        <v>0</v>
      </c>
      <c r="H54" s="1234">
        <f>'P&amp;L'!E57</f>
        <v>0</v>
      </c>
    </row>
    <row r="55" spans="1:8" ht="28.5" customHeight="1">
      <c r="A55" s="1199" t="s">
        <v>2385</v>
      </c>
      <c r="B55" s="2686" t="s">
        <v>2562</v>
      </c>
      <c r="C55" s="2687"/>
      <c r="D55" s="2687"/>
      <c r="E55" s="2688"/>
      <c r="F55" s="1198" t="s">
        <v>952</v>
      </c>
      <c r="G55" s="1379">
        <f>'P&amp;L'!D58</f>
        <v>0</v>
      </c>
      <c r="H55" s="1234">
        <f>'P&amp;L'!E58</f>
        <v>0</v>
      </c>
    </row>
    <row r="56" spans="1:8" s="1240" customFormat="1" ht="31.5" customHeight="1">
      <c r="A56" s="1239" t="s">
        <v>532</v>
      </c>
      <c r="B56" s="2706" t="s">
        <v>2563</v>
      </c>
      <c r="C56" s="2707"/>
      <c r="D56" s="2707"/>
      <c r="E56" s="2708"/>
      <c r="F56" s="1198" t="s">
        <v>954</v>
      </c>
      <c r="G56" s="1379">
        <f>'P&amp;L'!D59</f>
        <v>0</v>
      </c>
      <c r="H56" s="1234">
        <f>'P&amp;L'!E59</f>
        <v>0</v>
      </c>
    </row>
    <row r="57" spans="1:8" ht="29.25" customHeight="1">
      <c r="A57" s="1199" t="s">
        <v>925</v>
      </c>
      <c r="B57" s="2686" t="s">
        <v>1255</v>
      </c>
      <c r="C57" s="2687"/>
      <c r="D57" s="2687"/>
      <c r="E57" s="2688"/>
      <c r="F57" s="1198" t="s">
        <v>957</v>
      </c>
      <c r="G57" s="1379">
        <f>'P&amp;L'!D60</f>
        <v>28482</v>
      </c>
      <c r="H57" s="1234">
        <f>'P&amp;L'!E60</f>
        <v>35174</v>
      </c>
    </row>
    <row r="58" spans="1:8" ht="28.5" customHeight="1">
      <c r="A58" s="1199" t="s">
        <v>931</v>
      </c>
      <c r="B58" s="2686" t="s">
        <v>2564</v>
      </c>
      <c r="C58" s="2687"/>
      <c r="D58" s="2687"/>
      <c r="E58" s="2688"/>
      <c r="F58" s="1198" t="s">
        <v>960</v>
      </c>
      <c r="G58" s="1379">
        <f>'P&amp;L'!D61</f>
        <v>0</v>
      </c>
      <c r="H58" s="1234">
        <f>'P&amp;L'!E61</f>
        <v>0</v>
      </c>
    </row>
    <row r="59" spans="1:8" ht="30.75" customHeight="1">
      <c r="A59" s="1265" t="s">
        <v>2387</v>
      </c>
      <c r="B59" s="2686" t="s">
        <v>2565</v>
      </c>
      <c r="C59" s="2687"/>
      <c r="D59" s="2687"/>
      <c r="E59" s="2688"/>
      <c r="F59" s="1198" t="s">
        <v>962</v>
      </c>
      <c r="G59" s="1379">
        <f>'P&amp;L'!D62</f>
        <v>5428</v>
      </c>
      <c r="H59" s="1379">
        <f>'P&amp;L'!E62</f>
        <v>5302</v>
      </c>
    </row>
    <row r="60" spans="1:8" ht="27.75" customHeight="1">
      <c r="A60" s="1403" t="s">
        <v>973</v>
      </c>
      <c r="B60" s="2681" t="s">
        <v>2566</v>
      </c>
      <c r="C60" s="2695"/>
      <c r="D60" s="2695"/>
      <c r="E60" s="2696"/>
      <c r="F60" s="1393" t="s">
        <v>965</v>
      </c>
      <c r="G60" s="1382">
        <f>'P&amp;L'!D63</f>
        <v>12266</v>
      </c>
      <c r="H60" s="1233">
        <f>'P&amp;L'!E63</f>
        <v>-11331</v>
      </c>
    </row>
    <row r="61" spans="1:8" ht="27.75" customHeight="1">
      <c r="A61" s="1242" t="s">
        <v>2389</v>
      </c>
      <c r="B61" s="2683" t="s">
        <v>2567</v>
      </c>
      <c r="C61" s="2684"/>
      <c r="D61" s="2684"/>
      <c r="E61" s="2685"/>
      <c r="F61" s="1196" t="s">
        <v>968</v>
      </c>
      <c r="G61" s="1382">
        <f>'P&amp;L'!D64</f>
        <v>212837</v>
      </c>
      <c r="H61" s="1233">
        <f>'P&amp;L'!E64</f>
        <v>338656</v>
      </c>
    </row>
    <row r="62" spans="1:8" ht="27.75" customHeight="1">
      <c r="A62" s="1199" t="s">
        <v>2391</v>
      </c>
      <c r="B62" s="2686" t="s">
        <v>2568</v>
      </c>
      <c r="C62" s="2687"/>
      <c r="D62" s="2687"/>
      <c r="E62" s="2688"/>
      <c r="F62" s="1198" t="s">
        <v>970</v>
      </c>
      <c r="G62" s="1379">
        <f>'P&amp;L'!D65</f>
        <v>53262</v>
      </c>
      <c r="H62" s="1234">
        <f>'P&amp;L'!E65</f>
        <v>65220</v>
      </c>
    </row>
    <row r="63" spans="1:8" s="1240" customFormat="1" ht="27.75" customHeight="1">
      <c r="A63" s="1402" t="s">
        <v>2393</v>
      </c>
      <c r="B63" s="2686" t="s">
        <v>2569</v>
      </c>
      <c r="C63" s="2687"/>
      <c r="D63" s="2687"/>
      <c r="E63" s="2688"/>
      <c r="F63" s="1390" t="s">
        <v>972</v>
      </c>
      <c r="G63" s="1379">
        <f>'P&amp;L'!D66</f>
        <v>125102</v>
      </c>
      <c r="H63" s="1234">
        <f>'P&amp;L'!E66</f>
        <v>156065</v>
      </c>
    </row>
    <row r="64" spans="1:8" s="1240" customFormat="1" ht="27.75" customHeight="1">
      <c r="A64" s="1199" t="s">
        <v>532</v>
      </c>
      <c r="B64" s="2686" t="s">
        <v>2570</v>
      </c>
      <c r="C64" s="2687"/>
      <c r="D64" s="2687"/>
      <c r="E64" s="2688"/>
      <c r="F64" s="1198" t="s">
        <v>975</v>
      </c>
      <c r="G64" s="1379">
        <f>'P&amp;L'!D67</f>
        <v>-71840</v>
      </c>
      <c r="H64" s="1234">
        <f>'P&amp;L'!E67</f>
        <v>-90845</v>
      </c>
    </row>
    <row r="65" spans="1:8" ht="27.75" customHeight="1">
      <c r="A65" s="1199" t="s">
        <v>945</v>
      </c>
      <c r="B65" s="2686" t="s">
        <v>2571</v>
      </c>
      <c r="C65" s="2687"/>
      <c r="D65" s="2687"/>
      <c r="E65" s="2688"/>
      <c r="F65" s="1198" t="s">
        <v>978</v>
      </c>
      <c r="G65" s="1379">
        <f>'P&amp;L'!D68</f>
        <v>0</v>
      </c>
      <c r="H65" s="1234">
        <f>'P&amp;L'!E68</f>
        <v>0</v>
      </c>
    </row>
    <row r="66" spans="1:8" s="1240" customFormat="1" ht="33" customHeight="1">
      <c r="A66" s="1386" t="s">
        <v>2389</v>
      </c>
      <c r="B66" s="2683" t="s">
        <v>2572</v>
      </c>
      <c r="C66" s="2684"/>
      <c r="D66" s="2684"/>
      <c r="E66" s="2685"/>
      <c r="F66" s="1196" t="s">
        <v>980</v>
      </c>
      <c r="G66" s="1382">
        <f>'P&amp;L'!D69</f>
        <v>159575</v>
      </c>
      <c r="H66" s="1382">
        <f>'P&amp;L'!E69</f>
        <v>273436</v>
      </c>
    </row>
  </sheetData>
  <mergeCells count="63">
    <mergeCell ref="B64:E64"/>
    <mergeCell ref="B65:E65"/>
    <mergeCell ref="B66:E66"/>
    <mergeCell ref="B58:E58"/>
    <mergeCell ref="B59:E59"/>
    <mergeCell ref="B60:E60"/>
    <mergeCell ref="B61:E61"/>
    <mergeCell ref="B62:E62"/>
    <mergeCell ref="B63:E63"/>
    <mergeCell ref="B57:E57"/>
    <mergeCell ref="B46:E46"/>
    <mergeCell ref="B47:E47"/>
    <mergeCell ref="B48:E48"/>
    <mergeCell ref="B49:E49"/>
    <mergeCell ref="B50:E50"/>
    <mergeCell ref="B51:E51"/>
    <mergeCell ref="B52:E52"/>
    <mergeCell ref="B53:E53"/>
    <mergeCell ref="B54:E54"/>
    <mergeCell ref="B55:E55"/>
    <mergeCell ref="B56:E56"/>
    <mergeCell ref="B45:E45"/>
    <mergeCell ref="B34:E34"/>
    <mergeCell ref="B35:E35"/>
    <mergeCell ref="B36:E36"/>
    <mergeCell ref="B37:E37"/>
    <mergeCell ref="B38:E38"/>
    <mergeCell ref="B39:E39"/>
    <mergeCell ref="B40:E40"/>
    <mergeCell ref="B41:E41"/>
    <mergeCell ref="B42:E42"/>
    <mergeCell ref="B43:E43"/>
    <mergeCell ref="B44:E44"/>
    <mergeCell ref="B33:E33"/>
    <mergeCell ref="B22:E22"/>
    <mergeCell ref="B23:E23"/>
    <mergeCell ref="B24:E24"/>
    <mergeCell ref="B25:E25"/>
    <mergeCell ref="B26:E26"/>
    <mergeCell ref="B27:E27"/>
    <mergeCell ref="B28:E28"/>
    <mergeCell ref="B29:E29"/>
    <mergeCell ref="B30:E30"/>
    <mergeCell ref="B31:E31"/>
    <mergeCell ref="B32:E32"/>
    <mergeCell ref="B21:E21"/>
    <mergeCell ref="B10:E10"/>
    <mergeCell ref="B11:E11"/>
    <mergeCell ref="B12:E12"/>
    <mergeCell ref="B13:E13"/>
    <mergeCell ref="B14:E14"/>
    <mergeCell ref="B15:E15"/>
    <mergeCell ref="B16:E16"/>
    <mergeCell ref="B17:E17"/>
    <mergeCell ref="B18:E18"/>
    <mergeCell ref="B19:E19"/>
    <mergeCell ref="B20:E20"/>
    <mergeCell ref="B9:E9"/>
    <mergeCell ref="G4:H4"/>
    <mergeCell ref="B5:D5"/>
    <mergeCell ref="B6:E6"/>
    <mergeCell ref="B7:E7"/>
    <mergeCell ref="B8:E8"/>
  </mergeCells>
  <pageMargins left="0.74803149606299213" right="0.55118110236220474" top="0.39370078740157483" bottom="0.47244094488188981" header="0.39370078740157483" footer="0.19685039370078741"/>
  <pageSetup paperSize="9" scale="81" firstPageNumber="2" orientation="portrait" useFirstPageNumber="1" r:id="rId1"/>
  <headerFooter alignWithMargins="0">
    <oddHeader>&amp;LUZPODv14_&amp;P</oddHeader>
    <oddFooter>&amp;LMF SR č. 18009/2014&amp;RStrana &amp;P</oddFooter>
  </headerFooter>
  <rowBreaks count="2" manualBreakCount="2">
    <brk id="32" max="7" man="1"/>
    <brk id="59" max="7"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B5"/>
  <sheetViews>
    <sheetView showGridLines="0" zoomScaleNormal="100" workbookViewId="0">
      <selection activeCell="A20" sqref="A20"/>
    </sheetView>
  </sheetViews>
  <sheetFormatPr defaultRowHeight="15"/>
  <cols>
    <col min="1" max="2" width="43.28515625" customWidth="1"/>
    <col min="3" max="3" width="19.140625" customWidth="1"/>
  </cols>
  <sheetData>
    <row r="1" spans="1:2" ht="17.25" thickBot="1">
      <c r="A1" s="1" t="s">
        <v>47</v>
      </c>
    </row>
    <row r="2" spans="1:2" ht="21" customHeight="1" thickTop="1" thickBot="1">
      <c r="A2" s="10" t="s">
        <v>40</v>
      </c>
      <c r="B2" s="11" t="s">
        <v>36</v>
      </c>
    </row>
    <row r="3" spans="1:2" ht="23.25" customHeight="1" thickTop="1" thickBot="1">
      <c r="A3" s="12" t="s">
        <v>48</v>
      </c>
      <c r="B3" s="13"/>
    </row>
    <row r="4" spans="1:2" ht="23.25" customHeight="1" thickBot="1">
      <c r="A4" s="16" t="s">
        <v>49</v>
      </c>
      <c r="B4" s="17"/>
    </row>
    <row r="5" spans="1:2" ht="15.75" thickTop="1"/>
  </sheetData>
  <pageMargins left="0.7" right="0.7" top="0.75" bottom="0.75" header="0.3" footer="0.3"/>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84</vt:i4>
      </vt:variant>
      <vt:variant>
        <vt:lpstr>Pomenované rozsahy</vt:lpstr>
      </vt:variant>
      <vt:variant>
        <vt:i4>46</vt:i4>
      </vt:variant>
    </vt:vector>
  </HeadingPairs>
  <TitlesOfParts>
    <vt:vector size="130" baseType="lpstr">
      <vt:lpstr>Input data</vt:lpstr>
      <vt:lpstr>VYSVETLIVKY</vt:lpstr>
      <vt:lpstr>1</vt:lpstr>
      <vt:lpstr>2</vt:lpstr>
      <vt:lpstr>2_tabulka 2</vt:lpstr>
      <vt:lpstr>3</vt:lpstr>
      <vt:lpstr>4</vt:lpstr>
      <vt:lpstr>5</vt:lpstr>
      <vt:lpstr>6</vt:lpstr>
      <vt:lpstr>7</vt:lpstr>
      <vt:lpstr>8</vt:lpstr>
      <vt:lpstr>9</vt:lpstr>
      <vt:lpstr>10</vt:lpstr>
      <vt:lpstr>11</vt:lpstr>
      <vt:lpstr>12</vt:lpstr>
      <vt:lpstr>12_tabulka c.2</vt:lpstr>
      <vt:lpstr>13</vt:lpstr>
      <vt:lpstr>14_tabulka 1 a 3</vt:lpstr>
      <vt:lpstr>14_tabulka 2 a 4</vt:lpstr>
      <vt:lpstr>15</vt:lpstr>
      <vt:lpstr>16</vt:lpstr>
      <vt:lpstr>16_tabulka c.2</vt:lpstr>
      <vt:lpstr>17</vt:lpstr>
      <vt:lpstr>18</vt:lpstr>
      <vt:lpstr>18_tabulka c.2</vt:lpstr>
      <vt:lpstr>19</vt:lpstr>
      <vt:lpstr>20</vt:lpstr>
      <vt:lpstr>21</vt:lpstr>
      <vt:lpstr>22</vt:lpstr>
      <vt:lpstr>23</vt:lpstr>
      <vt:lpstr>24</vt:lpstr>
      <vt:lpstr>24_tabulky 3 a 4</vt:lpstr>
      <vt:lpstr>25</vt:lpstr>
      <vt:lpstr>26</vt:lpstr>
      <vt:lpstr>27</vt:lpstr>
      <vt:lpstr>28</vt:lpstr>
      <vt:lpstr>29</vt:lpstr>
      <vt:lpstr>30</vt:lpstr>
      <vt:lpstr>31</vt:lpstr>
      <vt:lpstr>32</vt:lpstr>
      <vt:lpstr>32_tabulka 2</vt:lpstr>
      <vt:lpstr>33</vt:lpstr>
      <vt:lpstr>34</vt:lpstr>
      <vt:lpstr>42</vt:lpstr>
      <vt:lpstr>43</vt:lpstr>
      <vt:lpstr>44</vt:lpstr>
      <vt:lpstr>35</vt:lpstr>
      <vt:lpstr>36</vt:lpstr>
      <vt:lpstr>37</vt:lpstr>
      <vt:lpstr>38</vt:lpstr>
      <vt:lpstr>39</vt:lpstr>
      <vt:lpstr>40</vt:lpstr>
      <vt:lpstr>41</vt:lpstr>
      <vt:lpstr>45</vt:lpstr>
      <vt:lpstr>46</vt:lpstr>
      <vt:lpstr>BS</vt:lpstr>
      <vt:lpstr>P&amp;L</vt:lpstr>
      <vt:lpstr>SK Cover sheet</vt:lpstr>
      <vt:lpstr>BS-SK Statutory</vt:lpstr>
      <vt:lpstr>IS-SK Statutory </vt:lpstr>
      <vt:lpstr>Notes- SK Template</vt:lpstr>
      <vt:lpstr>BS old</vt:lpstr>
      <vt:lpstr>P&amp;L old</vt:lpstr>
      <vt:lpstr>Notes-SK Cover sheet</vt:lpstr>
      <vt:lpstr>BS-SK Statutory old</vt:lpstr>
      <vt:lpstr>IS-SK Statutoryold </vt:lpstr>
      <vt:lpstr>IS-SK Cover sheet</vt:lpstr>
      <vt:lpstr>Cash Flow SK</vt:lpstr>
      <vt:lpstr>E_Cover sheet</vt:lpstr>
      <vt:lpstr>BS-E Cover sheet</vt:lpstr>
      <vt:lpstr>BS-E Statutory</vt:lpstr>
      <vt:lpstr>BS- E Statutory</vt:lpstr>
      <vt:lpstr>IS-E Cover sheet</vt:lpstr>
      <vt:lpstr>IS-E Statutory</vt:lpstr>
      <vt:lpstr>IS-E Statutory m</vt:lpstr>
      <vt:lpstr>Notes-E Cover sheet</vt:lpstr>
      <vt:lpstr>Notes - E Template</vt:lpstr>
      <vt:lpstr>Cash Flow (ENG)</vt:lpstr>
      <vt:lpstr>G-Cover sheet</vt:lpstr>
      <vt:lpstr>BS-G Cover sheet</vt:lpstr>
      <vt:lpstr>BS - G Statutoryo</vt:lpstr>
      <vt:lpstr>IS-G Cover sheet</vt:lpstr>
      <vt:lpstr>BS-G Statutory</vt:lpstr>
      <vt:lpstr>IS-G Statutory</vt:lpstr>
      <vt:lpstr>'Notes - E Template'!_Toc474124192</vt:lpstr>
      <vt:lpstr>'Notes- SK Template'!_Toc474124192</vt:lpstr>
      <vt:lpstr>'BS - G Statutoryo'!Názvy_tlače</vt:lpstr>
      <vt:lpstr>'BS- E Statutory'!Názvy_tlače</vt:lpstr>
      <vt:lpstr>'BS-E Statutory'!Názvy_tlače</vt:lpstr>
      <vt:lpstr>'BS-G Statutory'!Názvy_tlače</vt:lpstr>
      <vt:lpstr>'BS-SK Statutory'!Názvy_tlače</vt:lpstr>
      <vt:lpstr>'BS-SK Statutory old'!Názvy_tlače</vt:lpstr>
      <vt:lpstr>'Cash Flow (ENG)'!Názvy_tlače</vt:lpstr>
      <vt:lpstr>'Cash Flow SK'!Názvy_tlače</vt:lpstr>
      <vt:lpstr>'IS-E Statutory'!Názvy_tlače</vt:lpstr>
      <vt:lpstr>'IS-E Statutory m'!Názvy_tlače</vt:lpstr>
      <vt:lpstr>'IS-G Statutory'!Názvy_tlače</vt:lpstr>
      <vt:lpstr>'IS-SK Statutory '!Názvy_tlače</vt:lpstr>
      <vt:lpstr>'IS-SK Statutoryold '!Názvy_tlače</vt:lpstr>
      <vt:lpstr>'Notes - E Template'!Názvy_tlače</vt:lpstr>
      <vt:lpstr>'Notes- SK Template'!Názvy_tlače</vt:lpstr>
      <vt:lpstr>BS!Oblasť_tlače</vt:lpstr>
      <vt:lpstr>'BS - G Statutoryo'!Oblasť_tlače</vt:lpstr>
      <vt:lpstr>'BS- E Statutory'!Oblasť_tlače</vt:lpstr>
      <vt:lpstr>'BS old'!Oblasť_tlače</vt:lpstr>
      <vt:lpstr>'BS-E Cover sheet'!Oblasť_tlače</vt:lpstr>
      <vt:lpstr>'BS-E Statutory'!Oblasť_tlače</vt:lpstr>
      <vt:lpstr>'BS-G Cover sheet'!Oblasť_tlače</vt:lpstr>
      <vt:lpstr>'BS-G Statutory'!Oblasť_tlače</vt:lpstr>
      <vt:lpstr>'BS-SK Statutory'!Oblasť_tlače</vt:lpstr>
      <vt:lpstr>'BS-SK Statutory old'!Oblasť_tlače</vt:lpstr>
      <vt:lpstr>'Cash Flow (ENG)'!Oblasť_tlače</vt:lpstr>
      <vt:lpstr>'Cash Flow SK'!Oblasť_tlače</vt:lpstr>
      <vt:lpstr>'E_Cover sheet'!Oblasť_tlače</vt:lpstr>
      <vt:lpstr>'G-Cover sheet'!Oblasť_tlače</vt:lpstr>
      <vt:lpstr>'IS-E Cover sheet'!Oblasť_tlače</vt:lpstr>
      <vt:lpstr>'IS-E Statutory'!Oblasť_tlače</vt:lpstr>
      <vt:lpstr>'IS-E Statutory m'!Oblasť_tlače</vt:lpstr>
      <vt:lpstr>'IS-G Cover sheet'!Oblasť_tlače</vt:lpstr>
      <vt:lpstr>'IS-G Statutory'!Oblasť_tlače</vt:lpstr>
      <vt:lpstr>'IS-SK Cover sheet'!Oblasť_tlače</vt:lpstr>
      <vt:lpstr>'IS-SK Statutory '!Oblasť_tlače</vt:lpstr>
      <vt:lpstr>'IS-SK Statutoryold '!Oblasť_tlače</vt:lpstr>
      <vt:lpstr>'Notes - E Template'!Oblasť_tlače</vt:lpstr>
      <vt:lpstr>'Notes- SK Template'!Oblasť_tlače</vt:lpstr>
      <vt:lpstr>'Notes-E Cover sheet'!Oblasť_tlače</vt:lpstr>
      <vt:lpstr>'Notes-SK Cover sheet'!Oblasť_tlače</vt:lpstr>
      <vt:lpstr>'P&amp;L'!Oblasť_tlače</vt:lpstr>
      <vt:lpstr>'P&amp;L old'!Oblasť_tlače</vt:lpstr>
      <vt:lpstr>'SK Cover sheet'!Oblasť_tlače</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2006-11-28T10:32:46Z</dcterms:created>
  <dcterms:modified xsi:type="dcterms:W3CDTF">2018-06-08T07:21:02Z</dcterms:modified>
</cp:coreProperties>
</file>